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3620" windowHeight="7590" tabRatio="833"/>
  </bookViews>
  <sheets>
    <sheet name="Hranol 3-boký" sheetId="1" r:id="rId1"/>
    <sheet name="Hranol kolmý" sheetId="2" r:id="rId2"/>
    <sheet name="Jehlan 4-boký" sheetId="3" r:id="rId3"/>
    <sheet name="Jehlan pravidelný" sheetId="4" r:id="rId4"/>
    <sheet name="Koule" sheetId="5" r:id="rId5"/>
    <sheet name="Krychle" sheetId="6" r:id="rId6"/>
    <sheet name="Kulová úseč" sheetId="7" r:id="rId7"/>
    <sheet name="Kulová vrstva" sheetId="8" r:id="rId8"/>
    <sheet name="Kulová výseč" sheetId="9" r:id="rId9"/>
    <sheet name="Kužel rotační" sheetId="10" r:id="rId10"/>
    <sheet name="Kvádr" sheetId="13" r:id="rId11"/>
    <sheet name="Válec" sheetId="12" r:id="rId12"/>
  </sheets>
  <calcPr calcId="145621"/>
</workbook>
</file>

<file path=xl/calcChain.xml><?xml version="1.0" encoding="utf-8"?>
<calcChain xmlns="http://schemas.openxmlformats.org/spreadsheetml/2006/main">
  <c r="P28" i="8" l="1"/>
  <c r="P14" i="8"/>
  <c r="P27" i="8"/>
  <c r="P13" i="8"/>
  <c r="P25" i="8"/>
  <c r="P11" i="8"/>
  <c r="P23" i="8"/>
  <c r="P9" i="8"/>
  <c r="P22" i="8"/>
  <c r="P8" i="8"/>
  <c r="O11" i="9"/>
  <c r="P11" i="10"/>
  <c r="O13" i="9"/>
  <c r="O14" i="9"/>
  <c r="O9" i="9"/>
  <c r="O12" i="9"/>
  <c r="O10" i="9"/>
  <c r="O8" i="9"/>
  <c r="P26" i="8"/>
  <c r="P24" i="8"/>
  <c r="P21" i="8"/>
  <c r="P12" i="8"/>
  <c r="P10" i="8"/>
  <c r="P7" i="8"/>
  <c r="O7" i="9"/>
  <c r="L22" i="3" l="1"/>
  <c r="L23" i="3"/>
  <c r="L24" i="3"/>
  <c r="L25" i="3"/>
  <c r="L26" i="3"/>
  <c r="L27" i="3"/>
  <c r="L28" i="3"/>
  <c r="L21" i="3"/>
  <c r="AA9" i="9" l="1"/>
  <c r="AA8" i="9"/>
  <c r="AA11" i="9"/>
  <c r="AA13" i="9"/>
  <c r="AA14" i="9"/>
  <c r="T14" i="9"/>
  <c r="L8" i="4"/>
  <c r="BB8" i="4" s="1"/>
  <c r="L9" i="4"/>
  <c r="L10" i="4"/>
  <c r="L11" i="4"/>
  <c r="L12" i="4"/>
  <c r="BB12" i="4" s="1"/>
  <c r="L13" i="4"/>
  <c r="L14" i="4"/>
  <c r="L7" i="4"/>
  <c r="BB7" i="4" s="1"/>
  <c r="L22" i="4"/>
  <c r="BB22" i="4" s="1"/>
  <c r="L23" i="4"/>
  <c r="L24" i="4"/>
  <c r="L25" i="4"/>
  <c r="L26" i="4"/>
  <c r="L27" i="4"/>
  <c r="BB27" i="4" s="1"/>
  <c r="L28" i="4"/>
  <c r="Q28" i="4"/>
  <c r="V28" i="4" s="1"/>
  <c r="Q27" i="4"/>
  <c r="V27" i="4" s="1"/>
  <c r="Q26" i="4"/>
  <c r="V26" i="4" s="1"/>
  <c r="Q25" i="4"/>
  <c r="V25" i="4" s="1"/>
  <c r="Q24" i="4"/>
  <c r="V24" i="4" s="1"/>
  <c r="Q23" i="4"/>
  <c r="V23" i="4" s="1"/>
  <c r="Q22" i="4"/>
  <c r="V22" i="4" s="1"/>
  <c r="Q21" i="4"/>
  <c r="V21" i="4" s="1"/>
  <c r="L21" i="4"/>
  <c r="BB21" i="4" s="1"/>
  <c r="D22" i="4"/>
  <c r="AC22" i="4" s="1"/>
  <c r="D23" i="4"/>
  <c r="AC23" i="4" s="1"/>
  <c r="D24" i="4"/>
  <c r="AC24" i="4" s="1"/>
  <c r="D25" i="4"/>
  <c r="AC25" i="4" s="1"/>
  <c r="D26" i="4"/>
  <c r="AC26" i="4" s="1"/>
  <c r="D27" i="4"/>
  <c r="AC27" i="4" s="1"/>
  <c r="D28" i="4"/>
  <c r="AC28" i="4" s="1"/>
  <c r="D22" i="3"/>
  <c r="Q22" i="3" s="1"/>
  <c r="D23" i="3"/>
  <c r="Q23" i="3" s="1"/>
  <c r="D24" i="3"/>
  <c r="Q24" i="3" s="1"/>
  <c r="D25" i="3"/>
  <c r="Q25" i="3" s="1"/>
  <c r="D26" i="3"/>
  <c r="Q26" i="3" s="1"/>
  <c r="D27" i="3"/>
  <c r="Q27" i="3" s="1"/>
  <c r="D28" i="3"/>
  <c r="Q28" i="3" s="1"/>
  <c r="D21" i="3"/>
  <c r="AC28" i="3"/>
  <c r="AC27" i="3"/>
  <c r="AC26" i="3"/>
  <c r="AC25" i="3"/>
  <c r="AC24" i="3"/>
  <c r="AC21" i="3"/>
  <c r="Q21" i="3"/>
  <c r="AA12" i="9"/>
  <c r="AA12" i="7"/>
  <c r="AA13" i="7"/>
  <c r="AA10" i="9"/>
  <c r="AA9" i="7"/>
  <c r="AA8" i="7"/>
  <c r="AB11" i="8"/>
  <c r="AB12" i="8"/>
  <c r="AB13" i="8"/>
  <c r="AB14" i="8"/>
  <c r="AB10" i="8"/>
  <c r="AB9" i="8"/>
  <c r="AB8" i="8"/>
  <c r="AB7" i="8"/>
  <c r="O8" i="7"/>
  <c r="AA7" i="9"/>
  <c r="AA13" i="12"/>
  <c r="AA14" i="12"/>
  <c r="AA11" i="12"/>
  <c r="AA9" i="12"/>
  <c r="AB10" i="10"/>
  <c r="E8" i="4"/>
  <c r="AC8" i="4" s="1"/>
  <c r="E9" i="4"/>
  <c r="Q9" i="4" s="1"/>
  <c r="E10" i="4"/>
  <c r="AC10" i="4" s="1"/>
  <c r="E11" i="4"/>
  <c r="AC11" i="4" s="1"/>
  <c r="E12" i="4"/>
  <c r="Q12" i="4" s="1"/>
  <c r="E13" i="4"/>
  <c r="AC13" i="4" s="1"/>
  <c r="E14" i="4"/>
  <c r="Q14" i="4" s="1"/>
  <c r="V14" i="4" s="1"/>
  <c r="E7" i="4"/>
  <c r="AC7" i="4" s="1"/>
  <c r="AB13" i="6"/>
  <c r="AB14" i="6"/>
  <c r="AB11" i="6"/>
  <c r="AB9" i="6"/>
  <c r="AB8" i="6"/>
  <c r="AA11" i="7"/>
  <c r="AA14" i="7"/>
  <c r="AA10" i="7"/>
  <c r="O11" i="7"/>
  <c r="P11" i="6"/>
  <c r="O12" i="7"/>
  <c r="O13" i="7"/>
  <c r="P13" i="6"/>
  <c r="O14" i="7"/>
  <c r="O9" i="7"/>
  <c r="P8" i="6"/>
  <c r="BB28" i="4"/>
  <c r="BB26" i="4"/>
  <c r="BB25" i="4"/>
  <c r="BB24" i="4"/>
  <c r="BB23" i="4"/>
  <c r="BB9" i="4"/>
  <c r="BB10" i="4"/>
  <c r="BB11" i="4"/>
  <c r="BB13" i="4"/>
  <c r="BB14" i="4"/>
  <c r="L8" i="3"/>
  <c r="L9" i="3"/>
  <c r="BB9" i="3" s="1"/>
  <c r="L10" i="3"/>
  <c r="L11" i="3"/>
  <c r="BB11" i="3" s="1"/>
  <c r="L12" i="3"/>
  <c r="BB12" i="3" s="1"/>
  <c r="L13" i="3"/>
  <c r="L14" i="3"/>
  <c r="L7" i="3"/>
  <c r="E8" i="3"/>
  <c r="Q8" i="3" s="1"/>
  <c r="V8" i="3" s="1"/>
  <c r="E9" i="3"/>
  <c r="Q9" i="3" s="1"/>
  <c r="V9" i="3" s="1"/>
  <c r="E10" i="3"/>
  <c r="Q10" i="3" s="1"/>
  <c r="V10" i="3" s="1"/>
  <c r="E11" i="3"/>
  <c r="AC11" i="3" s="1"/>
  <c r="E12" i="3"/>
  <c r="Q12" i="3" s="1"/>
  <c r="E13" i="3"/>
  <c r="Q13" i="3" s="1"/>
  <c r="E14" i="3"/>
  <c r="BB14" i="3" s="1"/>
  <c r="E7" i="3"/>
  <c r="BB7" i="3" s="1"/>
  <c r="BB8" i="3"/>
  <c r="BB28" i="3"/>
  <c r="BB27" i="3"/>
  <c r="BB26" i="3"/>
  <c r="BB25" i="3"/>
  <c r="BB24" i="3"/>
  <c r="BB23" i="3"/>
  <c r="BB22" i="3"/>
  <c r="BB21" i="3"/>
  <c r="BB13" i="3"/>
  <c r="BB10" i="3"/>
  <c r="D22" i="12"/>
  <c r="O22" i="12" s="1"/>
  <c r="D23" i="12"/>
  <c r="AA23" i="12" s="1"/>
  <c r="D24" i="12"/>
  <c r="O24" i="12" s="1"/>
  <c r="D25" i="12"/>
  <c r="O25" i="12" s="1"/>
  <c r="D26" i="12"/>
  <c r="AA26" i="12" s="1"/>
  <c r="D27" i="12"/>
  <c r="O27" i="12" s="1"/>
  <c r="D28" i="12"/>
  <c r="O28" i="12" s="1"/>
  <c r="D21" i="12"/>
  <c r="O21" i="12" s="1"/>
  <c r="D8" i="12"/>
  <c r="D9" i="12"/>
  <c r="D10" i="12"/>
  <c r="D11" i="12"/>
  <c r="D12" i="12"/>
  <c r="D13" i="12"/>
  <c r="D14" i="12"/>
  <c r="D7" i="12"/>
  <c r="J22" i="12"/>
  <c r="AZ22" i="12" s="1"/>
  <c r="J23" i="12"/>
  <c r="AZ23" i="12" s="1"/>
  <c r="J24" i="12"/>
  <c r="AZ24" i="12" s="1"/>
  <c r="J25" i="12"/>
  <c r="AZ25" i="12" s="1"/>
  <c r="J26" i="12"/>
  <c r="AZ26" i="12" s="1"/>
  <c r="J27" i="12"/>
  <c r="AZ27" i="12" s="1"/>
  <c r="J28" i="12"/>
  <c r="AZ28" i="12" s="1"/>
  <c r="J21" i="12"/>
  <c r="AZ21" i="12" s="1"/>
  <c r="J8" i="12"/>
  <c r="AZ8" i="12" s="1"/>
  <c r="J9" i="12"/>
  <c r="AZ9" i="12" s="1"/>
  <c r="J10" i="12"/>
  <c r="AZ10" i="12" s="1"/>
  <c r="J11" i="12"/>
  <c r="AZ11" i="12" s="1"/>
  <c r="J12" i="12"/>
  <c r="AZ12" i="12" s="1"/>
  <c r="J13" i="12"/>
  <c r="AZ13" i="12" s="1"/>
  <c r="J14" i="12"/>
  <c r="AZ14" i="12" s="1"/>
  <c r="J7" i="12"/>
  <c r="AZ7" i="12" s="1"/>
  <c r="L36" i="13"/>
  <c r="BD36" i="13" s="1"/>
  <c r="M36" i="13"/>
  <c r="L37" i="13"/>
  <c r="M37" i="13"/>
  <c r="L38" i="13"/>
  <c r="M38" i="13"/>
  <c r="L39" i="13"/>
  <c r="M39" i="13"/>
  <c r="BE39" i="13" s="1"/>
  <c r="L40" i="13"/>
  <c r="BD40" i="13" s="1"/>
  <c r="M40" i="13"/>
  <c r="BE40" i="13" s="1"/>
  <c r="L41" i="13"/>
  <c r="M41" i="13"/>
  <c r="L42" i="13"/>
  <c r="M42" i="13"/>
  <c r="M35" i="13"/>
  <c r="L35" i="13"/>
  <c r="F36" i="13"/>
  <c r="F37" i="13"/>
  <c r="F38" i="13"/>
  <c r="F39" i="13"/>
  <c r="F40" i="13"/>
  <c r="F41" i="13"/>
  <c r="F42" i="13"/>
  <c r="E36" i="13"/>
  <c r="E37" i="13"/>
  <c r="E38" i="13"/>
  <c r="E39" i="13"/>
  <c r="E40" i="13"/>
  <c r="E41" i="13"/>
  <c r="E42" i="13"/>
  <c r="E35" i="13"/>
  <c r="F35" i="13"/>
  <c r="L25" i="13"/>
  <c r="BD25" i="13" s="1"/>
  <c r="L22" i="13"/>
  <c r="BD22" i="13" s="1"/>
  <c r="L23" i="13"/>
  <c r="L24" i="13"/>
  <c r="L26" i="13"/>
  <c r="BD26" i="13" s="1"/>
  <c r="L27" i="13"/>
  <c r="L28" i="13"/>
  <c r="L21" i="13"/>
  <c r="L8" i="13"/>
  <c r="M8" i="13"/>
  <c r="L9" i="13"/>
  <c r="M9" i="13"/>
  <c r="L10" i="13"/>
  <c r="M10" i="13"/>
  <c r="L11" i="13"/>
  <c r="M11" i="13"/>
  <c r="L12" i="13"/>
  <c r="M12" i="13"/>
  <c r="L13" i="13"/>
  <c r="M13" i="13"/>
  <c r="L14" i="13"/>
  <c r="M14" i="13"/>
  <c r="M7" i="13"/>
  <c r="L7" i="13"/>
  <c r="E22" i="13"/>
  <c r="M22" i="13" s="1"/>
  <c r="BE22" i="13" s="1"/>
  <c r="E23" i="13"/>
  <c r="F23" i="13" s="1"/>
  <c r="E24" i="13"/>
  <c r="M24" i="13" s="1"/>
  <c r="BE24" i="13" s="1"/>
  <c r="E25" i="13"/>
  <c r="M25" i="13" s="1"/>
  <c r="BE25" i="13" s="1"/>
  <c r="E26" i="13"/>
  <c r="M26" i="13" s="1"/>
  <c r="BE26" i="13" s="1"/>
  <c r="E27" i="13"/>
  <c r="M27" i="13" s="1"/>
  <c r="BE27" i="13" s="1"/>
  <c r="E28" i="13"/>
  <c r="M28" i="13" s="1"/>
  <c r="BE28" i="13" s="1"/>
  <c r="E21" i="13"/>
  <c r="F21" i="13" s="1"/>
  <c r="F8" i="13"/>
  <c r="F9" i="13"/>
  <c r="F10" i="13"/>
  <c r="F11" i="13"/>
  <c r="F12" i="13"/>
  <c r="F13" i="13"/>
  <c r="F14" i="13"/>
  <c r="F7" i="13"/>
  <c r="E8" i="13"/>
  <c r="E9" i="13"/>
  <c r="E10" i="13"/>
  <c r="E11" i="13"/>
  <c r="E12" i="13"/>
  <c r="E13" i="13"/>
  <c r="E14" i="13"/>
  <c r="E7" i="13"/>
  <c r="BE42" i="13"/>
  <c r="BD42" i="13"/>
  <c r="BE41" i="13"/>
  <c r="BD41" i="13"/>
  <c r="BD39" i="13"/>
  <c r="BE38" i="13"/>
  <c r="BD38" i="13"/>
  <c r="BE37" i="13"/>
  <c r="BD37" i="13"/>
  <c r="BE36" i="13"/>
  <c r="BE35" i="13"/>
  <c r="BD35" i="13"/>
  <c r="BD28" i="13"/>
  <c r="BD27" i="13"/>
  <c r="BD24" i="13"/>
  <c r="BD23" i="13"/>
  <c r="BD21" i="13"/>
  <c r="BD8" i="13"/>
  <c r="BE8" i="13"/>
  <c r="BD9" i="13"/>
  <c r="BE9" i="13"/>
  <c r="BD10" i="13"/>
  <c r="BE10" i="13"/>
  <c r="BD11" i="13"/>
  <c r="BE11" i="13"/>
  <c r="BD12" i="13"/>
  <c r="BE12" i="13"/>
  <c r="BD13" i="13"/>
  <c r="BE13" i="13"/>
  <c r="BD14" i="13"/>
  <c r="BE14" i="13"/>
  <c r="BE7" i="13"/>
  <c r="BD7" i="13"/>
  <c r="E22" i="10"/>
  <c r="E23" i="10"/>
  <c r="E24" i="10"/>
  <c r="E25" i="10"/>
  <c r="E26" i="10"/>
  <c r="E27" i="10"/>
  <c r="E28" i="10"/>
  <c r="K22" i="10"/>
  <c r="BA22" i="10" s="1"/>
  <c r="K23" i="10"/>
  <c r="BA23" i="10" s="1"/>
  <c r="K24" i="10"/>
  <c r="BA24" i="10" s="1"/>
  <c r="K25" i="10"/>
  <c r="BA25" i="10" s="1"/>
  <c r="K26" i="10"/>
  <c r="BA26" i="10" s="1"/>
  <c r="K27" i="10"/>
  <c r="BA27" i="10" s="1"/>
  <c r="K28" i="10"/>
  <c r="BA28" i="10" s="1"/>
  <c r="K21" i="10"/>
  <c r="BA21" i="10" s="1"/>
  <c r="E21" i="10"/>
  <c r="K8" i="10"/>
  <c r="BA8" i="10" s="1"/>
  <c r="K9" i="10"/>
  <c r="BA9" i="10" s="1"/>
  <c r="K10" i="10"/>
  <c r="BA10" i="10" s="1"/>
  <c r="K11" i="10"/>
  <c r="BA11" i="10" s="1"/>
  <c r="K12" i="10"/>
  <c r="BA12" i="10" s="1"/>
  <c r="K13" i="10"/>
  <c r="BA13" i="10" s="1"/>
  <c r="K14" i="10"/>
  <c r="BA14" i="10" s="1"/>
  <c r="E8" i="10"/>
  <c r="E9" i="10"/>
  <c r="E10" i="10"/>
  <c r="E11" i="10"/>
  <c r="E12" i="10"/>
  <c r="E13" i="10"/>
  <c r="E14" i="10"/>
  <c r="K7" i="10"/>
  <c r="BA7" i="10" s="1"/>
  <c r="E7" i="10"/>
  <c r="J22" i="9"/>
  <c r="AZ22" i="9" s="1"/>
  <c r="J23" i="9"/>
  <c r="AZ23" i="9" s="1"/>
  <c r="J24" i="9"/>
  <c r="AZ24" i="9" s="1"/>
  <c r="J25" i="9"/>
  <c r="AZ25" i="9" s="1"/>
  <c r="J26" i="9"/>
  <c r="AZ26" i="9" s="1"/>
  <c r="J27" i="9"/>
  <c r="AZ27" i="9" s="1"/>
  <c r="J28" i="9"/>
  <c r="AZ28" i="9" s="1"/>
  <c r="D22" i="9"/>
  <c r="D23" i="9"/>
  <c r="D24" i="9"/>
  <c r="D25" i="9"/>
  <c r="D26" i="9"/>
  <c r="D27" i="9"/>
  <c r="D28" i="9"/>
  <c r="J21" i="9"/>
  <c r="AZ21" i="9" s="1"/>
  <c r="D21" i="9"/>
  <c r="O21" i="9" s="1"/>
  <c r="J8" i="9"/>
  <c r="AZ8" i="9" s="1"/>
  <c r="J9" i="9"/>
  <c r="AZ9" i="9" s="1"/>
  <c r="J10" i="9"/>
  <c r="AZ10" i="9" s="1"/>
  <c r="J11" i="9"/>
  <c r="AZ11" i="9" s="1"/>
  <c r="J12" i="9"/>
  <c r="AZ12" i="9" s="1"/>
  <c r="J13" i="9"/>
  <c r="AZ13" i="9" s="1"/>
  <c r="J14" i="9"/>
  <c r="AZ14" i="9" s="1"/>
  <c r="J7" i="9"/>
  <c r="AZ7" i="9" s="1"/>
  <c r="D8" i="9"/>
  <c r="D9" i="9"/>
  <c r="D10" i="9"/>
  <c r="D11" i="9"/>
  <c r="D12" i="9"/>
  <c r="D13" i="9"/>
  <c r="D14" i="9"/>
  <c r="D7" i="9"/>
  <c r="E22" i="8"/>
  <c r="AB22" i="8" s="1"/>
  <c r="E23" i="8"/>
  <c r="AB23" i="8" s="1"/>
  <c r="E24" i="8"/>
  <c r="AB24" i="8" s="1"/>
  <c r="E25" i="8"/>
  <c r="AB25" i="8" s="1"/>
  <c r="E26" i="8"/>
  <c r="AB26" i="8" s="1"/>
  <c r="E27" i="8"/>
  <c r="AB27" i="8" s="1"/>
  <c r="E28" i="8"/>
  <c r="AB28" i="8" s="1"/>
  <c r="E21" i="8"/>
  <c r="AB21" i="8" s="1"/>
  <c r="E8" i="8"/>
  <c r="E9" i="8"/>
  <c r="E10" i="8"/>
  <c r="E11" i="8"/>
  <c r="E12" i="8"/>
  <c r="E13" i="8"/>
  <c r="E14" i="8"/>
  <c r="E7" i="8"/>
  <c r="K22" i="8"/>
  <c r="BA22" i="8" s="1"/>
  <c r="K23" i="8"/>
  <c r="K24" i="8"/>
  <c r="BA24" i="8" s="1"/>
  <c r="K25" i="8"/>
  <c r="BA25" i="8" s="1"/>
  <c r="K26" i="8"/>
  <c r="K27" i="8"/>
  <c r="BA27" i="8" s="1"/>
  <c r="K28" i="8"/>
  <c r="BA28" i="8" s="1"/>
  <c r="K21" i="8"/>
  <c r="BA21" i="8" s="1"/>
  <c r="K8" i="8"/>
  <c r="BA8" i="8" s="1"/>
  <c r="K9" i="8"/>
  <c r="BA9" i="8" s="1"/>
  <c r="K10" i="8"/>
  <c r="K11" i="8"/>
  <c r="K12" i="8"/>
  <c r="K13" i="8"/>
  <c r="K14" i="8"/>
  <c r="BA14" i="8" s="1"/>
  <c r="K7" i="8"/>
  <c r="BA7" i="8" s="1"/>
  <c r="BA26" i="8"/>
  <c r="BA23" i="8"/>
  <c r="BA10" i="8"/>
  <c r="BA11" i="8"/>
  <c r="BA12" i="8"/>
  <c r="BA13" i="8"/>
  <c r="J22" i="7"/>
  <c r="J23" i="7"/>
  <c r="J24" i="7"/>
  <c r="AZ24" i="7" s="1"/>
  <c r="J25" i="7"/>
  <c r="AZ25" i="7" s="1"/>
  <c r="J26" i="7"/>
  <c r="AZ26" i="7" s="1"/>
  <c r="J27" i="7"/>
  <c r="AZ27" i="7" s="1"/>
  <c r="J28" i="7"/>
  <c r="AZ28" i="7" s="1"/>
  <c r="J21" i="7"/>
  <c r="AZ21" i="7" s="1"/>
  <c r="J8" i="7"/>
  <c r="J9" i="7"/>
  <c r="AZ9" i="7" s="1"/>
  <c r="J10" i="7"/>
  <c r="J11" i="7"/>
  <c r="AZ11" i="7" s="1"/>
  <c r="J12" i="7"/>
  <c r="J13" i="7"/>
  <c r="AZ13" i="7" s="1"/>
  <c r="J14" i="7"/>
  <c r="J7" i="7"/>
  <c r="AZ7" i="7" s="1"/>
  <c r="AZ23" i="7"/>
  <c r="AZ22" i="7"/>
  <c r="AZ8" i="7"/>
  <c r="AZ10" i="7"/>
  <c r="AZ12" i="7"/>
  <c r="AZ14" i="7"/>
  <c r="K36" i="6"/>
  <c r="K37" i="6"/>
  <c r="K38" i="6"/>
  <c r="K39" i="6"/>
  <c r="K40" i="6"/>
  <c r="BC40" i="6" s="1"/>
  <c r="K41" i="6"/>
  <c r="BC41" i="6" s="1"/>
  <c r="K42" i="6"/>
  <c r="BC42" i="6" s="1"/>
  <c r="J36" i="6"/>
  <c r="BB36" i="6" s="1"/>
  <c r="J37" i="6"/>
  <c r="BB37" i="6" s="1"/>
  <c r="J38" i="6"/>
  <c r="BB38" i="6" s="1"/>
  <c r="J39" i="6"/>
  <c r="J40" i="6"/>
  <c r="BB40" i="6" s="1"/>
  <c r="J41" i="6"/>
  <c r="BB41" i="6" s="1"/>
  <c r="J42" i="6"/>
  <c r="BB42" i="6" s="1"/>
  <c r="K22" i="6"/>
  <c r="BC22" i="6" s="1"/>
  <c r="K23" i="6"/>
  <c r="BC23" i="6" s="1"/>
  <c r="K24" i="6"/>
  <c r="K25" i="6"/>
  <c r="K26" i="6"/>
  <c r="K27" i="6"/>
  <c r="K28" i="6"/>
  <c r="BC28" i="6" s="1"/>
  <c r="J22" i="6"/>
  <c r="BB22" i="6" s="1"/>
  <c r="J23" i="6"/>
  <c r="BB23" i="6" s="1"/>
  <c r="J24" i="6"/>
  <c r="BB24" i="6" s="1"/>
  <c r="J25" i="6"/>
  <c r="J26" i="6"/>
  <c r="BB26" i="6" s="1"/>
  <c r="J27" i="6"/>
  <c r="J28" i="6"/>
  <c r="BB28" i="6" s="1"/>
  <c r="K21" i="6"/>
  <c r="J21" i="6"/>
  <c r="BB21" i="6" s="1"/>
  <c r="K35" i="6"/>
  <c r="BC35" i="6" s="1"/>
  <c r="J35" i="6"/>
  <c r="BB35" i="6" s="1"/>
  <c r="BC39" i="6"/>
  <c r="BB39" i="6"/>
  <c r="BC38" i="6"/>
  <c r="BC37" i="6"/>
  <c r="BC36" i="6"/>
  <c r="BC27" i="6"/>
  <c r="BB27" i="6"/>
  <c r="BC26" i="6"/>
  <c r="BC25" i="6"/>
  <c r="BB25" i="6"/>
  <c r="BC24" i="6"/>
  <c r="BC21" i="6"/>
  <c r="K8" i="6"/>
  <c r="BC8" i="6" s="1"/>
  <c r="K9" i="6"/>
  <c r="BC9" i="6" s="1"/>
  <c r="K10" i="6"/>
  <c r="BC10" i="6" s="1"/>
  <c r="K11" i="6"/>
  <c r="BC11" i="6" s="1"/>
  <c r="K12" i="6"/>
  <c r="BC12" i="6" s="1"/>
  <c r="K13" i="6"/>
  <c r="BC13" i="6" s="1"/>
  <c r="K14" i="6"/>
  <c r="BC14" i="6" s="1"/>
  <c r="J8" i="6"/>
  <c r="BB8" i="6" s="1"/>
  <c r="J9" i="6"/>
  <c r="BB9" i="6" s="1"/>
  <c r="J10" i="6"/>
  <c r="BB10" i="6" s="1"/>
  <c r="J11" i="6"/>
  <c r="BB11" i="6" s="1"/>
  <c r="J12" i="6"/>
  <c r="BB12" i="6" s="1"/>
  <c r="J13" i="6"/>
  <c r="BB13" i="6" s="1"/>
  <c r="J14" i="6"/>
  <c r="BB14" i="6" s="1"/>
  <c r="K7" i="6"/>
  <c r="BC7" i="6" s="1"/>
  <c r="J7" i="6"/>
  <c r="BB7" i="6" s="1"/>
  <c r="AD39" i="2"/>
  <c r="AD41" i="2"/>
  <c r="AD42" i="2"/>
  <c r="R39" i="2"/>
  <c r="R40" i="2"/>
  <c r="I22" i="5"/>
  <c r="AY22" i="5" s="1"/>
  <c r="I23" i="5"/>
  <c r="AY23" i="5" s="1"/>
  <c r="I24" i="5"/>
  <c r="AY24" i="5" s="1"/>
  <c r="I25" i="5"/>
  <c r="AY25" i="5" s="1"/>
  <c r="I26" i="5"/>
  <c r="AY26" i="5" s="1"/>
  <c r="I27" i="5"/>
  <c r="AY27" i="5" s="1"/>
  <c r="I28" i="5"/>
  <c r="AY28" i="5" s="1"/>
  <c r="I21" i="5"/>
  <c r="AY21" i="5" s="1"/>
  <c r="I8" i="5"/>
  <c r="I9" i="5"/>
  <c r="I10" i="5"/>
  <c r="I11" i="5"/>
  <c r="I12" i="5"/>
  <c r="I13" i="5"/>
  <c r="I14" i="5"/>
  <c r="I7" i="5"/>
  <c r="AY8" i="5"/>
  <c r="AY9" i="5"/>
  <c r="AY10" i="5"/>
  <c r="AY11" i="5"/>
  <c r="AY12" i="5"/>
  <c r="AY13" i="5"/>
  <c r="AY14" i="5"/>
  <c r="AY7" i="5"/>
  <c r="M36" i="2"/>
  <c r="BE36" i="2" s="1"/>
  <c r="M37" i="2"/>
  <c r="BE37" i="2" s="1"/>
  <c r="M38" i="2"/>
  <c r="BE38" i="2" s="1"/>
  <c r="M39" i="2"/>
  <c r="BE39" i="2" s="1"/>
  <c r="M40" i="2"/>
  <c r="BE40" i="2" s="1"/>
  <c r="M41" i="2"/>
  <c r="BE41" i="2" s="1"/>
  <c r="M42" i="2"/>
  <c r="BE42" i="2" s="1"/>
  <c r="L36" i="2"/>
  <c r="L37" i="2"/>
  <c r="BD37" i="2" s="1"/>
  <c r="L38" i="2"/>
  <c r="BD38" i="2" s="1"/>
  <c r="L39" i="2"/>
  <c r="BD39" i="2" s="1"/>
  <c r="L40" i="2"/>
  <c r="BD40" i="2" s="1"/>
  <c r="L41" i="2"/>
  <c r="BD41" i="2" s="1"/>
  <c r="L42" i="2"/>
  <c r="BD42" i="2" s="1"/>
  <c r="M35" i="2"/>
  <c r="BE35" i="2" s="1"/>
  <c r="L35" i="2"/>
  <c r="M22" i="2"/>
  <c r="BE22" i="2" s="1"/>
  <c r="M23" i="2"/>
  <c r="BE23" i="2" s="1"/>
  <c r="M24" i="2"/>
  <c r="BE24" i="2" s="1"/>
  <c r="M25" i="2"/>
  <c r="BE25" i="2" s="1"/>
  <c r="M26" i="2"/>
  <c r="BE26" i="2" s="1"/>
  <c r="M27" i="2"/>
  <c r="BE27" i="2" s="1"/>
  <c r="M28" i="2"/>
  <c r="BE28" i="2" s="1"/>
  <c r="L22" i="2"/>
  <c r="BD22" i="2" s="1"/>
  <c r="L23" i="2"/>
  <c r="BD23" i="2" s="1"/>
  <c r="L24" i="2"/>
  <c r="BD24" i="2" s="1"/>
  <c r="L25" i="2"/>
  <c r="BD25" i="2" s="1"/>
  <c r="L26" i="2"/>
  <c r="BD26" i="2" s="1"/>
  <c r="L27" i="2"/>
  <c r="BD27" i="2" s="1"/>
  <c r="L28" i="2"/>
  <c r="BD28" i="2" s="1"/>
  <c r="M21" i="2"/>
  <c r="BE21" i="2" s="1"/>
  <c r="L21" i="2"/>
  <c r="BD21" i="2" s="1"/>
  <c r="M8" i="2"/>
  <c r="M9" i="2"/>
  <c r="BE9" i="2" s="1"/>
  <c r="M10" i="2"/>
  <c r="M11" i="2"/>
  <c r="BE11" i="2" s="1"/>
  <c r="M12" i="2"/>
  <c r="M13" i="2"/>
  <c r="BE13" i="2" s="1"/>
  <c r="M14" i="2"/>
  <c r="L8" i="2"/>
  <c r="L9" i="2"/>
  <c r="BD9" i="2" s="1"/>
  <c r="L10" i="2"/>
  <c r="BD10" i="2" s="1"/>
  <c r="L11" i="2"/>
  <c r="BD11" i="2" s="1"/>
  <c r="L12" i="2"/>
  <c r="BD12" i="2" s="1"/>
  <c r="L13" i="2"/>
  <c r="BD13" i="2" s="1"/>
  <c r="L14" i="2"/>
  <c r="BD14" i="2" s="1"/>
  <c r="M7" i="2"/>
  <c r="L7" i="2"/>
  <c r="BD7" i="2" s="1"/>
  <c r="BD36" i="2"/>
  <c r="BD8" i="2"/>
  <c r="BD35" i="2"/>
  <c r="D22" i="7"/>
  <c r="AA22" i="7" s="1"/>
  <c r="D23" i="7"/>
  <c r="AA23" i="7" s="1"/>
  <c r="D24" i="7"/>
  <c r="O24" i="7" s="1"/>
  <c r="D25" i="7"/>
  <c r="AA25" i="7" s="1"/>
  <c r="D26" i="7"/>
  <c r="AA26" i="7" s="1"/>
  <c r="D27" i="7"/>
  <c r="AA27" i="7" s="1"/>
  <c r="D28" i="7"/>
  <c r="AA28" i="7" s="1"/>
  <c r="D21" i="7"/>
  <c r="O21" i="7" s="1"/>
  <c r="D8" i="7"/>
  <c r="D9" i="7"/>
  <c r="D10" i="7"/>
  <c r="D11" i="7"/>
  <c r="D12" i="7"/>
  <c r="D13" i="7"/>
  <c r="D14" i="7"/>
  <c r="D7" i="7"/>
  <c r="D22" i="6"/>
  <c r="D23" i="6"/>
  <c r="D24" i="6"/>
  <c r="D25" i="6"/>
  <c r="D26" i="6"/>
  <c r="D27" i="6"/>
  <c r="D28" i="6"/>
  <c r="D21" i="6"/>
  <c r="D36" i="6"/>
  <c r="D37" i="6"/>
  <c r="D38" i="6"/>
  <c r="D39" i="6"/>
  <c r="D40" i="6"/>
  <c r="D41" i="6"/>
  <c r="D42" i="6"/>
  <c r="D35" i="6"/>
  <c r="C36" i="6"/>
  <c r="AB36" i="6" s="1"/>
  <c r="C37" i="6"/>
  <c r="AB37" i="6" s="1"/>
  <c r="C38" i="6"/>
  <c r="AB38" i="6" s="1"/>
  <c r="C39" i="6"/>
  <c r="AB39" i="6" s="1"/>
  <c r="C40" i="6"/>
  <c r="AB40" i="6" s="1"/>
  <c r="C41" i="6"/>
  <c r="AB41" i="6" s="1"/>
  <c r="C42" i="6"/>
  <c r="AB42" i="6" s="1"/>
  <c r="C35" i="6"/>
  <c r="AB35" i="6" s="1"/>
  <c r="C22" i="6"/>
  <c r="AB22" i="6" s="1"/>
  <c r="C23" i="6"/>
  <c r="AB23" i="6" s="1"/>
  <c r="C24" i="6"/>
  <c r="AB24" i="6" s="1"/>
  <c r="C25" i="6"/>
  <c r="AB25" i="6" s="1"/>
  <c r="C26" i="6"/>
  <c r="AB26" i="6" s="1"/>
  <c r="C27" i="6"/>
  <c r="AB27" i="6" s="1"/>
  <c r="C28" i="6"/>
  <c r="AB28" i="6" s="1"/>
  <c r="C21" i="6"/>
  <c r="AB21" i="6" s="1"/>
  <c r="D8" i="6"/>
  <c r="D9" i="6"/>
  <c r="D10" i="6"/>
  <c r="D11" i="6"/>
  <c r="D12" i="6"/>
  <c r="D13" i="6"/>
  <c r="D14" i="6"/>
  <c r="C8" i="6"/>
  <c r="C9" i="6"/>
  <c r="C10" i="6"/>
  <c r="C11" i="6"/>
  <c r="C12" i="6"/>
  <c r="C13" i="6"/>
  <c r="C14" i="6"/>
  <c r="D7" i="6"/>
  <c r="C7" i="6"/>
  <c r="C22" i="5"/>
  <c r="Z22" i="5" s="1"/>
  <c r="C23" i="5"/>
  <c r="Z23" i="5" s="1"/>
  <c r="C24" i="5"/>
  <c r="Z24" i="5" s="1"/>
  <c r="C25" i="5"/>
  <c r="Z25" i="5" s="1"/>
  <c r="C26" i="5"/>
  <c r="Z26" i="5" s="1"/>
  <c r="C27" i="5"/>
  <c r="Z27" i="5" s="1"/>
  <c r="C28" i="5"/>
  <c r="Z28" i="5" s="1"/>
  <c r="C21" i="5"/>
  <c r="Z21" i="5" s="1"/>
  <c r="C8" i="5"/>
  <c r="C9" i="5"/>
  <c r="C10" i="5"/>
  <c r="C11" i="5"/>
  <c r="C12" i="5"/>
  <c r="C13" i="5"/>
  <c r="C14" i="5"/>
  <c r="C7" i="5"/>
  <c r="E36" i="2"/>
  <c r="E37" i="2"/>
  <c r="E38" i="2"/>
  <c r="E39" i="2"/>
  <c r="E40" i="2"/>
  <c r="E41" i="2"/>
  <c r="E42" i="2"/>
  <c r="E35" i="2"/>
  <c r="D36" i="2"/>
  <c r="D37" i="2"/>
  <c r="D38" i="2"/>
  <c r="D39" i="2"/>
  <c r="D40" i="2"/>
  <c r="D41" i="2"/>
  <c r="D42" i="2"/>
  <c r="D35" i="2"/>
  <c r="AD35" i="2" s="1"/>
  <c r="D21" i="2"/>
  <c r="E22" i="2"/>
  <c r="E23" i="2"/>
  <c r="E24" i="2"/>
  <c r="E25" i="2"/>
  <c r="E26" i="2"/>
  <c r="E27" i="2"/>
  <c r="E28" i="2"/>
  <c r="E21" i="2"/>
  <c r="R21" i="2" s="1"/>
  <c r="D22" i="2"/>
  <c r="R22" i="2" s="1"/>
  <c r="D23" i="2"/>
  <c r="AD23" i="2" s="1"/>
  <c r="D24" i="2"/>
  <c r="R24" i="2" s="1"/>
  <c r="D25" i="2"/>
  <c r="AD25" i="2" s="1"/>
  <c r="D26" i="2"/>
  <c r="AD26" i="2" s="1"/>
  <c r="D27" i="2"/>
  <c r="AD27" i="2" s="1"/>
  <c r="D28" i="2"/>
  <c r="AD28" i="2" s="1"/>
  <c r="O24" i="9" l="1"/>
  <c r="T24" i="9" s="1"/>
  <c r="AA28" i="9"/>
  <c r="O28" i="9"/>
  <c r="T28" i="9" s="1"/>
  <c r="AC22" i="3"/>
  <c r="AA23" i="9"/>
  <c r="O23" i="9"/>
  <c r="O27" i="9"/>
  <c r="T27" i="9" s="1"/>
  <c r="AC23" i="3"/>
  <c r="AA26" i="9"/>
  <c r="O26" i="9"/>
  <c r="T26" i="9" s="1"/>
  <c r="AA22" i="9"/>
  <c r="O22" i="9"/>
  <c r="O25" i="9"/>
  <c r="T25" i="9" s="1"/>
  <c r="T23" i="9"/>
  <c r="AA27" i="9"/>
  <c r="AA21" i="9"/>
  <c r="AA25" i="9"/>
  <c r="AA24" i="9"/>
  <c r="T22" i="9"/>
  <c r="P39" i="6"/>
  <c r="AC10" i="3"/>
  <c r="AC8" i="3"/>
  <c r="Q14" i="3"/>
  <c r="AA21" i="12"/>
  <c r="AA24" i="12"/>
  <c r="AA28" i="12"/>
  <c r="AA27" i="12"/>
  <c r="O23" i="12"/>
  <c r="O26" i="12"/>
  <c r="AA22" i="12"/>
  <c r="F28" i="13"/>
  <c r="F26" i="13"/>
  <c r="F24" i="13"/>
  <c r="F22" i="13"/>
  <c r="M21" i="13"/>
  <c r="BE21" i="13" s="1"/>
  <c r="M23" i="13"/>
  <c r="BE23" i="13" s="1"/>
  <c r="F27" i="13"/>
  <c r="F25" i="13"/>
  <c r="AA24" i="7"/>
  <c r="O22" i="7"/>
  <c r="O23" i="7"/>
  <c r="O28" i="7"/>
  <c r="AA21" i="7"/>
  <c r="O27" i="7"/>
  <c r="O26" i="7"/>
  <c r="P21" i="6"/>
  <c r="P23" i="6"/>
  <c r="P25" i="6"/>
  <c r="P27" i="6"/>
  <c r="P35" i="6"/>
  <c r="P37" i="6"/>
  <c r="P41" i="6"/>
  <c r="P22" i="6"/>
  <c r="P24" i="6"/>
  <c r="P26" i="6"/>
  <c r="P28" i="6"/>
  <c r="P36" i="6"/>
  <c r="P38" i="6"/>
  <c r="P40" i="6"/>
  <c r="P42" i="6"/>
  <c r="N22" i="5"/>
  <c r="N24" i="5"/>
  <c r="N26" i="5"/>
  <c r="N28" i="5"/>
  <c r="N21" i="5"/>
  <c r="N23" i="5"/>
  <c r="N25" i="5"/>
  <c r="N27" i="5"/>
  <c r="Q7" i="4"/>
  <c r="Q10" i="4"/>
  <c r="AC12" i="4"/>
  <c r="AC14" i="4"/>
  <c r="Q8" i="4"/>
  <c r="AC9" i="4"/>
  <c r="Q13" i="4"/>
  <c r="AC7" i="3"/>
  <c r="AC9" i="3"/>
  <c r="AC13" i="3"/>
  <c r="Q7" i="3"/>
  <c r="V7" i="3" s="1"/>
  <c r="Q11" i="4"/>
  <c r="AC14" i="3"/>
  <c r="AC12" i="3"/>
  <c r="Q11" i="3"/>
  <c r="V11" i="3" s="1"/>
  <c r="AA25" i="12"/>
  <c r="O25" i="7"/>
  <c r="R23" i="2"/>
  <c r="R28" i="2"/>
  <c r="R27" i="2"/>
  <c r="R26" i="2"/>
  <c r="R25" i="2"/>
  <c r="AD22" i="2"/>
  <c r="BE7" i="2"/>
  <c r="BE14" i="2"/>
  <c r="BE12" i="2"/>
  <c r="BE10" i="2"/>
  <c r="BE8" i="2"/>
  <c r="R35" i="2"/>
  <c r="AD21" i="2"/>
  <c r="AD24" i="2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7" i="2"/>
  <c r="E7" i="2" s="1"/>
  <c r="R14" i="2" l="1"/>
  <c r="AD14" i="2"/>
  <c r="BV14" i="2" s="1"/>
  <c r="AD8" i="2"/>
  <c r="AE8" i="2" s="1"/>
  <c r="BW8" i="2" s="1"/>
  <c r="R8" i="2"/>
  <c r="R12" i="2"/>
  <c r="BJ12" i="2" s="1"/>
  <c r="AD12" i="2"/>
  <c r="AD13" i="2"/>
  <c r="R13" i="2"/>
  <c r="W13" i="2" s="1"/>
  <c r="R11" i="2"/>
  <c r="AD11" i="2"/>
  <c r="AD9" i="2"/>
  <c r="AE9" i="2" s="1"/>
  <c r="BW9" i="2" s="1"/>
  <c r="R9" i="2"/>
  <c r="W14" i="2"/>
  <c r="R10" i="2"/>
  <c r="BJ10" i="2" s="1"/>
  <c r="AD10" i="2"/>
  <c r="W8" i="2"/>
  <c r="BV12" i="2"/>
  <c r="W11" i="2"/>
  <c r="R7" i="2"/>
  <c r="AD7" i="2"/>
  <c r="Z7" i="2" s="1"/>
  <c r="BR7" i="2" s="1"/>
  <c r="T24" i="7"/>
  <c r="T23" i="7"/>
  <c r="T25" i="7"/>
  <c r="T27" i="7"/>
  <c r="O10" i="7"/>
  <c r="T10" i="7" s="1"/>
  <c r="O7" i="7"/>
  <c r="T8" i="7"/>
  <c r="AB21" i="7"/>
  <c r="BR21" i="7" s="1"/>
  <c r="AA7" i="7"/>
  <c r="AB7" i="7" s="1"/>
  <c r="BR7" i="7" s="1"/>
  <c r="T28" i="7"/>
  <c r="T26" i="7"/>
  <c r="T22" i="7"/>
  <c r="T21" i="7"/>
  <c r="AB7" i="10"/>
  <c r="U11" i="10"/>
  <c r="T11" i="10" s="1"/>
  <c r="BJ11" i="10" s="1"/>
  <c r="P25" i="10"/>
  <c r="BF25" i="10" s="1"/>
  <c r="AB25" i="10"/>
  <c r="AB11" i="10"/>
  <c r="R11" i="13"/>
  <c r="W11" i="13" s="1"/>
  <c r="AB12" i="10"/>
  <c r="AC12" i="10" s="1"/>
  <c r="BS12" i="10" s="1"/>
  <c r="AB26" i="10"/>
  <c r="BR26" i="10" s="1"/>
  <c r="P26" i="10"/>
  <c r="P12" i="10"/>
  <c r="U12" i="10" s="1"/>
  <c r="T12" i="10" s="1"/>
  <c r="BJ12" i="10" s="1"/>
  <c r="P27" i="10"/>
  <c r="BF27" i="10" s="1"/>
  <c r="P13" i="10"/>
  <c r="AB27" i="10"/>
  <c r="Y27" i="10" s="1"/>
  <c r="BO27" i="10" s="1"/>
  <c r="AB13" i="10"/>
  <c r="BR13" i="10" s="1"/>
  <c r="R13" i="13"/>
  <c r="AB14" i="10"/>
  <c r="BR14" i="10" s="1"/>
  <c r="AB28" i="10"/>
  <c r="P28" i="10"/>
  <c r="BF28" i="10" s="1"/>
  <c r="P14" i="10"/>
  <c r="BF14" i="10" s="1"/>
  <c r="R14" i="13"/>
  <c r="P23" i="10"/>
  <c r="P9" i="10"/>
  <c r="N9" i="10" s="1"/>
  <c r="BD9" i="10" s="1"/>
  <c r="AB23" i="10"/>
  <c r="Y23" i="10" s="1"/>
  <c r="BO23" i="10" s="1"/>
  <c r="AB9" i="10"/>
  <c r="AC9" i="10" s="1"/>
  <c r="BS9" i="10" s="1"/>
  <c r="R9" i="13"/>
  <c r="BJ9" i="13" s="1"/>
  <c r="AB8" i="10"/>
  <c r="AB22" i="10"/>
  <c r="P22" i="10"/>
  <c r="BF22" i="10" s="1"/>
  <c r="P8" i="10"/>
  <c r="U8" i="10" s="1"/>
  <c r="T8" i="10" s="1"/>
  <c r="BJ8" i="10" s="1"/>
  <c r="R8" i="13"/>
  <c r="BJ8" i="13" s="1"/>
  <c r="AB24" i="10"/>
  <c r="Y24" i="10" s="1"/>
  <c r="BO24" i="10" s="1"/>
  <c r="AB21" i="10"/>
  <c r="BR21" i="10" s="1"/>
  <c r="P24" i="10"/>
  <c r="BF24" i="10" s="1"/>
  <c r="U23" i="10"/>
  <c r="BF26" i="10"/>
  <c r="P21" i="10"/>
  <c r="M21" i="10" s="1"/>
  <c r="BC21" i="10" s="1"/>
  <c r="AC11" i="10"/>
  <c r="BS11" i="10" s="1"/>
  <c r="P10" i="10"/>
  <c r="U10" i="10" s="1"/>
  <c r="T10" i="10" s="1"/>
  <c r="BJ10" i="10" s="1"/>
  <c r="U9" i="10"/>
  <c r="T9" i="10" s="1"/>
  <c r="BJ9" i="10" s="1"/>
  <c r="U13" i="10"/>
  <c r="P7" i="10"/>
  <c r="U7" i="10" s="1"/>
  <c r="T7" i="10" s="1"/>
  <c r="BJ7" i="10" s="1"/>
  <c r="W25" i="5"/>
  <c r="BM25" i="5" s="1"/>
  <c r="Z11" i="5"/>
  <c r="BP26" i="5"/>
  <c r="Z12" i="5"/>
  <c r="BP12" i="5" s="1"/>
  <c r="Z13" i="5"/>
  <c r="Z14" i="5"/>
  <c r="Z10" i="5"/>
  <c r="W10" i="5" s="1"/>
  <c r="BM10" i="5" s="1"/>
  <c r="Z9" i="5"/>
  <c r="U9" i="5" s="1"/>
  <c r="BK9" i="5" s="1"/>
  <c r="BP22" i="5"/>
  <c r="BP24" i="5"/>
  <c r="V28" i="5"/>
  <c r="BL28" i="5" s="1"/>
  <c r="W22" i="5"/>
  <c r="BM22" i="5" s="1"/>
  <c r="BP21" i="5"/>
  <c r="Z8" i="5"/>
  <c r="N11" i="5"/>
  <c r="S11" i="5" s="1"/>
  <c r="N12" i="5"/>
  <c r="S12" i="5" s="1"/>
  <c r="N13" i="5"/>
  <c r="K13" i="5" s="1"/>
  <c r="BA13" i="5" s="1"/>
  <c r="N14" i="5"/>
  <c r="N10" i="5"/>
  <c r="S10" i="5" s="1"/>
  <c r="N9" i="5"/>
  <c r="S9" i="5" s="1"/>
  <c r="N8" i="5"/>
  <c r="S8" i="5" s="1"/>
  <c r="AG25" i="2"/>
  <c r="BY25" i="2" s="1"/>
  <c r="AA11" i="1"/>
  <c r="W39" i="2"/>
  <c r="O11" i="1"/>
  <c r="W40" i="2"/>
  <c r="W26" i="2"/>
  <c r="AD40" i="2"/>
  <c r="BV40" i="2" s="1"/>
  <c r="AA12" i="1"/>
  <c r="Z41" i="2"/>
  <c r="BR41" i="2" s="1"/>
  <c r="BV27" i="2"/>
  <c r="AA13" i="1"/>
  <c r="W27" i="2"/>
  <c r="R41" i="2"/>
  <c r="W41" i="2" s="1"/>
  <c r="O13" i="1"/>
  <c r="AE42" i="2"/>
  <c r="BW42" i="2" s="1"/>
  <c r="W28" i="2"/>
  <c r="R42" i="2"/>
  <c r="W42" i="2" s="1"/>
  <c r="AD37" i="2"/>
  <c r="Z37" i="2" s="1"/>
  <c r="BR37" i="2" s="1"/>
  <c r="AA9" i="1"/>
  <c r="W9" i="2"/>
  <c r="W23" i="2"/>
  <c r="R37" i="2"/>
  <c r="W37" i="2" s="1"/>
  <c r="O9" i="1"/>
  <c r="AD36" i="2"/>
  <c r="BV36" i="2" s="1"/>
  <c r="R36" i="2"/>
  <c r="W36" i="2" s="1"/>
  <c r="N22" i="2"/>
  <c r="BF22" i="2" s="1"/>
  <c r="O8" i="1"/>
  <c r="AD38" i="2"/>
  <c r="BV38" i="2" s="1"/>
  <c r="BV21" i="2"/>
  <c r="R38" i="2"/>
  <c r="W38" i="2" s="1"/>
  <c r="W35" i="2"/>
  <c r="W25" i="2"/>
  <c r="W24" i="2"/>
  <c r="W21" i="2"/>
  <c r="BD21" i="5"/>
  <c r="AB10" i="6"/>
  <c r="P10" i="6"/>
  <c r="U10" i="6" s="1"/>
  <c r="U38" i="6"/>
  <c r="AB12" i="6"/>
  <c r="O11" i="12"/>
  <c r="BE11" i="12" s="1"/>
  <c r="P12" i="6"/>
  <c r="U12" i="6" s="1"/>
  <c r="O12" i="12"/>
  <c r="BH41" i="6"/>
  <c r="O13" i="12"/>
  <c r="P14" i="6"/>
  <c r="BH14" i="6" s="1"/>
  <c r="O14" i="12"/>
  <c r="BE14" i="12" s="1"/>
  <c r="P9" i="6"/>
  <c r="U9" i="6" s="1"/>
  <c r="U23" i="6"/>
  <c r="O9" i="12"/>
  <c r="BH37" i="6"/>
  <c r="BH39" i="6"/>
  <c r="O8" i="12"/>
  <c r="T8" i="12" s="1"/>
  <c r="U25" i="6"/>
  <c r="U27" i="6"/>
  <c r="AB7" i="6"/>
  <c r="P7" i="6"/>
  <c r="U7" i="6" s="1"/>
  <c r="U42" i="6"/>
  <c r="U41" i="6"/>
  <c r="U40" i="6"/>
  <c r="U39" i="6"/>
  <c r="U37" i="6"/>
  <c r="U36" i="6"/>
  <c r="U28" i="6"/>
  <c r="U26" i="6"/>
  <c r="U24" i="6"/>
  <c r="U22" i="6"/>
  <c r="U21" i="6"/>
  <c r="U13" i="6"/>
  <c r="U14" i="6"/>
  <c r="U11" i="6"/>
  <c r="S28" i="5"/>
  <c r="S27" i="5"/>
  <c r="S26" i="5"/>
  <c r="S23" i="5"/>
  <c r="S25" i="5"/>
  <c r="N7" i="5"/>
  <c r="S7" i="5" s="1"/>
  <c r="S14" i="5"/>
  <c r="Z7" i="5"/>
  <c r="U7" i="5" s="1"/>
  <c r="BK7" i="5" s="1"/>
  <c r="AD37" i="13"/>
  <c r="BV37" i="13" s="1"/>
  <c r="AD23" i="13"/>
  <c r="AD9" i="13"/>
  <c r="BV9" i="13" s="1"/>
  <c r="AD22" i="13"/>
  <c r="BV22" i="13" s="1"/>
  <c r="AD36" i="13"/>
  <c r="AD8" i="13"/>
  <c r="AD24" i="13"/>
  <c r="AD38" i="13"/>
  <c r="AD39" i="13"/>
  <c r="BV39" i="13" s="1"/>
  <c r="AD25" i="13"/>
  <c r="AD40" i="13"/>
  <c r="BV40" i="13" s="1"/>
  <c r="AD26" i="13"/>
  <c r="BV26" i="13" s="1"/>
  <c r="AD41" i="13"/>
  <c r="AD27" i="13"/>
  <c r="AD42" i="13"/>
  <c r="BV42" i="13" s="1"/>
  <c r="AD28" i="13"/>
  <c r="BV28" i="13" s="1"/>
  <c r="BV41" i="13"/>
  <c r="AD35" i="13"/>
  <c r="BV35" i="13" s="1"/>
  <c r="R28" i="13"/>
  <c r="W28" i="13" s="1"/>
  <c r="R27" i="13"/>
  <c r="BJ27" i="13" s="1"/>
  <c r="R26" i="13"/>
  <c r="BJ26" i="13" s="1"/>
  <c r="R25" i="13"/>
  <c r="BJ25" i="13" s="1"/>
  <c r="R24" i="13"/>
  <c r="W24" i="13" s="1"/>
  <c r="R23" i="13"/>
  <c r="BJ23" i="13" s="1"/>
  <c r="R22" i="13"/>
  <c r="BJ22" i="13" s="1"/>
  <c r="R21" i="13"/>
  <c r="BJ21" i="13" s="1"/>
  <c r="BV25" i="13"/>
  <c r="AD21" i="13"/>
  <c r="BV21" i="13" s="1"/>
  <c r="AD14" i="13"/>
  <c r="AD13" i="13"/>
  <c r="BV13" i="13" s="1"/>
  <c r="AD12" i="13"/>
  <c r="BV12" i="13" s="1"/>
  <c r="AD11" i="13"/>
  <c r="BV11" i="13" s="1"/>
  <c r="AD10" i="13"/>
  <c r="BV10" i="13" s="1"/>
  <c r="AD7" i="13"/>
  <c r="BV7" i="13" s="1"/>
  <c r="W26" i="13"/>
  <c r="W25" i="13"/>
  <c r="R38" i="13"/>
  <c r="BJ38" i="13" s="1"/>
  <c r="R39" i="13"/>
  <c r="BJ39" i="13" s="1"/>
  <c r="R40" i="13"/>
  <c r="BJ40" i="13" s="1"/>
  <c r="R12" i="13"/>
  <c r="W12" i="13" s="1"/>
  <c r="R41" i="13"/>
  <c r="BJ41" i="13" s="1"/>
  <c r="R42" i="13"/>
  <c r="BJ42" i="13" s="1"/>
  <c r="R37" i="13"/>
  <c r="BJ37" i="13" s="1"/>
  <c r="R36" i="13"/>
  <c r="R35" i="13"/>
  <c r="BJ35" i="13" s="1"/>
  <c r="BQ11" i="12"/>
  <c r="AA12" i="12"/>
  <c r="BQ12" i="12" s="1"/>
  <c r="AA8" i="12"/>
  <c r="O14" i="1"/>
  <c r="T14" i="1" s="1"/>
  <c r="W14" i="13"/>
  <c r="W13" i="13"/>
  <c r="R10" i="13"/>
  <c r="W10" i="13" s="1"/>
  <c r="R7" i="13"/>
  <c r="W7" i="13" s="1"/>
  <c r="T21" i="12"/>
  <c r="BJ13" i="13"/>
  <c r="BJ14" i="13"/>
  <c r="T28" i="12"/>
  <c r="T14" i="12"/>
  <c r="T27" i="12"/>
  <c r="T13" i="12"/>
  <c r="T26" i="12"/>
  <c r="T12" i="12"/>
  <c r="T25" i="12"/>
  <c r="T11" i="12"/>
  <c r="T23" i="12"/>
  <c r="BE9" i="12"/>
  <c r="O7" i="12"/>
  <c r="T7" i="12" s="1"/>
  <c r="T24" i="12"/>
  <c r="O10" i="12"/>
  <c r="T10" i="12" s="1"/>
  <c r="S10" i="12" s="1"/>
  <c r="BI10" i="12" s="1"/>
  <c r="BQ27" i="12"/>
  <c r="BQ23" i="12"/>
  <c r="AA7" i="12"/>
  <c r="BQ7" i="12" s="1"/>
  <c r="BQ24" i="12"/>
  <c r="AA10" i="12"/>
  <c r="BQ10" i="12" s="1"/>
  <c r="BV38" i="13"/>
  <c r="BV36" i="13"/>
  <c r="BJ36" i="13"/>
  <c r="BV27" i="13"/>
  <c r="BV24" i="13"/>
  <c r="BJ24" i="13"/>
  <c r="BV23" i="13"/>
  <c r="BV14" i="13"/>
  <c r="BJ11" i="13"/>
  <c r="BV8" i="13"/>
  <c r="BQ28" i="12"/>
  <c r="BE28" i="12"/>
  <c r="BE27" i="12"/>
  <c r="BQ26" i="12"/>
  <c r="BE26" i="12"/>
  <c r="K26" i="12"/>
  <c r="BA26" i="12" s="1"/>
  <c r="BQ25" i="12"/>
  <c r="BE25" i="12"/>
  <c r="BE24" i="12"/>
  <c r="BE23" i="12"/>
  <c r="BQ22" i="12"/>
  <c r="BE22" i="12"/>
  <c r="BQ21" i="12"/>
  <c r="AB14" i="12"/>
  <c r="BR14" i="12" s="1"/>
  <c r="BQ14" i="12"/>
  <c r="W14" i="12"/>
  <c r="BM14" i="12" s="1"/>
  <c r="BQ13" i="12"/>
  <c r="BE13" i="12"/>
  <c r="K10" i="12"/>
  <c r="BA10" i="12" s="1"/>
  <c r="BQ9" i="12"/>
  <c r="BQ8" i="12"/>
  <c r="L8" i="12"/>
  <c r="BB8" i="12" s="1"/>
  <c r="BR28" i="10"/>
  <c r="Y28" i="10"/>
  <c r="BO28" i="10" s="1"/>
  <c r="BR27" i="10"/>
  <c r="Y26" i="10"/>
  <c r="BO26" i="10" s="1"/>
  <c r="M26" i="10"/>
  <c r="BC26" i="10" s="1"/>
  <c r="BR25" i="10"/>
  <c r="Y25" i="10"/>
  <c r="BO25" i="10" s="1"/>
  <c r="BR24" i="10"/>
  <c r="BF23" i="10"/>
  <c r="M23" i="10"/>
  <c r="BC23" i="10" s="1"/>
  <c r="BR22" i="10"/>
  <c r="Y22" i="10"/>
  <c r="BO22" i="10" s="1"/>
  <c r="BF13" i="10"/>
  <c r="M13" i="10"/>
  <c r="BC13" i="10" s="1"/>
  <c r="Y12" i="10"/>
  <c r="BO12" i="10" s="1"/>
  <c r="X12" i="10"/>
  <c r="BN12" i="10" s="1"/>
  <c r="BF12" i="10"/>
  <c r="N12" i="10"/>
  <c r="BD12" i="10" s="1"/>
  <c r="BR11" i="10"/>
  <c r="Y11" i="10"/>
  <c r="BO11" i="10" s="1"/>
  <c r="BF11" i="10"/>
  <c r="M11" i="10"/>
  <c r="BC11" i="10" s="1"/>
  <c r="AC10" i="10"/>
  <c r="BS10" i="10" s="1"/>
  <c r="BR10" i="10"/>
  <c r="Z10" i="10"/>
  <c r="BP10" i="10" s="1"/>
  <c r="Y10" i="10"/>
  <c r="BO10" i="10" s="1"/>
  <c r="X10" i="10"/>
  <c r="BN10" i="10" s="1"/>
  <c r="Q10" i="10"/>
  <c r="BG10" i="10" s="1"/>
  <c r="BF10" i="10"/>
  <c r="M10" i="10"/>
  <c r="BC10" i="10" s="1"/>
  <c r="L10" i="10"/>
  <c r="BB10" i="10" s="1"/>
  <c r="Q9" i="10"/>
  <c r="BG9" i="10" s="1"/>
  <c r="BF9" i="10"/>
  <c r="M9" i="10"/>
  <c r="BC9" i="10" s="1"/>
  <c r="L9" i="10"/>
  <c r="BB9" i="10" s="1"/>
  <c r="AC8" i="10"/>
  <c r="BS8" i="10" s="1"/>
  <c r="BR8" i="10"/>
  <c r="Z8" i="10"/>
  <c r="BP8" i="10" s="1"/>
  <c r="Y8" i="10"/>
  <c r="BO8" i="10" s="1"/>
  <c r="X8" i="10"/>
  <c r="BN8" i="10" s="1"/>
  <c r="BF8" i="10"/>
  <c r="N8" i="10"/>
  <c r="BD8" i="10" s="1"/>
  <c r="BR7" i="10"/>
  <c r="Q7" i="10"/>
  <c r="BG7" i="10" s="1"/>
  <c r="BF7" i="10"/>
  <c r="M7" i="10"/>
  <c r="BC7" i="10" s="1"/>
  <c r="L7" i="10"/>
  <c r="BB7" i="10" s="1"/>
  <c r="BQ28" i="9"/>
  <c r="BE28" i="9"/>
  <c r="BQ27" i="9"/>
  <c r="BE27" i="9"/>
  <c r="BQ26" i="9"/>
  <c r="BE26" i="9"/>
  <c r="BQ25" i="9"/>
  <c r="BE25" i="9"/>
  <c r="BQ24" i="9"/>
  <c r="BE24" i="9"/>
  <c r="BQ23" i="9"/>
  <c r="BE23" i="9"/>
  <c r="BQ22" i="9"/>
  <c r="BE22" i="9"/>
  <c r="BQ21" i="9"/>
  <c r="BE21" i="9"/>
  <c r="BQ14" i="9"/>
  <c r="BE14" i="9"/>
  <c r="BQ13" i="9"/>
  <c r="BE13" i="9"/>
  <c r="BQ12" i="9"/>
  <c r="BE12" i="9"/>
  <c r="BQ11" i="9"/>
  <c r="BE11" i="9"/>
  <c r="BQ10" i="9"/>
  <c r="BE10" i="9"/>
  <c r="BQ9" i="9"/>
  <c r="BE9" i="9"/>
  <c r="BQ8" i="9"/>
  <c r="BE8" i="9"/>
  <c r="BQ7" i="9"/>
  <c r="BE7" i="9"/>
  <c r="BF28" i="8"/>
  <c r="BF27" i="8"/>
  <c r="L27" i="8"/>
  <c r="BB27" i="8" s="1"/>
  <c r="BF26" i="8"/>
  <c r="L26" i="8"/>
  <c r="BB26" i="8" s="1"/>
  <c r="BF25" i="8"/>
  <c r="L25" i="8"/>
  <c r="BB25" i="8" s="1"/>
  <c r="BR24" i="8"/>
  <c r="X24" i="8"/>
  <c r="BN24" i="8" s="1"/>
  <c r="BF24" i="8"/>
  <c r="L24" i="8"/>
  <c r="BR23" i="8"/>
  <c r="X23" i="8"/>
  <c r="BN23" i="8" s="1"/>
  <c r="BF23" i="8"/>
  <c r="L23" i="8"/>
  <c r="BR22" i="8"/>
  <c r="X22" i="8"/>
  <c r="BN22" i="8" s="1"/>
  <c r="BF22" i="8"/>
  <c r="BR21" i="8"/>
  <c r="BF21" i="8"/>
  <c r="BF14" i="8"/>
  <c r="BF13" i="8"/>
  <c r="BF12" i="8"/>
  <c r="BR11" i="8"/>
  <c r="BF11" i="8"/>
  <c r="BR10" i="8"/>
  <c r="BF10" i="8"/>
  <c r="L10" i="8"/>
  <c r="BB10" i="8" s="1"/>
  <c r="BR9" i="8"/>
  <c r="BF9" i="8"/>
  <c r="BR8" i="8"/>
  <c r="BF8" i="8"/>
  <c r="L8" i="8"/>
  <c r="BB8" i="8" s="1"/>
  <c r="BR7" i="8"/>
  <c r="BF7" i="8"/>
  <c r="BQ28" i="7"/>
  <c r="BE28" i="7"/>
  <c r="BQ27" i="7"/>
  <c r="BE27" i="7"/>
  <c r="BQ26" i="7"/>
  <c r="BE26" i="7"/>
  <c r="BQ25" i="7"/>
  <c r="BE25" i="7"/>
  <c r="BQ24" i="7"/>
  <c r="BE24" i="7"/>
  <c r="BQ23" i="7"/>
  <c r="BE23" i="7"/>
  <c r="BQ22" i="7"/>
  <c r="BE22" i="7"/>
  <c r="AB14" i="7"/>
  <c r="BR14" i="7" s="1"/>
  <c r="T14" i="7"/>
  <c r="K14" i="7"/>
  <c r="BA14" i="7" s="1"/>
  <c r="AB13" i="7"/>
  <c r="BR13" i="7" s="1"/>
  <c r="T13" i="7"/>
  <c r="AB12" i="7"/>
  <c r="BR12" i="7" s="1"/>
  <c r="T12" i="7"/>
  <c r="AB11" i="7"/>
  <c r="BR11" i="7" s="1"/>
  <c r="T11" i="7"/>
  <c r="AB10" i="7"/>
  <c r="BR10" i="7" s="1"/>
  <c r="AB9" i="7"/>
  <c r="BR9" i="7" s="1"/>
  <c r="T9" i="7"/>
  <c r="AB8" i="7"/>
  <c r="BR8" i="7" s="1"/>
  <c r="BT42" i="6"/>
  <c r="BH42" i="6"/>
  <c r="BT41" i="6"/>
  <c r="BT40" i="6"/>
  <c r="BH40" i="6"/>
  <c r="BT39" i="6"/>
  <c r="BT38" i="6"/>
  <c r="BH38" i="6"/>
  <c r="BT37" i="6"/>
  <c r="BT36" i="6"/>
  <c r="BH36" i="6"/>
  <c r="BT35" i="6"/>
  <c r="BH35" i="6"/>
  <c r="BT28" i="6"/>
  <c r="BH28" i="6"/>
  <c r="BT27" i="6"/>
  <c r="BT26" i="6"/>
  <c r="BH26" i="6"/>
  <c r="BT25" i="6"/>
  <c r="BT24" i="6"/>
  <c r="BH24" i="6"/>
  <c r="BT23" i="6"/>
  <c r="BT22" i="6"/>
  <c r="BH22" i="6"/>
  <c r="BT21" i="6"/>
  <c r="BH21" i="6"/>
  <c r="BT14" i="6"/>
  <c r="BT13" i="6"/>
  <c r="BH13" i="6"/>
  <c r="BT12" i="6"/>
  <c r="BT11" i="6"/>
  <c r="BH11" i="6"/>
  <c r="BT10" i="6"/>
  <c r="BT9" i="6"/>
  <c r="BH9" i="6"/>
  <c r="BT8" i="6"/>
  <c r="BH8" i="6"/>
  <c r="BT7" i="6"/>
  <c r="BH7" i="6"/>
  <c r="BP28" i="5"/>
  <c r="O28" i="5"/>
  <c r="BE28" i="5" s="1"/>
  <c r="BD28" i="5"/>
  <c r="M28" i="5"/>
  <c r="BC28" i="5" s="1"/>
  <c r="L28" i="5"/>
  <c r="BB28" i="5" s="1"/>
  <c r="K28" i="5"/>
  <c r="BA28" i="5" s="1"/>
  <c r="J28" i="5"/>
  <c r="AZ28" i="5" s="1"/>
  <c r="BP27" i="5"/>
  <c r="X27" i="5"/>
  <c r="BN27" i="5" s="1"/>
  <c r="V27" i="5"/>
  <c r="BL27" i="5" s="1"/>
  <c r="BD27" i="5"/>
  <c r="J27" i="5"/>
  <c r="AZ27" i="5" s="1"/>
  <c r="V26" i="5"/>
  <c r="BL26" i="5" s="1"/>
  <c r="BD26" i="5"/>
  <c r="K26" i="5"/>
  <c r="BA26" i="5" s="1"/>
  <c r="BP25" i="5"/>
  <c r="U25" i="5"/>
  <c r="BK25" i="5" s="1"/>
  <c r="O25" i="5"/>
  <c r="BE25" i="5" s="1"/>
  <c r="BD25" i="5"/>
  <c r="M25" i="5"/>
  <c r="BC25" i="5" s="1"/>
  <c r="K25" i="5"/>
  <c r="BA25" i="5" s="1"/>
  <c r="J25" i="5"/>
  <c r="AZ25" i="5" s="1"/>
  <c r="W24" i="5"/>
  <c r="BM24" i="5" s="1"/>
  <c r="BD24" i="5"/>
  <c r="K24" i="5"/>
  <c r="BA24" i="5" s="1"/>
  <c r="BP23" i="5"/>
  <c r="W23" i="5"/>
  <c r="BM23" i="5" s="1"/>
  <c r="U23" i="5"/>
  <c r="BK23" i="5" s="1"/>
  <c r="BD23" i="5"/>
  <c r="K23" i="5"/>
  <c r="BA23" i="5" s="1"/>
  <c r="U22" i="5"/>
  <c r="BK22" i="5" s="1"/>
  <c r="BD22" i="5"/>
  <c r="K22" i="5"/>
  <c r="BA22" i="5" s="1"/>
  <c r="J22" i="5"/>
  <c r="AZ22" i="5" s="1"/>
  <c r="W21" i="5"/>
  <c r="BM21" i="5" s="1"/>
  <c r="BP14" i="5"/>
  <c r="W14" i="5"/>
  <c r="BM14" i="5" s="1"/>
  <c r="U14" i="5"/>
  <c r="BK14" i="5" s="1"/>
  <c r="BD14" i="5"/>
  <c r="M14" i="5"/>
  <c r="BC14" i="5" s="1"/>
  <c r="K14" i="5"/>
  <c r="BA14" i="5" s="1"/>
  <c r="J14" i="5"/>
  <c r="AZ14" i="5" s="1"/>
  <c r="BP13" i="5"/>
  <c r="W13" i="5"/>
  <c r="BM13" i="5" s="1"/>
  <c r="U13" i="5"/>
  <c r="BK13" i="5" s="1"/>
  <c r="M13" i="5"/>
  <c r="BC13" i="5" s="1"/>
  <c r="BD12" i="5"/>
  <c r="K12" i="5"/>
  <c r="BA12" i="5" s="1"/>
  <c r="J12" i="5"/>
  <c r="AZ12" i="5" s="1"/>
  <c r="BP11" i="5"/>
  <c r="U11" i="5"/>
  <c r="BK11" i="5" s="1"/>
  <c r="BD11" i="5"/>
  <c r="K11" i="5"/>
  <c r="BA11" i="5" s="1"/>
  <c r="BP10" i="5"/>
  <c r="U10" i="5"/>
  <c r="BK10" i="5" s="1"/>
  <c r="O10" i="5"/>
  <c r="BE10" i="5" s="1"/>
  <c r="K10" i="5"/>
  <c r="BA10" i="5" s="1"/>
  <c r="J10" i="5"/>
  <c r="AZ10" i="5" s="1"/>
  <c r="BP9" i="5"/>
  <c r="K9" i="5"/>
  <c r="BA9" i="5" s="1"/>
  <c r="BP8" i="5"/>
  <c r="U8" i="5"/>
  <c r="BK8" i="5" s="1"/>
  <c r="BD8" i="5"/>
  <c r="K8" i="5"/>
  <c r="BA8" i="5" s="1"/>
  <c r="BP7" i="5"/>
  <c r="K7" i="5"/>
  <c r="BA7" i="5" s="1"/>
  <c r="BS28" i="4"/>
  <c r="BG28" i="4"/>
  <c r="BS27" i="4"/>
  <c r="BG27" i="4"/>
  <c r="BS26" i="4"/>
  <c r="BG26" i="4"/>
  <c r="BS25" i="4"/>
  <c r="BG25" i="4"/>
  <c r="BS24" i="4"/>
  <c r="BG24" i="4"/>
  <c r="BS23" i="4"/>
  <c r="BG23" i="4"/>
  <c r="N23" i="4"/>
  <c r="BD23" i="4" s="1"/>
  <c r="BS22" i="4"/>
  <c r="BG22" i="4"/>
  <c r="N22" i="4"/>
  <c r="BD22" i="4" s="1"/>
  <c r="U21" i="4"/>
  <c r="BK21" i="4" s="1"/>
  <c r="R21" i="4"/>
  <c r="BH21" i="4" s="1"/>
  <c r="BG21" i="4"/>
  <c r="O21" i="4"/>
  <c r="BE21" i="4" s="1"/>
  <c r="N21" i="4"/>
  <c r="BD21" i="4" s="1"/>
  <c r="M21" i="4"/>
  <c r="BC21" i="4" s="1"/>
  <c r="BS14" i="4"/>
  <c r="Z14" i="4"/>
  <c r="BP14" i="4" s="1"/>
  <c r="BG14" i="4"/>
  <c r="N14" i="4"/>
  <c r="BD14" i="4" s="1"/>
  <c r="AD13" i="4"/>
  <c r="BT13" i="4" s="1"/>
  <c r="BS13" i="4"/>
  <c r="AA13" i="4"/>
  <c r="BQ13" i="4" s="1"/>
  <c r="Z13" i="4"/>
  <c r="BP13" i="4" s="1"/>
  <c r="Y13" i="4"/>
  <c r="BO13" i="4" s="1"/>
  <c r="V13" i="4"/>
  <c r="U13" i="4" s="1"/>
  <c r="BK13" i="4" s="1"/>
  <c r="R13" i="4"/>
  <c r="BH13" i="4" s="1"/>
  <c r="BG13" i="4"/>
  <c r="O13" i="4"/>
  <c r="BE13" i="4" s="1"/>
  <c r="N13" i="4"/>
  <c r="BD13" i="4" s="1"/>
  <c r="M13" i="4"/>
  <c r="BC13" i="4" s="1"/>
  <c r="BS12" i="4"/>
  <c r="Z12" i="4"/>
  <c r="BP12" i="4" s="1"/>
  <c r="BG12" i="4"/>
  <c r="N12" i="4"/>
  <c r="BD12" i="4" s="1"/>
  <c r="BS11" i="4"/>
  <c r="BG11" i="4"/>
  <c r="BS10" i="4"/>
  <c r="Z10" i="4"/>
  <c r="BP10" i="4" s="1"/>
  <c r="BG10" i="4"/>
  <c r="BS9" i="4"/>
  <c r="BG9" i="4"/>
  <c r="BS8" i="4"/>
  <c r="BG8" i="4"/>
  <c r="N8" i="4"/>
  <c r="BD8" i="4" s="1"/>
  <c r="BS7" i="4"/>
  <c r="BG7" i="4"/>
  <c r="N7" i="4"/>
  <c r="BD7" i="4" s="1"/>
  <c r="BS28" i="3"/>
  <c r="BS27" i="3"/>
  <c r="BG27" i="3"/>
  <c r="BS26" i="3"/>
  <c r="BG26" i="3"/>
  <c r="BS25" i="3"/>
  <c r="BG25" i="3"/>
  <c r="BS24" i="3"/>
  <c r="BG24" i="3"/>
  <c r="BS23" i="3"/>
  <c r="BG23" i="3"/>
  <c r="BS22" i="3"/>
  <c r="BG22" i="3"/>
  <c r="BS11" i="3"/>
  <c r="BG11" i="3"/>
  <c r="BS10" i="3"/>
  <c r="BG10" i="3"/>
  <c r="BS9" i="3"/>
  <c r="BG9" i="3"/>
  <c r="BS8" i="3"/>
  <c r="BG8" i="3"/>
  <c r="BS7" i="3"/>
  <c r="BG7" i="3"/>
  <c r="N41" i="2"/>
  <c r="BF41" i="2" s="1"/>
  <c r="AE39" i="2"/>
  <c r="BW39" i="2" s="1"/>
  <c r="BJ38" i="2"/>
  <c r="AG28" i="2"/>
  <c r="BY28" i="2" s="1"/>
  <c r="AF28" i="2"/>
  <c r="BX28" i="2" s="1"/>
  <c r="BV28" i="2"/>
  <c r="AB28" i="2"/>
  <c r="BT28" i="2" s="1"/>
  <c r="Z28" i="2"/>
  <c r="BR28" i="2" s="1"/>
  <c r="Y28" i="2"/>
  <c r="BQ28" i="2" s="1"/>
  <c r="BJ28" i="2"/>
  <c r="P28" i="2"/>
  <c r="BH28" i="2" s="1"/>
  <c r="AF27" i="2"/>
  <c r="BX27" i="2" s="1"/>
  <c r="Z27" i="2"/>
  <c r="BR27" i="2" s="1"/>
  <c r="BJ27" i="2"/>
  <c r="P27" i="2"/>
  <c r="BH27" i="2" s="1"/>
  <c r="N27" i="2"/>
  <c r="BF27" i="2" s="1"/>
  <c r="BV26" i="2"/>
  <c r="N26" i="2"/>
  <c r="BF26" i="2" s="1"/>
  <c r="AF25" i="2"/>
  <c r="BX25" i="2" s="1"/>
  <c r="AC25" i="2"/>
  <c r="BU25" i="2" s="1"/>
  <c r="Z25" i="2"/>
  <c r="BR25" i="2" s="1"/>
  <c r="BJ25" i="2"/>
  <c r="AG24" i="2"/>
  <c r="BY24" i="2" s="1"/>
  <c r="AF24" i="2"/>
  <c r="BX24" i="2" s="1"/>
  <c r="BV24" i="2"/>
  <c r="AB24" i="2"/>
  <c r="BT24" i="2" s="1"/>
  <c r="Z24" i="2"/>
  <c r="BR24" i="2" s="1"/>
  <c r="Y24" i="2"/>
  <c r="BQ24" i="2" s="1"/>
  <c r="BJ24" i="2"/>
  <c r="Q24" i="2"/>
  <c r="BI24" i="2" s="1"/>
  <c r="P24" i="2"/>
  <c r="BH24" i="2" s="1"/>
  <c r="N24" i="2"/>
  <c r="BF24" i="2" s="1"/>
  <c r="AF23" i="2"/>
  <c r="BX23" i="2" s="1"/>
  <c r="BV23" i="2"/>
  <c r="Z23" i="2"/>
  <c r="BR23" i="2" s="1"/>
  <c r="BJ23" i="2"/>
  <c r="P23" i="2"/>
  <c r="BH23" i="2" s="1"/>
  <c r="N23" i="2"/>
  <c r="BF23" i="2" s="1"/>
  <c r="BV22" i="2"/>
  <c r="BJ22" i="2"/>
  <c r="BJ14" i="2"/>
  <c r="BV13" i="2"/>
  <c r="BV11" i="2"/>
  <c r="AE10" i="2"/>
  <c r="BW10" i="2" s="1"/>
  <c r="W7" i="2"/>
  <c r="O12" i="1"/>
  <c r="O7" i="1"/>
  <c r="O10" i="1"/>
  <c r="T10" i="1" s="1"/>
  <c r="BH10" i="1" s="1"/>
  <c r="BD7" i="5" l="1"/>
  <c r="BD9" i="5"/>
  <c r="BD13" i="5"/>
  <c r="W8" i="13"/>
  <c r="BR9" i="10"/>
  <c r="M12" i="5"/>
  <c r="BC12" i="5" s="1"/>
  <c r="O13" i="5"/>
  <c r="BE13" i="5" s="1"/>
  <c r="BH12" i="6"/>
  <c r="N7" i="10"/>
  <c r="BD7" i="10" s="1"/>
  <c r="Q8" i="10"/>
  <c r="BG8" i="10" s="1"/>
  <c r="N10" i="10"/>
  <c r="BD10" i="10" s="1"/>
  <c r="Q12" i="10"/>
  <c r="BG12" i="10" s="1"/>
  <c r="M14" i="10"/>
  <c r="BC14" i="10" s="1"/>
  <c r="W9" i="13"/>
  <c r="Y13" i="10"/>
  <c r="BO13" i="10" s="1"/>
  <c r="BR23" i="10"/>
  <c r="U12" i="5"/>
  <c r="BK12" i="5" s="1"/>
  <c r="M24" i="10"/>
  <c r="BC24" i="10" s="1"/>
  <c r="Z12" i="10"/>
  <c r="BP12" i="10" s="1"/>
  <c r="M27" i="10"/>
  <c r="BC27" i="10" s="1"/>
  <c r="U14" i="10"/>
  <c r="BK14" i="10" s="1"/>
  <c r="W12" i="2"/>
  <c r="Y14" i="10"/>
  <c r="BO14" i="10" s="1"/>
  <c r="M10" i="5"/>
  <c r="BC10" i="5" s="1"/>
  <c r="J13" i="5"/>
  <c r="AZ13" i="5" s="1"/>
  <c r="BH10" i="6"/>
  <c r="L8" i="10"/>
  <c r="BB8" i="10" s="1"/>
  <c r="Z9" i="10"/>
  <c r="BP9" i="10" s="1"/>
  <c r="L12" i="10"/>
  <c r="BB12" i="10" s="1"/>
  <c r="BR12" i="10"/>
  <c r="BF21" i="10"/>
  <c r="M25" i="10"/>
  <c r="BC25" i="10" s="1"/>
  <c r="P10" i="12"/>
  <c r="BF10" i="12" s="1"/>
  <c r="BJ12" i="13"/>
  <c r="W27" i="13"/>
  <c r="BJ10" i="13"/>
  <c r="X9" i="10"/>
  <c r="BN9" i="10" s="1"/>
  <c r="BJ28" i="13"/>
  <c r="N37" i="2"/>
  <c r="BF37" i="2" s="1"/>
  <c r="BD10" i="5"/>
  <c r="M8" i="10"/>
  <c r="BC8" i="10" s="1"/>
  <c r="M12" i="10"/>
  <c r="BC12" i="10" s="1"/>
  <c r="M22" i="10"/>
  <c r="BC22" i="10" s="1"/>
  <c r="BE7" i="12"/>
  <c r="BE8" i="12"/>
  <c r="M10" i="12"/>
  <c r="BC10" i="12" s="1"/>
  <c r="L10" i="12"/>
  <c r="BB10" i="12" s="1"/>
  <c r="BE10" i="12"/>
  <c r="M23" i="4"/>
  <c r="BC23" i="4" s="1"/>
  <c r="O23" i="4"/>
  <c r="BE23" i="4" s="1"/>
  <c r="R23" i="4"/>
  <c r="BH23" i="4" s="1"/>
  <c r="N28" i="4"/>
  <c r="BD28" i="4" s="1"/>
  <c r="Z28" i="4"/>
  <c r="BP28" i="4" s="1"/>
  <c r="Z23" i="4"/>
  <c r="BP23" i="4" s="1"/>
  <c r="Y23" i="4"/>
  <c r="BO23" i="4" s="1"/>
  <c r="AA23" i="4"/>
  <c r="BQ23" i="4" s="1"/>
  <c r="AD23" i="4"/>
  <c r="BT23" i="4" s="1"/>
  <c r="U22" i="4"/>
  <c r="BK22" i="4" s="1"/>
  <c r="Z22" i="4"/>
  <c r="BP22" i="4" s="1"/>
  <c r="U28" i="4"/>
  <c r="BK28" i="4" s="1"/>
  <c r="M22" i="4"/>
  <c r="BC22" i="4" s="1"/>
  <c r="O22" i="4"/>
  <c r="BE22" i="4" s="1"/>
  <c r="R22" i="4"/>
  <c r="BH22" i="4" s="1"/>
  <c r="Y22" i="4"/>
  <c r="BO22" i="4" s="1"/>
  <c r="AA22" i="4"/>
  <c r="BQ22" i="4" s="1"/>
  <c r="AD22" i="4"/>
  <c r="BT22" i="4" s="1"/>
  <c r="U23" i="4"/>
  <c r="BK23" i="4" s="1"/>
  <c r="N24" i="4"/>
  <c r="BD24" i="4" s="1"/>
  <c r="Z24" i="4"/>
  <c r="BP24" i="4" s="1"/>
  <c r="N25" i="4"/>
  <c r="BD25" i="4" s="1"/>
  <c r="Z25" i="4"/>
  <c r="BP25" i="4" s="1"/>
  <c r="N26" i="4"/>
  <c r="BD26" i="4" s="1"/>
  <c r="Z26" i="4"/>
  <c r="BP26" i="4" s="1"/>
  <c r="N27" i="4"/>
  <c r="BD27" i="4" s="1"/>
  <c r="Z27" i="4"/>
  <c r="BP27" i="4" s="1"/>
  <c r="M28" i="4"/>
  <c r="BC28" i="4" s="1"/>
  <c r="O28" i="4"/>
  <c r="BE28" i="4" s="1"/>
  <c r="R28" i="4"/>
  <c r="BH28" i="4" s="1"/>
  <c r="Y28" i="4"/>
  <c r="BO28" i="4" s="1"/>
  <c r="AA28" i="4"/>
  <c r="BQ28" i="4" s="1"/>
  <c r="M22" i="3"/>
  <c r="BC22" i="3" s="1"/>
  <c r="P22" i="3"/>
  <c r="BF22" i="3" s="1"/>
  <c r="BG28" i="3"/>
  <c r="V28" i="3"/>
  <c r="X28" i="3"/>
  <c r="BN28" i="3" s="1"/>
  <c r="X26" i="3"/>
  <c r="BN26" i="3" s="1"/>
  <c r="AF26" i="3"/>
  <c r="BV26" i="3" s="1"/>
  <c r="P23" i="3"/>
  <c r="BF23" i="3" s="1"/>
  <c r="Y23" i="3"/>
  <c r="BO23" i="3" s="1"/>
  <c r="BB23" i="8"/>
  <c r="BB24" i="8"/>
  <c r="L28" i="8"/>
  <c r="BB28" i="8" s="1"/>
  <c r="L22" i="8"/>
  <c r="X21" i="8"/>
  <c r="BN21" i="8" s="1"/>
  <c r="AE24" i="4"/>
  <c r="BU24" i="4" s="1"/>
  <c r="AE25" i="4"/>
  <c r="BU25" i="4" s="1"/>
  <c r="AE26" i="4"/>
  <c r="BU26" i="4" s="1"/>
  <c r="AE27" i="4"/>
  <c r="BU27" i="4" s="1"/>
  <c r="AE28" i="4"/>
  <c r="BU28" i="4" s="1"/>
  <c r="S21" i="4"/>
  <c r="BI21" i="4" s="1"/>
  <c r="W21" i="4"/>
  <c r="BM21" i="4" s="1"/>
  <c r="AE22" i="4"/>
  <c r="BU22" i="4" s="1"/>
  <c r="S23" i="4"/>
  <c r="BI23" i="4" s="1"/>
  <c r="AE23" i="4"/>
  <c r="BU23" i="4" s="1"/>
  <c r="M24" i="4"/>
  <c r="BC24" i="4" s="1"/>
  <c r="O24" i="4"/>
  <c r="BE24" i="4" s="1"/>
  <c r="R24" i="4"/>
  <c r="BH24" i="4" s="1"/>
  <c r="Y24" i="4"/>
  <c r="BO24" i="4" s="1"/>
  <c r="AA24" i="4"/>
  <c r="BQ24" i="4" s="1"/>
  <c r="AD24" i="4"/>
  <c r="BT24" i="4" s="1"/>
  <c r="M25" i="4"/>
  <c r="BC25" i="4" s="1"/>
  <c r="O25" i="4"/>
  <c r="BE25" i="4" s="1"/>
  <c r="R25" i="4"/>
  <c r="BH25" i="4" s="1"/>
  <c r="Y25" i="4"/>
  <c r="BO25" i="4" s="1"/>
  <c r="AA25" i="4"/>
  <c r="BQ25" i="4" s="1"/>
  <c r="AD25" i="4"/>
  <c r="BT25" i="4" s="1"/>
  <c r="M26" i="4"/>
  <c r="BC26" i="4" s="1"/>
  <c r="O26" i="4"/>
  <c r="BE26" i="4" s="1"/>
  <c r="R26" i="4"/>
  <c r="BH26" i="4" s="1"/>
  <c r="Y26" i="4"/>
  <c r="BO26" i="4" s="1"/>
  <c r="AA26" i="4"/>
  <c r="BQ26" i="4" s="1"/>
  <c r="AD26" i="4"/>
  <c r="BT26" i="4" s="1"/>
  <c r="M27" i="4"/>
  <c r="BC27" i="4" s="1"/>
  <c r="O27" i="4"/>
  <c r="BE27" i="4" s="1"/>
  <c r="R27" i="4"/>
  <c r="BH27" i="4" s="1"/>
  <c r="Y27" i="4"/>
  <c r="BO27" i="4" s="1"/>
  <c r="AA27" i="4"/>
  <c r="BQ27" i="4" s="1"/>
  <c r="AD27" i="4"/>
  <c r="BT27" i="4" s="1"/>
  <c r="AD28" i="4"/>
  <c r="BT28" i="4" s="1"/>
  <c r="Z7" i="4"/>
  <c r="BP7" i="4" s="1"/>
  <c r="AE7" i="4"/>
  <c r="BU7" i="4" s="1"/>
  <c r="Z8" i="4"/>
  <c r="BP8" i="4" s="1"/>
  <c r="Z9" i="4"/>
  <c r="BP9" i="4" s="1"/>
  <c r="AE10" i="4"/>
  <c r="BU10" i="4" s="1"/>
  <c r="N11" i="4"/>
  <c r="BD11" i="4" s="1"/>
  <c r="AE11" i="4"/>
  <c r="BU11" i="4" s="1"/>
  <c r="AE12" i="4"/>
  <c r="BU12" i="4" s="1"/>
  <c r="S13" i="4"/>
  <c r="BI13" i="4" s="1"/>
  <c r="W13" i="4"/>
  <c r="BM13" i="4" s="1"/>
  <c r="AE13" i="4"/>
  <c r="BU13" i="4" s="1"/>
  <c r="M14" i="4"/>
  <c r="BC14" i="4" s="1"/>
  <c r="O14" i="4"/>
  <c r="BE14" i="4" s="1"/>
  <c r="R14" i="4"/>
  <c r="BH14" i="4" s="1"/>
  <c r="Y14" i="4"/>
  <c r="BO14" i="4" s="1"/>
  <c r="AA14" i="4"/>
  <c r="BQ14" i="4" s="1"/>
  <c r="AD14" i="4"/>
  <c r="BT14" i="4" s="1"/>
  <c r="AE8" i="4"/>
  <c r="BU8" i="4" s="1"/>
  <c r="N9" i="4"/>
  <c r="BD9" i="4" s="1"/>
  <c r="AE9" i="4"/>
  <c r="BU9" i="4" s="1"/>
  <c r="N10" i="4"/>
  <c r="BD10" i="4" s="1"/>
  <c r="Z11" i="4"/>
  <c r="BP11" i="4" s="1"/>
  <c r="M7" i="4"/>
  <c r="BC7" i="4" s="1"/>
  <c r="O7" i="4"/>
  <c r="BE7" i="4" s="1"/>
  <c r="R7" i="4"/>
  <c r="BH7" i="4" s="1"/>
  <c r="V7" i="4"/>
  <c r="Y7" i="4"/>
  <c r="BO7" i="4" s="1"/>
  <c r="AA7" i="4"/>
  <c r="BQ7" i="4" s="1"/>
  <c r="AD7" i="4"/>
  <c r="BT7" i="4" s="1"/>
  <c r="M8" i="4"/>
  <c r="BC8" i="4" s="1"/>
  <c r="O8" i="4"/>
  <c r="BE8" i="4" s="1"/>
  <c r="R8" i="4"/>
  <c r="BH8" i="4" s="1"/>
  <c r="V8" i="4"/>
  <c r="T8" i="4" s="1"/>
  <c r="BJ8" i="4" s="1"/>
  <c r="Y8" i="4"/>
  <c r="BO8" i="4" s="1"/>
  <c r="AA8" i="4"/>
  <c r="BQ8" i="4" s="1"/>
  <c r="AD8" i="4"/>
  <c r="BT8" i="4" s="1"/>
  <c r="M9" i="4"/>
  <c r="BC9" i="4" s="1"/>
  <c r="O9" i="4"/>
  <c r="BE9" i="4" s="1"/>
  <c r="R9" i="4"/>
  <c r="BH9" i="4" s="1"/>
  <c r="V9" i="4"/>
  <c r="Y9" i="4"/>
  <c r="BO9" i="4" s="1"/>
  <c r="AA9" i="4"/>
  <c r="BQ9" i="4" s="1"/>
  <c r="AD9" i="4"/>
  <c r="BT9" i="4" s="1"/>
  <c r="M10" i="4"/>
  <c r="BC10" i="4" s="1"/>
  <c r="O10" i="4"/>
  <c r="BE10" i="4" s="1"/>
  <c r="R10" i="4"/>
  <c r="BH10" i="4" s="1"/>
  <c r="V10" i="4"/>
  <c r="BL10" i="4" s="1"/>
  <c r="Y10" i="4"/>
  <c r="BO10" i="4" s="1"/>
  <c r="AA10" i="4"/>
  <c r="BQ10" i="4" s="1"/>
  <c r="AD10" i="4"/>
  <c r="BT10" i="4" s="1"/>
  <c r="M11" i="4"/>
  <c r="BC11" i="4" s="1"/>
  <c r="O11" i="4"/>
  <c r="BE11" i="4" s="1"/>
  <c r="R11" i="4"/>
  <c r="BH11" i="4" s="1"/>
  <c r="V11" i="4"/>
  <c r="BL11" i="4" s="1"/>
  <c r="Y11" i="4"/>
  <c r="BO11" i="4" s="1"/>
  <c r="AA11" i="4"/>
  <c r="BQ11" i="4" s="1"/>
  <c r="AD11" i="4"/>
  <c r="BT11" i="4" s="1"/>
  <c r="M12" i="4"/>
  <c r="BC12" i="4" s="1"/>
  <c r="O12" i="4"/>
  <c r="BE12" i="4" s="1"/>
  <c r="R12" i="4"/>
  <c r="BH12" i="4" s="1"/>
  <c r="V12" i="4"/>
  <c r="T12" i="4" s="1"/>
  <c r="BJ12" i="4" s="1"/>
  <c r="Y12" i="4"/>
  <c r="BO12" i="4" s="1"/>
  <c r="AA12" i="4"/>
  <c r="BQ12" i="4" s="1"/>
  <c r="AD12" i="4"/>
  <c r="BT12" i="4" s="1"/>
  <c r="AE14" i="4"/>
  <c r="BU14" i="4" s="1"/>
  <c r="Y22" i="3"/>
  <c r="BO22" i="3" s="1"/>
  <c r="P7" i="3"/>
  <c r="BF7" i="3" s="1"/>
  <c r="AB7" i="3"/>
  <c r="BR7" i="3" s="1"/>
  <c r="P8" i="3"/>
  <c r="BF8" i="3" s="1"/>
  <c r="AB8" i="3"/>
  <c r="BR8" i="3" s="1"/>
  <c r="P9" i="3"/>
  <c r="BF9" i="3" s="1"/>
  <c r="AB9" i="3"/>
  <c r="BR9" i="3" s="1"/>
  <c r="P10" i="3"/>
  <c r="BF10" i="3" s="1"/>
  <c r="AB10" i="3"/>
  <c r="BR10" i="3" s="1"/>
  <c r="P11" i="3"/>
  <c r="BF11" i="3" s="1"/>
  <c r="AB11" i="3"/>
  <c r="BR11" i="3" s="1"/>
  <c r="M23" i="3"/>
  <c r="BC23" i="3" s="1"/>
  <c r="AB23" i="3"/>
  <c r="BR23" i="3" s="1"/>
  <c r="M7" i="3"/>
  <c r="Y7" i="3"/>
  <c r="BO7" i="3" s="1"/>
  <c r="M8" i="3"/>
  <c r="Y8" i="3"/>
  <c r="BO8" i="3" s="1"/>
  <c r="M9" i="3"/>
  <c r="Y9" i="3"/>
  <c r="BO9" i="3" s="1"/>
  <c r="M10" i="3"/>
  <c r="BC10" i="3" s="1"/>
  <c r="Y10" i="3"/>
  <c r="BO10" i="3" s="1"/>
  <c r="M11" i="3"/>
  <c r="BC11" i="3" s="1"/>
  <c r="Y11" i="3"/>
  <c r="BO11" i="3" s="1"/>
  <c r="X7" i="3"/>
  <c r="BN7" i="3" s="1"/>
  <c r="AF7" i="3"/>
  <c r="BV7" i="3" s="1"/>
  <c r="X8" i="3"/>
  <c r="BN8" i="3" s="1"/>
  <c r="AF8" i="3"/>
  <c r="BV8" i="3" s="1"/>
  <c r="X9" i="3"/>
  <c r="BN9" i="3" s="1"/>
  <c r="AF9" i="3"/>
  <c r="BV9" i="3" s="1"/>
  <c r="X10" i="3"/>
  <c r="BN10" i="3" s="1"/>
  <c r="AF10" i="3"/>
  <c r="BV10" i="3" s="1"/>
  <c r="X11" i="3"/>
  <c r="BN11" i="3" s="1"/>
  <c r="AF11" i="3"/>
  <c r="BV11" i="3" s="1"/>
  <c r="AB22" i="3"/>
  <c r="BR22" i="3" s="1"/>
  <c r="X24" i="3"/>
  <c r="BN24" i="3" s="1"/>
  <c r="AF24" i="3"/>
  <c r="BV24" i="3" s="1"/>
  <c r="X25" i="3"/>
  <c r="BN25" i="3" s="1"/>
  <c r="AF25" i="3"/>
  <c r="BV25" i="3" s="1"/>
  <c r="X27" i="3"/>
  <c r="BN27" i="3" s="1"/>
  <c r="AF27" i="3"/>
  <c r="BV27" i="3" s="1"/>
  <c r="AB28" i="3"/>
  <c r="BR28" i="3" s="1"/>
  <c r="X22" i="3"/>
  <c r="BN22" i="3" s="1"/>
  <c r="AF22" i="3"/>
  <c r="BV22" i="3" s="1"/>
  <c r="X23" i="3"/>
  <c r="BN23" i="3" s="1"/>
  <c r="AF23" i="3"/>
  <c r="BV23" i="3" s="1"/>
  <c r="P24" i="3"/>
  <c r="BF24" i="3" s="1"/>
  <c r="AB24" i="3"/>
  <c r="BR24" i="3" s="1"/>
  <c r="P25" i="3"/>
  <c r="BF25" i="3" s="1"/>
  <c r="AB25" i="3"/>
  <c r="BR25" i="3" s="1"/>
  <c r="P26" i="3"/>
  <c r="BF26" i="3" s="1"/>
  <c r="AB26" i="3"/>
  <c r="BR26" i="3" s="1"/>
  <c r="P27" i="3"/>
  <c r="BF27" i="3" s="1"/>
  <c r="AB27" i="3"/>
  <c r="BR27" i="3" s="1"/>
  <c r="P28" i="3"/>
  <c r="BF28" i="3" s="1"/>
  <c r="Z28" i="3"/>
  <c r="BP28" i="3" s="1"/>
  <c r="AF28" i="3"/>
  <c r="BV28" i="3" s="1"/>
  <c r="M24" i="3"/>
  <c r="BC24" i="3" s="1"/>
  <c r="Y24" i="3"/>
  <c r="BO24" i="3" s="1"/>
  <c r="M25" i="3"/>
  <c r="BC25" i="3" s="1"/>
  <c r="Y25" i="3"/>
  <c r="BO25" i="3" s="1"/>
  <c r="M26" i="3"/>
  <c r="BC26" i="3" s="1"/>
  <c r="Y26" i="3"/>
  <c r="BO26" i="3" s="1"/>
  <c r="M27" i="3"/>
  <c r="BC27" i="3" s="1"/>
  <c r="Y27" i="3"/>
  <c r="BO27" i="3" s="1"/>
  <c r="M28" i="3"/>
  <c r="BC28" i="3" s="1"/>
  <c r="Y28" i="3"/>
  <c r="BO28" i="3" s="1"/>
  <c r="AD28" i="3"/>
  <c r="BT28" i="3" s="1"/>
  <c r="BJ7" i="13"/>
  <c r="W22" i="13"/>
  <c r="W23" i="13"/>
  <c r="W24" i="9"/>
  <c r="BM24" i="9" s="1"/>
  <c r="W25" i="9"/>
  <c r="BM25" i="9" s="1"/>
  <c r="W26" i="9"/>
  <c r="BM26" i="9" s="1"/>
  <c r="N39" i="2"/>
  <c r="BF39" i="2" s="1"/>
  <c r="BJ40" i="2"/>
  <c r="N42" i="2"/>
  <c r="BF42" i="2" s="1"/>
  <c r="W42" i="13"/>
  <c r="U42" i="13" s="1"/>
  <c r="BM42" i="13" s="1"/>
  <c r="BJ11" i="2"/>
  <c r="W21" i="7"/>
  <c r="BM21" i="7" s="1"/>
  <c r="T7" i="7"/>
  <c r="K7" i="7"/>
  <c r="BA7" i="7" s="1"/>
  <c r="K11" i="7"/>
  <c r="BA11" i="7" s="1"/>
  <c r="K9" i="7"/>
  <c r="BA9" i="7" s="1"/>
  <c r="K13" i="7"/>
  <c r="BA13" i="7" s="1"/>
  <c r="W22" i="7"/>
  <c r="BM22" i="7" s="1"/>
  <c r="K23" i="7"/>
  <c r="BA23" i="7" s="1"/>
  <c r="W23" i="7"/>
  <c r="BM23" i="7" s="1"/>
  <c r="K24" i="7"/>
  <c r="BA24" i="7" s="1"/>
  <c r="W24" i="7"/>
  <c r="BM24" i="7" s="1"/>
  <c r="K25" i="7"/>
  <c r="BA25" i="7" s="1"/>
  <c r="W25" i="7"/>
  <c r="BM25" i="7" s="1"/>
  <c r="K26" i="7"/>
  <c r="BA26" i="7" s="1"/>
  <c r="W26" i="7"/>
  <c r="BM26" i="7" s="1"/>
  <c r="K27" i="7"/>
  <c r="BA27" i="7" s="1"/>
  <c r="W27" i="7"/>
  <c r="BM27" i="7" s="1"/>
  <c r="K28" i="7"/>
  <c r="BA28" i="7" s="1"/>
  <c r="W28" i="7"/>
  <c r="BM28" i="7" s="1"/>
  <c r="L7" i="8"/>
  <c r="BB7" i="8" s="1"/>
  <c r="L9" i="8"/>
  <c r="BB9" i="8" s="1"/>
  <c r="L11" i="8"/>
  <c r="BB11" i="8" s="1"/>
  <c r="X9" i="8"/>
  <c r="BN9" i="8" s="1"/>
  <c r="X11" i="8"/>
  <c r="BN11" i="8" s="1"/>
  <c r="L21" i="8"/>
  <c r="U12" i="8"/>
  <c r="U14" i="8"/>
  <c r="U23" i="8"/>
  <c r="U25" i="8"/>
  <c r="U26" i="8"/>
  <c r="U28" i="8"/>
  <c r="X7" i="8"/>
  <c r="BN7" i="8" s="1"/>
  <c r="X8" i="8"/>
  <c r="BN8" i="8" s="1"/>
  <c r="X10" i="8"/>
  <c r="BN10" i="8" s="1"/>
  <c r="L12" i="8"/>
  <c r="BB12" i="8" s="1"/>
  <c r="L13" i="8"/>
  <c r="BB13" i="8" s="1"/>
  <c r="L14" i="8"/>
  <c r="BB14" i="8" s="1"/>
  <c r="O7" i="8"/>
  <c r="BE7" i="8" s="1"/>
  <c r="W7" i="8"/>
  <c r="BM7" i="8" s="1"/>
  <c r="AA7" i="8"/>
  <c r="BQ7" i="8" s="1"/>
  <c r="AE7" i="8"/>
  <c r="BU7" i="8" s="1"/>
  <c r="O8" i="8"/>
  <c r="BE8" i="8" s="1"/>
  <c r="W8" i="8"/>
  <c r="BM8" i="8" s="1"/>
  <c r="AA8" i="8"/>
  <c r="BQ8" i="8" s="1"/>
  <c r="AE8" i="8"/>
  <c r="BU8" i="8" s="1"/>
  <c r="O9" i="8"/>
  <c r="BE9" i="8" s="1"/>
  <c r="W9" i="8"/>
  <c r="BM9" i="8" s="1"/>
  <c r="AA9" i="8"/>
  <c r="BQ9" i="8" s="1"/>
  <c r="AE9" i="8"/>
  <c r="BU9" i="8" s="1"/>
  <c r="O10" i="8"/>
  <c r="BE10" i="8" s="1"/>
  <c r="W10" i="8"/>
  <c r="BM10" i="8" s="1"/>
  <c r="AA10" i="8"/>
  <c r="BQ10" i="8" s="1"/>
  <c r="AE10" i="8"/>
  <c r="BU10" i="8" s="1"/>
  <c r="O11" i="8"/>
  <c r="BE11" i="8" s="1"/>
  <c r="W11" i="8"/>
  <c r="BM11" i="8" s="1"/>
  <c r="AA11" i="8"/>
  <c r="BQ11" i="8" s="1"/>
  <c r="AE11" i="8"/>
  <c r="BU11" i="8" s="1"/>
  <c r="O12" i="8"/>
  <c r="BE12" i="8" s="1"/>
  <c r="O13" i="8"/>
  <c r="BE13" i="8" s="1"/>
  <c r="O14" i="8"/>
  <c r="BE14" i="8" s="1"/>
  <c r="O21" i="8"/>
  <c r="BE21" i="8" s="1"/>
  <c r="W21" i="8"/>
  <c r="BM21" i="8" s="1"/>
  <c r="AA21" i="8"/>
  <c r="BQ21" i="8" s="1"/>
  <c r="AE21" i="8"/>
  <c r="BU21" i="8" s="1"/>
  <c r="O22" i="8"/>
  <c r="BE22" i="8" s="1"/>
  <c r="W22" i="8"/>
  <c r="BM22" i="8" s="1"/>
  <c r="AA22" i="8"/>
  <c r="BQ22" i="8" s="1"/>
  <c r="AE22" i="8"/>
  <c r="BU22" i="8" s="1"/>
  <c r="O23" i="8"/>
  <c r="BE23" i="8" s="1"/>
  <c r="W23" i="8"/>
  <c r="BM23" i="8" s="1"/>
  <c r="AA23" i="8"/>
  <c r="BQ23" i="8" s="1"/>
  <c r="AE23" i="8"/>
  <c r="BU23" i="8" s="1"/>
  <c r="O24" i="8"/>
  <c r="BE24" i="8" s="1"/>
  <c r="W24" i="8"/>
  <c r="BM24" i="8" s="1"/>
  <c r="AA24" i="8"/>
  <c r="BQ24" i="8" s="1"/>
  <c r="AE24" i="8"/>
  <c r="BU24" i="8" s="1"/>
  <c r="O25" i="8"/>
  <c r="BE25" i="8" s="1"/>
  <c r="O26" i="8"/>
  <c r="BE26" i="8" s="1"/>
  <c r="O27" i="8"/>
  <c r="BE27" i="8" s="1"/>
  <c r="O28" i="8"/>
  <c r="BE28" i="8" s="1"/>
  <c r="U11" i="8"/>
  <c r="U13" i="8"/>
  <c r="U21" i="8"/>
  <c r="U24" i="8"/>
  <c r="U22" i="8"/>
  <c r="U27" i="8"/>
  <c r="L11" i="10"/>
  <c r="BB11" i="10" s="1"/>
  <c r="N11" i="10"/>
  <c r="BD11" i="10" s="1"/>
  <c r="Q11" i="10"/>
  <c r="BG11" i="10" s="1"/>
  <c r="M28" i="10"/>
  <c r="BC28" i="10" s="1"/>
  <c r="U28" i="10"/>
  <c r="S28" i="10" s="1"/>
  <c r="BI28" i="10" s="1"/>
  <c r="U24" i="10"/>
  <c r="S24" i="10" s="1"/>
  <c r="BI24" i="10" s="1"/>
  <c r="U22" i="10"/>
  <c r="BK22" i="10" s="1"/>
  <c r="U21" i="10"/>
  <c r="Y21" i="10"/>
  <c r="BO21" i="10" s="1"/>
  <c r="Y9" i="10"/>
  <c r="BO9" i="10" s="1"/>
  <c r="X11" i="10"/>
  <c r="BN11" i="10" s="1"/>
  <c r="Z11" i="10"/>
  <c r="BP11" i="10" s="1"/>
  <c r="Y7" i="10"/>
  <c r="BO7" i="10" s="1"/>
  <c r="X7" i="10"/>
  <c r="BN7" i="10" s="1"/>
  <c r="Z7" i="10"/>
  <c r="BP7" i="10" s="1"/>
  <c r="AC7" i="10"/>
  <c r="BS7" i="10" s="1"/>
  <c r="AD13" i="10"/>
  <c r="BT13" i="10" s="1"/>
  <c r="AD14" i="10"/>
  <c r="BT14" i="10" s="1"/>
  <c r="AD21" i="10"/>
  <c r="BT21" i="10" s="1"/>
  <c r="AD22" i="10"/>
  <c r="BT22" i="10" s="1"/>
  <c r="AD23" i="10"/>
  <c r="BT23" i="10" s="1"/>
  <c r="AD24" i="10"/>
  <c r="BT24" i="10" s="1"/>
  <c r="AD25" i="10"/>
  <c r="BT25" i="10" s="1"/>
  <c r="AD26" i="10"/>
  <c r="BT26" i="10" s="1"/>
  <c r="AD27" i="10"/>
  <c r="BT27" i="10" s="1"/>
  <c r="AD28" i="10"/>
  <c r="BT28" i="10" s="1"/>
  <c r="R7" i="10"/>
  <c r="BH7" i="10" s="1"/>
  <c r="V7" i="10"/>
  <c r="BL7" i="10" s="1"/>
  <c r="AD7" i="10"/>
  <c r="BT7" i="10" s="1"/>
  <c r="R8" i="10"/>
  <c r="BH8" i="10" s="1"/>
  <c r="V8" i="10"/>
  <c r="BL8" i="10" s="1"/>
  <c r="AD8" i="10"/>
  <c r="BT8" i="10" s="1"/>
  <c r="R9" i="10"/>
  <c r="BH9" i="10" s="1"/>
  <c r="V9" i="10"/>
  <c r="BL9" i="10" s="1"/>
  <c r="AD9" i="10"/>
  <c r="BT9" i="10" s="1"/>
  <c r="R10" i="10"/>
  <c r="BH10" i="10" s="1"/>
  <c r="V10" i="10"/>
  <c r="BL10" i="10" s="1"/>
  <c r="AD10" i="10"/>
  <c r="BT10" i="10" s="1"/>
  <c r="R11" i="10"/>
  <c r="BH11" i="10" s="1"/>
  <c r="V11" i="10"/>
  <c r="BL11" i="10" s="1"/>
  <c r="AD11" i="10"/>
  <c r="BT11" i="10" s="1"/>
  <c r="R12" i="10"/>
  <c r="BH12" i="10" s="1"/>
  <c r="V12" i="10"/>
  <c r="BL12" i="10" s="1"/>
  <c r="AD12" i="10"/>
  <c r="BT12" i="10" s="1"/>
  <c r="L13" i="10"/>
  <c r="BB13" i="10" s="1"/>
  <c r="N13" i="10"/>
  <c r="BD13" i="10" s="1"/>
  <c r="Q13" i="10"/>
  <c r="BG13" i="10" s="1"/>
  <c r="X13" i="10"/>
  <c r="BN13" i="10" s="1"/>
  <c r="Z13" i="10"/>
  <c r="BP13" i="10" s="1"/>
  <c r="AC13" i="10"/>
  <c r="BS13" i="10" s="1"/>
  <c r="L14" i="10"/>
  <c r="BB14" i="10" s="1"/>
  <c r="N14" i="10"/>
  <c r="BD14" i="10" s="1"/>
  <c r="Q14" i="10"/>
  <c r="BG14" i="10" s="1"/>
  <c r="X14" i="10"/>
  <c r="BN14" i="10" s="1"/>
  <c r="Z14" i="10"/>
  <c r="BP14" i="10" s="1"/>
  <c r="AC14" i="10"/>
  <c r="BS14" i="10" s="1"/>
  <c r="L21" i="10"/>
  <c r="BB21" i="10" s="1"/>
  <c r="N21" i="10"/>
  <c r="BD21" i="10" s="1"/>
  <c r="Q21" i="10"/>
  <c r="BG21" i="10" s="1"/>
  <c r="X21" i="10"/>
  <c r="BN21" i="10" s="1"/>
  <c r="Z21" i="10"/>
  <c r="BP21" i="10" s="1"/>
  <c r="AC21" i="10"/>
  <c r="BS21" i="10" s="1"/>
  <c r="L22" i="10"/>
  <c r="BB22" i="10" s="1"/>
  <c r="N22" i="10"/>
  <c r="BD22" i="10" s="1"/>
  <c r="Q22" i="10"/>
  <c r="BG22" i="10" s="1"/>
  <c r="S22" i="10"/>
  <c r="BI22" i="10" s="1"/>
  <c r="X22" i="10"/>
  <c r="BN22" i="10" s="1"/>
  <c r="Z22" i="10"/>
  <c r="BP22" i="10" s="1"/>
  <c r="AC22" i="10"/>
  <c r="BS22" i="10" s="1"/>
  <c r="L23" i="10"/>
  <c r="BB23" i="10" s="1"/>
  <c r="N23" i="10"/>
  <c r="BD23" i="10" s="1"/>
  <c r="Q23" i="10"/>
  <c r="BG23" i="10" s="1"/>
  <c r="X23" i="10"/>
  <c r="BN23" i="10" s="1"/>
  <c r="Z23" i="10"/>
  <c r="BP23" i="10" s="1"/>
  <c r="AC23" i="10"/>
  <c r="BS23" i="10" s="1"/>
  <c r="L24" i="10"/>
  <c r="BB24" i="10" s="1"/>
  <c r="N24" i="10"/>
  <c r="BD24" i="10" s="1"/>
  <c r="Q24" i="10"/>
  <c r="BG24" i="10" s="1"/>
  <c r="X24" i="10"/>
  <c r="BN24" i="10" s="1"/>
  <c r="Z24" i="10"/>
  <c r="BP24" i="10" s="1"/>
  <c r="AC24" i="10"/>
  <c r="BS24" i="10" s="1"/>
  <c r="L25" i="10"/>
  <c r="BB25" i="10" s="1"/>
  <c r="N25" i="10"/>
  <c r="BD25" i="10" s="1"/>
  <c r="Q25" i="10"/>
  <c r="BG25" i="10" s="1"/>
  <c r="U25" i="10"/>
  <c r="X25" i="10"/>
  <c r="BN25" i="10" s="1"/>
  <c r="Z25" i="10"/>
  <c r="BP25" i="10" s="1"/>
  <c r="AC25" i="10"/>
  <c r="BS25" i="10" s="1"/>
  <c r="L26" i="10"/>
  <c r="BB26" i="10" s="1"/>
  <c r="N26" i="10"/>
  <c r="BD26" i="10" s="1"/>
  <c r="Q26" i="10"/>
  <c r="BG26" i="10" s="1"/>
  <c r="U26" i="10"/>
  <c r="S26" i="10" s="1"/>
  <c r="BI26" i="10" s="1"/>
  <c r="X26" i="10"/>
  <c r="BN26" i="10" s="1"/>
  <c r="Z26" i="10"/>
  <c r="BP26" i="10" s="1"/>
  <c r="AC26" i="10"/>
  <c r="BS26" i="10" s="1"/>
  <c r="L27" i="10"/>
  <c r="BB27" i="10" s="1"/>
  <c r="N27" i="10"/>
  <c r="BD27" i="10" s="1"/>
  <c r="Q27" i="10"/>
  <c r="BG27" i="10" s="1"/>
  <c r="U27" i="10"/>
  <c r="X27" i="10"/>
  <c r="BN27" i="10" s="1"/>
  <c r="Z27" i="10"/>
  <c r="BP27" i="10" s="1"/>
  <c r="AC27" i="10"/>
  <c r="BS27" i="10" s="1"/>
  <c r="L28" i="10"/>
  <c r="BB28" i="10" s="1"/>
  <c r="N28" i="10"/>
  <c r="BD28" i="10" s="1"/>
  <c r="Q28" i="10"/>
  <c r="BG28" i="10" s="1"/>
  <c r="X28" i="10"/>
  <c r="BN28" i="10" s="1"/>
  <c r="Z28" i="10"/>
  <c r="BP28" i="10" s="1"/>
  <c r="AC28" i="10"/>
  <c r="BS28" i="10" s="1"/>
  <c r="U24" i="5"/>
  <c r="BK24" i="5" s="1"/>
  <c r="BJ13" i="2"/>
  <c r="Y25" i="2"/>
  <c r="BQ25" i="2" s="1"/>
  <c r="AB25" i="2"/>
  <c r="BT25" i="2" s="1"/>
  <c r="BV25" i="2"/>
  <c r="BJ26" i="2"/>
  <c r="N28" i="2"/>
  <c r="BF28" i="2" s="1"/>
  <c r="Q28" i="2"/>
  <c r="BI28" i="2" s="1"/>
  <c r="S39" i="2"/>
  <c r="V27" i="9"/>
  <c r="BL27" i="9" s="1"/>
  <c r="AD27" i="9"/>
  <c r="BT27" i="9" s="1"/>
  <c r="V28" i="9"/>
  <c r="BL28" i="9" s="1"/>
  <c r="AD28" i="9"/>
  <c r="BT28" i="9" s="1"/>
  <c r="W8" i="9"/>
  <c r="BM8" i="9" s="1"/>
  <c r="W9" i="9"/>
  <c r="BM9" i="9" s="1"/>
  <c r="W11" i="9"/>
  <c r="BM11" i="9" s="1"/>
  <c r="W14" i="9"/>
  <c r="BM14" i="9" s="1"/>
  <c r="N27" i="9"/>
  <c r="BD27" i="9" s="1"/>
  <c r="Z27" i="9"/>
  <c r="BP27" i="9" s="1"/>
  <c r="N28" i="9"/>
  <c r="BD28" i="9" s="1"/>
  <c r="Z28" i="9"/>
  <c r="BP28" i="9" s="1"/>
  <c r="W7" i="9"/>
  <c r="BM7" i="9" s="1"/>
  <c r="W10" i="9"/>
  <c r="BM10" i="9" s="1"/>
  <c r="W12" i="9"/>
  <c r="BM12" i="9" s="1"/>
  <c r="W13" i="9"/>
  <c r="BM13" i="9" s="1"/>
  <c r="W21" i="9"/>
  <c r="BM21" i="9" s="1"/>
  <c r="W22" i="9"/>
  <c r="BM22" i="9" s="1"/>
  <c r="W23" i="9"/>
  <c r="BM23" i="9" s="1"/>
  <c r="K7" i="9"/>
  <c r="BA7" i="9" s="1"/>
  <c r="K8" i="9"/>
  <c r="BA8" i="9" s="1"/>
  <c r="K9" i="9"/>
  <c r="BA9" i="9" s="1"/>
  <c r="K10" i="9"/>
  <c r="BA10" i="9" s="1"/>
  <c r="K11" i="9"/>
  <c r="BA11" i="9" s="1"/>
  <c r="K12" i="9"/>
  <c r="BA12" i="9" s="1"/>
  <c r="K13" i="9"/>
  <c r="BA13" i="9" s="1"/>
  <c r="K14" i="9"/>
  <c r="BA14" i="9" s="1"/>
  <c r="K21" i="9"/>
  <c r="BA21" i="9" s="1"/>
  <c r="K22" i="9"/>
  <c r="BA22" i="9" s="1"/>
  <c r="K23" i="9"/>
  <c r="BA23" i="9" s="1"/>
  <c r="K24" i="9"/>
  <c r="BA24" i="9" s="1"/>
  <c r="K25" i="9"/>
  <c r="BA25" i="9" s="1"/>
  <c r="K26" i="9"/>
  <c r="BA26" i="9" s="1"/>
  <c r="K27" i="9"/>
  <c r="BA27" i="9" s="1"/>
  <c r="W27" i="9"/>
  <c r="BM27" i="9" s="1"/>
  <c r="K28" i="9"/>
  <c r="BA28" i="9" s="1"/>
  <c r="W28" i="9"/>
  <c r="BM28" i="9" s="1"/>
  <c r="Z35" i="2"/>
  <c r="BR35" i="2" s="1"/>
  <c r="BJ35" i="2"/>
  <c r="BJ21" i="2"/>
  <c r="Z21" i="2"/>
  <c r="BR21" i="2" s="1"/>
  <c r="AF21" i="2"/>
  <c r="BX21" i="2" s="1"/>
  <c r="AB21" i="2"/>
  <c r="BT21" i="2" s="1"/>
  <c r="AG21" i="2"/>
  <c r="BY21" i="2" s="1"/>
  <c r="Y21" i="2"/>
  <c r="BQ21" i="2" s="1"/>
  <c r="AC21" i="2"/>
  <c r="BU21" i="2" s="1"/>
  <c r="Y22" i="2"/>
  <c r="BQ22" i="2" s="1"/>
  <c r="Z11" i="2"/>
  <c r="BR11" i="2" s="1"/>
  <c r="AC22" i="2"/>
  <c r="BU22" i="2" s="1"/>
  <c r="Y23" i="2"/>
  <c r="BQ23" i="2" s="1"/>
  <c r="Q22" i="2"/>
  <c r="BI22" i="2" s="1"/>
  <c r="AB22" i="2"/>
  <c r="BT22" i="2" s="1"/>
  <c r="AG22" i="2"/>
  <c r="BY22" i="2" s="1"/>
  <c r="AC23" i="2"/>
  <c r="BU23" i="2" s="1"/>
  <c r="P25" i="2"/>
  <c r="BH25" i="2" s="1"/>
  <c r="Q26" i="2"/>
  <c r="BI26" i="2" s="1"/>
  <c r="AB26" i="2"/>
  <c r="BT26" i="2" s="1"/>
  <c r="AG26" i="2"/>
  <c r="BY26" i="2" s="1"/>
  <c r="AC27" i="2"/>
  <c r="BU27" i="2" s="1"/>
  <c r="Y26" i="2"/>
  <c r="BQ26" i="2" s="1"/>
  <c r="Z12" i="2"/>
  <c r="BR12" i="2" s="1"/>
  <c r="Z13" i="2"/>
  <c r="BR13" i="2" s="1"/>
  <c r="Z14" i="2"/>
  <c r="BR14" i="2" s="1"/>
  <c r="Q25" i="2"/>
  <c r="BI25" i="2" s="1"/>
  <c r="AC26" i="2"/>
  <c r="BU26" i="2" s="1"/>
  <c r="Y27" i="2"/>
  <c r="BQ27" i="2" s="1"/>
  <c r="N11" i="2"/>
  <c r="BF11" i="2" s="1"/>
  <c r="N12" i="2"/>
  <c r="BF12" i="2" s="1"/>
  <c r="N13" i="2"/>
  <c r="BF13" i="2" s="1"/>
  <c r="N14" i="2"/>
  <c r="BF14" i="2" s="1"/>
  <c r="N21" i="2"/>
  <c r="BF21" i="2" s="1"/>
  <c r="P22" i="2"/>
  <c r="BH22" i="2" s="1"/>
  <c r="Z22" i="2"/>
  <c r="BR22" i="2" s="1"/>
  <c r="AF22" i="2"/>
  <c r="BX22" i="2" s="1"/>
  <c r="Q23" i="2"/>
  <c r="BI23" i="2" s="1"/>
  <c r="AB23" i="2"/>
  <c r="BT23" i="2" s="1"/>
  <c r="AG23" i="2"/>
  <c r="BY23" i="2" s="1"/>
  <c r="AC24" i="2"/>
  <c r="BU24" i="2" s="1"/>
  <c r="N25" i="2"/>
  <c r="BF25" i="2" s="1"/>
  <c r="P26" i="2"/>
  <c r="BH26" i="2" s="1"/>
  <c r="Z26" i="2"/>
  <c r="BR26" i="2" s="1"/>
  <c r="AF26" i="2"/>
  <c r="BX26" i="2" s="1"/>
  <c r="Q27" i="2"/>
  <c r="BI27" i="2" s="1"/>
  <c r="AB27" i="2"/>
  <c r="BT27" i="2" s="1"/>
  <c r="AG27" i="2"/>
  <c r="BY27" i="2" s="1"/>
  <c r="AC28" i="2"/>
  <c r="BU28" i="2" s="1"/>
  <c r="K21" i="5"/>
  <c r="BA21" i="5" s="1"/>
  <c r="O21" i="5"/>
  <c r="BE21" i="5" s="1"/>
  <c r="BH23" i="6"/>
  <c r="BH25" i="6"/>
  <c r="BH27" i="6"/>
  <c r="U21" i="5"/>
  <c r="BK21" i="5" s="1"/>
  <c r="J21" i="5"/>
  <c r="AZ21" i="5" s="1"/>
  <c r="M21" i="5"/>
  <c r="BC21" i="5" s="1"/>
  <c r="R28" i="5"/>
  <c r="BH28" i="5" s="1"/>
  <c r="X28" i="5"/>
  <c r="BN28" i="5" s="1"/>
  <c r="AC27" i="5"/>
  <c r="BS27" i="5" s="1"/>
  <c r="L27" i="5"/>
  <c r="BB27" i="5" s="1"/>
  <c r="U27" i="5"/>
  <c r="BK27" i="5" s="1"/>
  <c r="W27" i="5"/>
  <c r="BM27" i="5" s="1"/>
  <c r="Y27" i="5"/>
  <c r="BO27" i="5" s="1"/>
  <c r="AA27" i="5"/>
  <c r="BQ27" i="5" s="1"/>
  <c r="R26" i="5"/>
  <c r="BH26" i="5" s="1"/>
  <c r="X26" i="5"/>
  <c r="BN26" i="5" s="1"/>
  <c r="J26" i="5"/>
  <c r="AZ26" i="5" s="1"/>
  <c r="M26" i="5"/>
  <c r="BC26" i="5" s="1"/>
  <c r="O26" i="5"/>
  <c r="BE26" i="5" s="1"/>
  <c r="R25" i="5"/>
  <c r="BH25" i="5" s="1"/>
  <c r="V25" i="5"/>
  <c r="BL25" i="5" s="1"/>
  <c r="Y25" i="5"/>
  <c r="BO25" i="5" s="1"/>
  <c r="AA25" i="5"/>
  <c r="BQ25" i="5" s="1"/>
  <c r="S24" i="5"/>
  <c r="R24" i="5" s="1"/>
  <c r="BH24" i="5" s="1"/>
  <c r="V24" i="5"/>
  <c r="BL24" i="5" s="1"/>
  <c r="Y24" i="5"/>
  <c r="BO24" i="5" s="1"/>
  <c r="AA24" i="5"/>
  <c r="BQ24" i="5" s="1"/>
  <c r="J24" i="5"/>
  <c r="AZ24" i="5" s="1"/>
  <c r="M24" i="5"/>
  <c r="BC24" i="5" s="1"/>
  <c r="O24" i="5"/>
  <c r="BE24" i="5" s="1"/>
  <c r="R23" i="5"/>
  <c r="BH23" i="5" s="1"/>
  <c r="V23" i="5"/>
  <c r="BL23" i="5" s="1"/>
  <c r="Y23" i="5"/>
  <c r="BO23" i="5" s="1"/>
  <c r="AA23" i="5"/>
  <c r="BQ23" i="5" s="1"/>
  <c r="J23" i="5"/>
  <c r="AZ23" i="5" s="1"/>
  <c r="M23" i="5"/>
  <c r="BC23" i="5" s="1"/>
  <c r="O23" i="5"/>
  <c r="BE23" i="5" s="1"/>
  <c r="S22" i="5"/>
  <c r="R22" i="5" s="1"/>
  <c r="BH22" i="5" s="1"/>
  <c r="V22" i="5"/>
  <c r="BL22" i="5" s="1"/>
  <c r="Y22" i="5"/>
  <c r="BO22" i="5" s="1"/>
  <c r="AA22" i="5"/>
  <c r="BQ22" i="5" s="1"/>
  <c r="M22" i="5"/>
  <c r="BC22" i="5" s="1"/>
  <c r="O22" i="5"/>
  <c r="BE22" i="5" s="1"/>
  <c r="S21" i="5"/>
  <c r="R21" i="5" s="1"/>
  <c r="BH21" i="5" s="1"/>
  <c r="V21" i="5"/>
  <c r="BL21" i="5" s="1"/>
  <c r="Y21" i="5"/>
  <c r="BO21" i="5" s="1"/>
  <c r="AA21" i="5"/>
  <c r="BQ21" i="5" s="1"/>
  <c r="R14" i="5"/>
  <c r="BH14" i="5" s="1"/>
  <c r="V14" i="5"/>
  <c r="BL14" i="5" s="1"/>
  <c r="Y14" i="5"/>
  <c r="BO14" i="5" s="1"/>
  <c r="AA14" i="5"/>
  <c r="BQ14" i="5" s="1"/>
  <c r="O14" i="5"/>
  <c r="BE14" i="5" s="1"/>
  <c r="S13" i="5"/>
  <c r="R13" i="5" s="1"/>
  <c r="BH13" i="5" s="1"/>
  <c r="V13" i="5"/>
  <c r="BL13" i="5" s="1"/>
  <c r="Y13" i="5"/>
  <c r="BO13" i="5" s="1"/>
  <c r="AA13" i="5"/>
  <c r="BQ13" i="5" s="1"/>
  <c r="W12" i="5"/>
  <c r="BM12" i="5" s="1"/>
  <c r="J11" i="5"/>
  <c r="AZ11" i="5" s="1"/>
  <c r="M11" i="5"/>
  <c r="BC11" i="5" s="1"/>
  <c r="O11" i="5"/>
  <c r="BE11" i="5" s="1"/>
  <c r="W11" i="5"/>
  <c r="BM11" i="5" s="1"/>
  <c r="R12" i="5"/>
  <c r="BH12" i="5" s="1"/>
  <c r="V12" i="5"/>
  <c r="BL12" i="5" s="1"/>
  <c r="Y12" i="5"/>
  <c r="BO12" i="5" s="1"/>
  <c r="AA12" i="5"/>
  <c r="BQ12" i="5" s="1"/>
  <c r="O12" i="5"/>
  <c r="BE12" i="5" s="1"/>
  <c r="R11" i="5"/>
  <c r="BH11" i="5" s="1"/>
  <c r="V11" i="5"/>
  <c r="BL11" i="5" s="1"/>
  <c r="Y11" i="5"/>
  <c r="BO11" i="5" s="1"/>
  <c r="AA11" i="5"/>
  <c r="BQ11" i="5" s="1"/>
  <c r="R10" i="5"/>
  <c r="BH10" i="5" s="1"/>
  <c r="V10" i="5"/>
  <c r="BL10" i="5" s="1"/>
  <c r="Y10" i="5"/>
  <c r="BO10" i="5" s="1"/>
  <c r="AA10" i="5"/>
  <c r="BQ10" i="5" s="1"/>
  <c r="W9" i="5"/>
  <c r="BM9" i="5" s="1"/>
  <c r="W8" i="5"/>
  <c r="BM8" i="5" s="1"/>
  <c r="W7" i="5"/>
  <c r="BM7" i="5" s="1"/>
  <c r="AC7" i="5"/>
  <c r="BS7" i="5" s="1"/>
  <c r="AC8" i="5"/>
  <c r="BS8" i="5" s="1"/>
  <c r="AC9" i="5"/>
  <c r="BS9" i="5" s="1"/>
  <c r="AB26" i="5"/>
  <c r="BR26" i="5" s="1"/>
  <c r="AB28" i="5"/>
  <c r="BR28" i="5" s="1"/>
  <c r="J7" i="5"/>
  <c r="AZ7" i="5" s="1"/>
  <c r="M7" i="5"/>
  <c r="BC7" i="5" s="1"/>
  <c r="O7" i="5"/>
  <c r="BE7" i="5" s="1"/>
  <c r="V7" i="5"/>
  <c r="BL7" i="5" s="1"/>
  <c r="Y7" i="5"/>
  <c r="BO7" i="5" s="1"/>
  <c r="AA7" i="5"/>
  <c r="BQ7" i="5" s="1"/>
  <c r="J8" i="5"/>
  <c r="AZ8" i="5" s="1"/>
  <c r="M8" i="5"/>
  <c r="BC8" i="5" s="1"/>
  <c r="O8" i="5"/>
  <c r="BE8" i="5" s="1"/>
  <c r="V8" i="5"/>
  <c r="BL8" i="5" s="1"/>
  <c r="Y8" i="5"/>
  <c r="BO8" i="5" s="1"/>
  <c r="AA8" i="5"/>
  <c r="BQ8" i="5" s="1"/>
  <c r="J9" i="5"/>
  <c r="AZ9" i="5" s="1"/>
  <c r="M9" i="5"/>
  <c r="BC9" i="5" s="1"/>
  <c r="O9" i="5"/>
  <c r="BE9" i="5" s="1"/>
  <c r="V9" i="5"/>
  <c r="BL9" i="5" s="1"/>
  <c r="Y9" i="5"/>
  <c r="BO9" i="5" s="1"/>
  <c r="AA9" i="5"/>
  <c r="BQ9" i="5" s="1"/>
  <c r="Q10" i="5"/>
  <c r="BG10" i="5" s="1"/>
  <c r="AC10" i="5"/>
  <c r="BS10" i="5" s="1"/>
  <c r="AC11" i="5"/>
  <c r="BS11" i="5" s="1"/>
  <c r="AC12" i="5"/>
  <c r="BS12" i="5" s="1"/>
  <c r="AC13" i="5"/>
  <c r="BS13" i="5" s="1"/>
  <c r="Q14" i="5"/>
  <c r="BG14" i="5" s="1"/>
  <c r="AC14" i="5"/>
  <c r="BS14" i="5" s="1"/>
  <c r="AC21" i="5"/>
  <c r="BS21" i="5" s="1"/>
  <c r="AC22" i="5"/>
  <c r="BS22" i="5" s="1"/>
  <c r="Q23" i="5"/>
  <c r="BG23" i="5" s="1"/>
  <c r="AC23" i="5"/>
  <c r="BS23" i="5" s="1"/>
  <c r="AC24" i="5"/>
  <c r="BS24" i="5" s="1"/>
  <c r="Q25" i="5"/>
  <c r="BG25" i="5" s="1"/>
  <c r="AC25" i="5"/>
  <c r="BS25" i="5" s="1"/>
  <c r="Q26" i="5"/>
  <c r="BG26" i="5" s="1"/>
  <c r="U26" i="5"/>
  <c r="BK26" i="5" s="1"/>
  <c r="W26" i="5"/>
  <c r="BM26" i="5" s="1"/>
  <c r="Y26" i="5"/>
  <c r="BO26" i="5" s="1"/>
  <c r="AA26" i="5"/>
  <c r="BQ26" i="5" s="1"/>
  <c r="AC26" i="5"/>
  <c r="BS26" i="5" s="1"/>
  <c r="K27" i="5"/>
  <c r="BA27" i="5" s="1"/>
  <c r="M27" i="5"/>
  <c r="BC27" i="5" s="1"/>
  <c r="O27" i="5"/>
  <c r="BE27" i="5" s="1"/>
  <c r="AB27" i="5"/>
  <c r="BR27" i="5" s="1"/>
  <c r="Q28" i="5"/>
  <c r="BG28" i="5" s="1"/>
  <c r="U28" i="5"/>
  <c r="BK28" i="5" s="1"/>
  <c r="W28" i="5"/>
  <c r="BM28" i="5" s="1"/>
  <c r="Y28" i="5"/>
  <c r="BO28" i="5" s="1"/>
  <c r="AA28" i="5"/>
  <c r="BQ28" i="5" s="1"/>
  <c r="AC28" i="5"/>
  <c r="BS28" i="5" s="1"/>
  <c r="L7" i="6"/>
  <c r="BD7" i="6" s="1"/>
  <c r="X7" i="6"/>
  <c r="BP7" i="6" s="1"/>
  <c r="L8" i="6"/>
  <c r="BD8" i="6" s="1"/>
  <c r="X8" i="6"/>
  <c r="BP8" i="6" s="1"/>
  <c r="L9" i="6"/>
  <c r="BD9" i="6" s="1"/>
  <c r="X9" i="6"/>
  <c r="BP9" i="6" s="1"/>
  <c r="L10" i="6"/>
  <c r="BD10" i="6" s="1"/>
  <c r="X10" i="6"/>
  <c r="BP10" i="6" s="1"/>
  <c r="L11" i="6"/>
  <c r="BD11" i="6" s="1"/>
  <c r="X11" i="6"/>
  <c r="BP11" i="6" s="1"/>
  <c r="L12" i="6"/>
  <c r="BD12" i="6" s="1"/>
  <c r="X12" i="6"/>
  <c r="BP12" i="6" s="1"/>
  <c r="L13" i="6"/>
  <c r="BD13" i="6" s="1"/>
  <c r="X13" i="6"/>
  <c r="BP13" i="6" s="1"/>
  <c r="L14" i="6"/>
  <c r="BD14" i="6" s="1"/>
  <c r="X14" i="6"/>
  <c r="BP14" i="6" s="1"/>
  <c r="L21" i="6"/>
  <c r="BD21" i="6" s="1"/>
  <c r="X21" i="6"/>
  <c r="BP21" i="6" s="1"/>
  <c r="L22" i="6"/>
  <c r="BD22" i="6" s="1"/>
  <c r="X22" i="6"/>
  <c r="BP22" i="6" s="1"/>
  <c r="L23" i="6"/>
  <c r="BD23" i="6" s="1"/>
  <c r="X23" i="6"/>
  <c r="BP23" i="6" s="1"/>
  <c r="L24" i="6"/>
  <c r="BD24" i="6" s="1"/>
  <c r="X24" i="6"/>
  <c r="BP24" i="6" s="1"/>
  <c r="L25" i="6"/>
  <c r="BD25" i="6" s="1"/>
  <c r="X25" i="6"/>
  <c r="BP25" i="6" s="1"/>
  <c r="L26" i="6"/>
  <c r="BD26" i="6" s="1"/>
  <c r="X26" i="6"/>
  <c r="BP26" i="6" s="1"/>
  <c r="L27" i="6"/>
  <c r="BD27" i="6" s="1"/>
  <c r="X27" i="6"/>
  <c r="BP27" i="6" s="1"/>
  <c r="L28" i="6"/>
  <c r="BD28" i="6" s="1"/>
  <c r="X28" i="6"/>
  <c r="BP28" i="6" s="1"/>
  <c r="L35" i="6"/>
  <c r="BD35" i="6" s="1"/>
  <c r="X35" i="6"/>
  <c r="BP35" i="6" s="1"/>
  <c r="L36" i="6"/>
  <c r="BD36" i="6" s="1"/>
  <c r="X36" i="6"/>
  <c r="BP36" i="6" s="1"/>
  <c r="L37" i="6"/>
  <c r="BD37" i="6" s="1"/>
  <c r="X37" i="6"/>
  <c r="BP37" i="6" s="1"/>
  <c r="L38" i="6"/>
  <c r="BD38" i="6" s="1"/>
  <c r="X38" i="6"/>
  <c r="BP38" i="6" s="1"/>
  <c r="L39" i="6"/>
  <c r="BD39" i="6" s="1"/>
  <c r="X39" i="6"/>
  <c r="BP39" i="6" s="1"/>
  <c r="L40" i="6"/>
  <c r="BD40" i="6" s="1"/>
  <c r="X40" i="6"/>
  <c r="BP40" i="6" s="1"/>
  <c r="L41" i="6"/>
  <c r="BD41" i="6" s="1"/>
  <c r="X41" i="6"/>
  <c r="BP41" i="6" s="1"/>
  <c r="L42" i="6"/>
  <c r="BD42" i="6" s="1"/>
  <c r="X42" i="6"/>
  <c r="BP42" i="6" s="1"/>
  <c r="W21" i="13"/>
  <c r="Y28" i="13"/>
  <c r="BQ28" i="13" s="1"/>
  <c r="Z36" i="13"/>
  <c r="BR36" i="13" s="1"/>
  <c r="AA36" i="13"/>
  <c r="BS36" i="13" s="1"/>
  <c r="AF36" i="13"/>
  <c r="BX36" i="13" s="1"/>
  <c r="O40" i="13"/>
  <c r="BG40" i="13" s="1"/>
  <c r="O38" i="13"/>
  <c r="BG38" i="13" s="1"/>
  <c r="AC28" i="13"/>
  <c r="BU28" i="13" s="1"/>
  <c r="AB27" i="13"/>
  <c r="BT27" i="13" s="1"/>
  <c r="BE21" i="12"/>
  <c r="Q27" i="13"/>
  <c r="BI27" i="13" s="1"/>
  <c r="N35" i="13"/>
  <c r="BF35" i="13" s="1"/>
  <c r="AE36" i="13"/>
  <c r="BW36" i="13" s="1"/>
  <c r="N38" i="13"/>
  <c r="BF38" i="13" s="1"/>
  <c r="AA38" i="13"/>
  <c r="BS38" i="13" s="1"/>
  <c r="P36" i="13"/>
  <c r="BH36" i="13" s="1"/>
  <c r="Z38" i="13"/>
  <c r="BR38" i="13" s="1"/>
  <c r="AA40" i="13"/>
  <c r="BS40" i="13" s="1"/>
  <c r="AF38" i="13"/>
  <c r="BX38" i="13" s="1"/>
  <c r="Y27" i="13"/>
  <c r="BQ27" i="13" s="1"/>
  <c r="AF27" i="13"/>
  <c r="BX27" i="13" s="1"/>
  <c r="Z28" i="13"/>
  <c r="BR28" i="13" s="1"/>
  <c r="AF28" i="13"/>
  <c r="BX28" i="13" s="1"/>
  <c r="S35" i="13"/>
  <c r="BK35" i="13" s="1"/>
  <c r="N36" i="13"/>
  <c r="BF36" i="13" s="1"/>
  <c r="S36" i="13"/>
  <c r="BK36" i="13" s="1"/>
  <c r="AB36" i="13"/>
  <c r="BT36" i="13" s="1"/>
  <c r="S40" i="13"/>
  <c r="BK40" i="13" s="1"/>
  <c r="AE40" i="13"/>
  <c r="BW40" i="13" s="1"/>
  <c r="N42" i="13"/>
  <c r="BF42" i="13" s="1"/>
  <c r="Z42" i="13"/>
  <c r="BR42" i="13" s="1"/>
  <c r="AF42" i="13"/>
  <c r="BX42" i="13" s="1"/>
  <c r="AE35" i="13"/>
  <c r="BW35" i="13" s="1"/>
  <c r="S42" i="13"/>
  <c r="BK42" i="13" s="1"/>
  <c r="AE42" i="13"/>
  <c r="BW42" i="13" s="1"/>
  <c r="N27" i="13"/>
  <c r="BF27" i="13" s="1"/>
  <c r="Z27" i="13"/>
  <c r="BR27" i="13" s="1"/>
  <c r="AG27" i="13"/>
  <c r="BY27" i="13" s="1"/>
  <c r="AB28" i="13"/>
  <c r="BT28" i="13" s="1"/>
  <c r="AG28" i="13"/>
  <c r="BY28" i="13" s="1"/>
  <c r="Z35" i="13"/>
  <c r="BR35" i="13" s="1"/>
  <c r="O36" i="13"/>
  <c r="BG36" i="13" s="1"/>
  <c r="W36" i="13"/>
  <c r="V36" i="13" s="1"/>
  <c r="BN36" i="13" s="1"/>
  <c r="S38" i="13"/>
  <c r="BK38" i="13" s="1"/>
  <c r="AE38" i="13"/>
  <c r="BW38" i="13" s="1"/>
  <c r="N40" i="13"/>
  <c r="BF40" i="13" s="1"/>
  <c r="Z40" i="13"/>
  <c r="BR40" i="13" s="1"/>
  <c r="AF40" i="13"/>
  <c r="BX40" i="13" s="1"/>
  <c r="O42" i="13"/>
  <c r="BG42" i="13" s="1"/>
  <c r="AA42" i="13"/>
  <c r="BS42" i="13" s="1"/>
  <c r="N7" i="13"/>
  <c r="BF7" i="13" s="1"/>
  <c r="N8" i="13"/>
  <c r="BF8" i="13" s="1"/>
  <c r="N9" i="13"/>
  <c r="BF9" i="13" s="1"/>
  <c r="N10" i="13"/>
  <c r="BF10" i="13" s="1"/>
  <c r="N11" i="13"/>
  <c r="BF11" i="13" s="1"/>
  <c r="N12" i="13"/>
  <c r="BF12" i="13" s="1"/>
  <c r="N13" i="13"/>
  <c r="BF13" i="13" s="1"/>
  <c r="N14" i="13"/>
  <c r="BF14" i="13" s="1"/>
  <c r="N21" i="13"/>
  <c r="BF21" i="13" s="1"/>
  <c r="N22" i="13"/>
  <c r="BF22" i="13" s="1"/>
  <c r="N23" i="13"/>
  <c r="BF23" i="13" s="1"/>
  <c r="N24" i="13"/>
  <c r="BF24" i="13" s="1"/>
  <c r="N25" i="13"/>
  <c r="BF25" i="13" s="1"/>
  <c r="N26" i="13"/>
  <c r="BF26" i="13" s="1"/>
  <c r="Q28" i="13"/>
  <c r="BI28" i="13" s="1"/>
  <c r="P37" i="13"/>
  <c r="BH37" i="13" s="1"/>
  <c r="W37" i="13"/>
  <c r="U37" i="13" s="1"/>
  <c r="BM37" i="13" s="1"/>
  <c r="AB37" i="13"/>
  <c r="BT37" i="13" s="1"/>
  <c r="P39" i="13"/>
  <c r="BH39" i="13" s="1"/>
  <c r="W39" i="13"/>
  <c r="U39" i="13" s="1"/>
  <c r="BM39" i="13" s="1"/>
  <c r="AB39" i="13"/>
  <c r="BT39" i="13" s="1"/>
  <c r="P41" i="13"/>
  <c r="BH41" i="13" s="1"/>
  <c r="W41" i="13"/>
  <c r="U41" i="13" s="1"/>
  <c r="BM41" i="13" s="1"/>
  <c r="AB41" i="13"/>
  <c r="BT41" i="13" s="1"/>
  <c r="P28" i="13"/>
  <c r="BH28" i="13" s="1"/>
  <c r="P35" i="13"/>
  <c r="BH35" i="13" s="1"/>
  <c r="W35" i="13"/>
  <c r="BO35" i="13" s="1"/>
  <c r="AB35" i="13"/>
  <c r="BT35" i="13" s="1"/>
  <c r="O37" i="13"/>
  <c r="BG37" i="13" s="1"/>
  <c r="AA37" i="13"/>
  <c r="BS37" i="13" s="1"/>
  <c r="AF37" i="13"/>
  <c r="BX37" i="13" s="1"/>
  <c r="O39" i="13"/>
  <c r="BG39" i="13" s="1"/>
  <c r="AA39" i="13"/>
  <c r="BS39" i="13" s="1"/>
  <c r="AF39" i="13"/>
  <c r="BX39" i="13" s="1"/>
  <c r="O41" i="13"/>
  <c r="BG41" i="13" s="1"/>
  <c r="AA41" i="13"/>
  <c r="BS41" i="13" s="1"/>
  <c r="AF41" i="13"/>
  <c r="BX41" i="13" s="1"/>
  <c r="Z7" i="13"/>
  <c r="BR7" i="13" s="1"/>
  <c r="Z8" i="13"/>
  <c r="BR8" i="13" s="1"/>
  <c r="Z9" i="13"/>
  <c r="BR9" i="13" s="1"/>
  <c r="Z10" i="13"/>
  <c r="BR10" i="13" s="1"/>
  <c r="Z11" i="13"/>
  <c r="BR11" i="13" s="1"/>
  <c r="Z12" i="13"/>
  <c r="BR12" i="13" s="1"/>
  <c r="Z13" i="13"/>
  <c r="BR13" i="13" s="1"/>
  <c r="Z14" i="13"/>
  <c r="BR14" i="13" s="1"/>
  <c r="Z21" i="13"/>
  <c r="BR21" i="13" s="1"/>
  <c r="Z22" i="13"/>
  <c r="BR22" i="13" s="1"/>
  <c r="Z23" i="13"/>
  <c r="BR23" i="13" s="1"/>
  <c r="Z24" i="13"/>
  <c r="BR24" i="13" s="1"/>
  <c r="Z25" i="13"/>
  <c r="BR25" i="13" s="1"/>
  <c r="Z26" i="13"/>
  <c r="BR26" i="13" s="1"/>
  <c r="AC27" i="13"/>
  <c r="BU27" i="13" s="1"/>
  <c r="N28" i="13"/>
  <c r="BF28" i="13" s="1"/>
  <c r="O35" i="13"/>
  <c r="BG35" i="13" s="1"/>
  <c r="AA35" i="13"/>
  <c r="BS35" i="13" s="1"/>
  <c r="AF35" i="13"/>
  <c r="BX35" i="13" s="1"/>
  <c r="N37" i="13"/>
  <c r="BF37" i="13" s="1"/>
  <c r="S37" i="13"/>
  <c r="BK37" i="13" s="1"/>
  <c r="Z37" i="13"/>
  <c r="BR37" i="13" s="1"/>
  <c r="AE37" i="13"/>
  <c r="BW37" i="13" s="1"/>
  <c r="P38" i="13"/>
  <c r="BH38" i="13" s="1"/>
  <c r="W38" i="13"/>
  <c r="U38" i="13" s="1"/>
  <c r="BM38" i="13" s="1"/>
  <c r="AB38" i="13"/>
  <c r="BT38" i="13" s="1"/>
  <c r="N39" i="13"/>
  <c r="BF39" i="13" s="1"/>
  <c r="S39" i="13"/>
  <c r="BK39" i="13" s="1"/>
  <c r="Z39" i="13"/>
  <c r="BR39" i="13" s="1"/>
  <c r="AE39" i="13"/>
  <c r="BW39" i="13" s="1"/>
  <c r="P40" i="13"/>
  <c r="BH40" i="13" s="1"/>
  <c r="W40" i="13"/>
  <c r="U40" i="13" s="1"/>
  <c r="BM40" i="13" s="1"/>
  <c r="AB40" i="13"/>
  <c r="BT40" i="13" s="1"/>
  <c r="N41" i="13"/>
  <c r="BF41" i="13" s="1"/>
  <c r="S41" i="13"/>
  <c r="BK41" i="13" s="1"/>
  <c r="Z41" i="13"/>
  <c r="BR41" i="13" s="1"/>
  <c r="AE41" i="13"/>
  <c r="BW41" i="13" s="1"/>
  <c r="P42" i="13"/>
  <c r="BH42" i="13" s="1"/>
  <c r="AB42" i="13"/>
  <c r="BT42" i="13" s="1"/>
  <c r="BE12" i="12"/>
  <c r="T9" i="12"/>
  <c r="Q35" i="13"/>
  <c r="BI35" i="13" s="1"/>
  <c r="Y35" i="13"/>
  <c r="BQ35" i="13" s="1"/>
  <c r="AC35" i="13"/>
  <c r="BU35" i="13" s="1"/>
  <c r="AG35" i="13"/>
  <c r="BY35" i="13" s="1"/>
  <c r="Q36" i="13"/>
  <c r="BI36" i="13" s="1"/>
  <c r="Y36" i="13"/>
  <c r="BQ36" i="13" s="1"/>
  <c r="AC36" i="13"/>
  <c r="BU36" i="13" s="1"/>
  <c r="AG36" i="13"/>
  <c r="BY36" i="13" s="1"/>
  <c r="Q37" i="13"/>
  <c r="BI37" i="13" s="1"/>
  <c r="Y37" i="13"/>
  <c r="BQ37" i="13" s="1"/>
  <c r="AC37" i="13"/>
  <c r="BU37" i="13" s="1"/>
  <c r="AG37" i="13"/>
  <c r="BY37" i="13" s="1"/>
  <c r="Q38" i="13"/>
  <c r="BI38" i="13" s="1"/>
  <c r="Y38" i="13"/>
  <c r="BQ38" i="13" s="1"/>
  <c r="AC38" i="13"/>
  <c r="BU38" i="13" s="1"/>
  <c r="AG38" i="13"/>
  <c r="BY38" i="13" s="1"/>
  <c r="Q39" i="13"/>
  <c r="BI39" i="13" s="1"/>
  <c r="Y39" i="13"/>
  <c r="BQ39" i="13" s="1"/>
  <c r="AC39" i="13"/>
  <c r="BU39" i="13" s="1"/>
  <c r="AG39" i="13"/>
  <c r="BY39" i="13" s="1"/>
  <c r="Q40" i="13"/>
  <c r="BI40" i="13" s="1"/>
  <c r="Y40" i="13"/>
  <c r="BQ40" i="13" s="1"/>
  <c r="AC40" i="13"/>
  <c r="BU40" i="13" s="1"/>
  <c r="AG40" i="13"/>
  <c r="BY40" i="13" s="1"/>
  <c r="Q41" i="13"/>
  <c r="BI41" i="13" s="1"/>
  <c r="Y41" i="13"/>
  <c r="BQ41" i="13" s="1"/>
  <c r="AC41" i="13"/>
  <c r="BU41" i="13" s="1"/>
  <c r="AG41" i="13"/>
  <c r="BY41" i="13" s="1"/>
  <c r="Q42" i="13"/>
  <c r="BI42" i="13" s="1"/>
  <c r="Y42" i="13"/>
  <c r="BQ42" i="13" s="1"/>
  <c r="AC42" i="13"/>
  <c r="BU42" i="13" s="1"/>
  <c r="AG42" i="13"/>
  <c r="BY42" i="13" s="1"/>
  <c r="BO38" i="13"/>
  <c r="Q7" i="13"/>
  <c r="BI7" i="13" s="1"/>
  <c r="Y7" i="13"/>
  <c r="BQ7" i="13" s="1"/>
  <c r="AC7" i="13"/>
  <c r="BU7" i="13" s="1"/>
  <c r="AG7" i="13"/>
  <c r="BY7" i="13" s="1"/>
  <c r="Q8" i="13"/>
  <c r="BI8" i="13" s="1"/>
  <c r="Y8" i="13"/>
  <c r="BQ8" i="13" s="1"/>
  <c r="AC8" i="13"/>
  <c r="BU8" i="13" s="1"/>
  <c r="AG8" i="13"/>
  <c r="BY8" i="13" s="1"/>
  <c r="Q9" i="13"/>
  <c r="BI9" i="13" s="1"/>
  <c r="Y9" i="13"/>
  <c r="BQ9" i="13" s="1"/>
  <c r="AC9" i="13"/>
  <c r="BU9" i="13" s="1"/>
  <c r="AG9" i="13"/>
  <c r="BY9" i="13" s="1"/>
  <c r="Q10" i="13"/>
  <c r="BI10" i="13" s="1"/>
  <c r="Y10" i="13"/>
  <c r="BQ10" i="13" s="1"/>
  <c r="AC10" i="13"/>
  <c r="BU10" i="13" s="1"/>
  <c r="AG10" i="13"/>
  <c r="BY10" i="13" s="1"/>
  <c r="Q11" i="13"/>
  <c r="BI11" i="13" s="1"/>
  <c r="Y11" i="13"/>
  <c r="BQ11" i="13" s="1"/>
  <c r="AC11" i="13"/>
  <c r="BU11" i="13" s="1"/>
  <c r="AG11" i="13"/>
  <c r="BY11" i="13" s="1"/>
  <c r="Q12" i="13"/>
  <c r="BI12" i="13" s="1"/>
  <c r="Y12" i="13"/>
  <c r="BQ12" i="13" s="1"/>
  <c r="AC12" i="13"/>
  <c r="BU12" i="13" s="1"/>
  <c r="AG12" i="13"/>
  <c r="BY12" i="13" s="1"/>
  <c r="Q13" i="13"/>
  <c r="BI13" i="13" s="1"/>
  <c r="Y13" i="13"/>
  <c r="BQ13" i="13" s="1"/>
  <c r="AC13" i="13"/>
  <c r="BU13" i="13" s="1"/>
  <c r="AG13" i="13"/>
  <c r="BY13" i="13" s="1"/>
  <c r="Q14" i="13"/>
  <c r="BI14" i="13" s="1"/>
  <c r="Y14" i="13"/>
  <c r="BQ14" i="13" s="1"/>
  <c r="AC14" i="13"/>
  <c r="BU14" i="13" s="1"/>
  <c r="AG14" i="13"/>
  <c r="BY14" i="13" s="1"/>
  <c r="Q21" i="13"/>
  <c r="BI21" i="13" s="1"/>
  <c r="Y21" i="13"/>
  <c r="BQ21" i="13" s="1"/>
  <c r="AC21" i="13"/>
  <c r="BU21" i="13" s="1"/>
  <c r="AG21" i="13"/>
  <c r="BY21" i="13" s="1"/>
  <c r="Q22" i="13"/>
  <c r="BI22" i="13" s="1"/>
  <c r="Y22" i="13"/>
  <c r="BQ22" i="13" s="1"/>
  <c r="AC22" i="13"/>
  <c r="BU22" i="13" s="1"/>
  <c r="AG22" i="13"/>
  <c r="BY22" i="13" s="1"/>
  <c r="Q23" i="13"/>
  <c r="BI23" i="13" s="1"/>
  <c r="Y23" i="13"/>
  <c r="BQ23" i="13" s="1"/>
  <c r="AC23" i="13"/>
  <c r="BU23" i="13" s="1"/>
  <c r="AG23" i="13"/>
  <c r="BY23" i="13" s="1"/>
  <c r="Q24" i="13"/>
  <c r="BI24" i="13" s="1"/>
  <c r="Y24" i="13"/>
  <c r="BQ24" i="13" s="1"/>
  <c r="AC24" i="13"/>
  <c r="BU24" i="13" s="1"/>
  <c r="AG24" i="13"/>
  <c r="BY24" i="13" s="1"/>
  <c r="Q25" i="13"/>
  <c r="BI25" i="13" s="1"/>
  <c r="Y25" i="13"/>
  <c r="BQ25" i="13" s="1"/>
  <c r="AC25" i="13"/>
  <c r="BU25" i="13" s="1"/>
  <c r="AG25" i="13"/>
  <c r="BY25" i="13" s="1"/>
  <c r="Q26" i="13"/>
  <c r="BI26" i="13" s="1"/>
  <c r="Y26" i="13"/>
  <c r="BQ26" i="13" s="1"/>
  <c r="AC26" i="13"/>
  <c r="BU26" i="13" s="1"/>
  <c r="AG26" i="13"/>
  <c r="BY26" i="13" s="1"/>
  <c r="P7" i="13"/>
  <c r="BH7" i="13" s="1"/>
  <c r="AB7" i="13"/>
  <c r="BT7" i="13" s="1"/>
  <c r="AF7" i="13"/>
  <c r="BX7" i="13" s="1"/>
  <c r="P8" i="13"/>
  <c r="BH8" i="13" s="1"/>
  <c r="AB8" i="13"/>
  <c r="BT8" i="13" s="1"/>
  <c r="AF8" i="13"/>
  <c r="BX8" i="13" s="1"/>
  <c r="P9" i="13"/>
  <c r="BH9" i="13" s="1"/>
  <c r="AB9" i="13"/>
  <c r="BT9" i="13" s="1"/>
  <c r="AF9" i="13"/>
  <c r="BX9" i="13" s="1"/>
  <c r="P10" i="13"/>
  <c r="BH10" i="13" s="1"/>
  <c r="AB10" i="13"/>
  <c r="BT10" i="13" s="1"/>
  <c r="AF10" i="13"/>
  <c r="BX10" i="13" s="1"/>
  <c r="P11" i="13"/>
  <c r="BH11" i="13" s="1"/>
  <c r="AB11" i="13"/>
  <c r="BT11" i="13" s="1"/>
  <c r="AF11" i="13"/>
  <c r="BX11" i="13" s="1"/>
  <c r="P12" i="13"/>
  <c r="BH12" i="13" s="1"/>
  <c r="AB12" i="13"/>
  <c r="BT12" i="13" s="1"/>
  <c r="AF12" i="13"/>
  <c r="BX12" i="13" s="1"/>
  <c r="P13" i="13"/>
  <c r="BH13" i="13" s="1"/>
  <c r="AB13" i="13"/>
  <c r="BT13" i="13" s="1"/>
  <c r="AF13" i="13"/>
  <c r="BX13" i="13" s="1"/>
  <c r="P14" i="13"/>
  <c r="BH14" i="13" s="1"/>
  <c r="AB14" i="13"/>
  <c r="BT14" i="13" s="1"/>
  <c r="AF14" i="13"/>
  <c r="BX14" i="13" s="1"/>
  <c r="P21" i="13"/>
  <c r="BH21" i="13" s="1"/>
  <c r="AB21" i="13"/>
  <c r="BT21" i="13" s="1"/>
  <c r="AF21" i="13"/>
  <c r="BX21" i="13" s="1"/>
  <c r="P22" i="13"/>
  <c r="BH22" i="13" s="1"/>
  <c r="AB22" i="13"/>
  <c r="BT22" i="13" s="1"/>
  <c r="AF22" i="13"/>
  <c r="BX22" i="13" s="1"/>
  <c r="P23" i="13"/>
  <c r="BH23" i="13" s="1"/>
  <c r="AB23" i="13"/>
  <c r="BT23" i="13" s="1"/>
  <c r="AF23" i="13"/>
  <c r="BX23" i="13" s="1"/>
  <c r="P24" i="13"/>
  <c r="BH24" i="13" s="1"/>
  <c r="AB24" i="13"/>
  <c r="BT24" i="13" s="1"/>
  <c r="AF24" i="13"/>
  <c r="BX24" i="13" s="1"/>
  <c r="P25" i="13"/>
  <c r="BH25" i="13" s="1"/>
  <c r="AB25" i="13"/>
  <c r="BT25" i="13" s="1"/>
  <c r="AF25" i="13"/>
  <c r="BX25" i="13" s="1"/>
  <c r="P26" i="13"/>
  <c r="BH26" i="13" s="1"/>
  <c r="AB26" i="13"/>
  <c r="BT26" i="13" s="1"/>
  <c r="AF26" i="13"/>
  <c r="BX26" i="13" s="1"/>
  <c r="P27" i="13"/>
  <c r="BH27" i="13" s="1"/>
  <c r="O7" i="13"/>
  <c r="BG7" i="13" s="1"/>
  <c r="S7" i="13"/>
  <c r="BK7" i="13" s="1"/>
  <c r="AA7" i="13"/>
  <c r="BS7" i="13" s="1"/>
  <c r="AE7" i="13"/>
  <c r="BW7" i="13" s="1"/>
  <c r="O8" i="13"/>
  <c r="BG8" i="13" s="1"/>
  <c r="S8" i="13"/>
  <c r="BK8" i="13" s="1"/>
  <c r="AA8" i="13"/>
  <c r="BS8" i="13" s="1"/>
  <c r="AE8" i="13"/>
  <c r="BW8" i="13" s="1"/>
  <c r="O9" i="13"/>
  <c r="BG9" i="13" s="1"/>
  <c r="S9" i="13"/>
  <c r="BK9" i="13" s="1"/>
  <c r="AA9" i="13"/>
  <c r="BS9" i="13" s="1"/>
  <c r="AE9" i="13"/>
  <c r="BW9" i="13" s="1"/>
  <c r="O10" i="13"/>
  <c r="BG10" i="13" s="1"/>
  <c r="S10" i="13"/>
  <c r="BK10" i="13" s="1"/>
  <c r="AA10" i="13"/>
  <c r="BS10" i="13" s="1"/>
  <c r="AE10" i="13"/>
  <c r="BW10" i="13" s="1"/>
  <c r="O11" i="13"/>
  <c r="BG11" i="13" s="1"/>
  <c r="S11" i="13"/>
  <c r="BK11" i="13" s="1"/>
  <c r="AA11" i="13"/>
  <c r="BS11" i="13" s="1"/>
  <c r="AE11" i="13"/>
  <c r="BW11" i="13" s="1"/>
  <c r="O12" i="13"/>
  <c r="BG12" i="13" s="1"/>
  <c r="S12" i="13"/>
  <c r="BK12" i="13" s="1"/>
  <c r="AA12" i="13"/>
  <c r="BS12" i="13" s="1"/>
  <c r="AE12" i="13"/>
  <c r="BW12" i="13" s="1"/>
  <c r="O13" i="13"/>
  <c r="BG13" i="13" s="1"/>
  <c r="S13" i="13"/>
  <c r="BK13" i="13" s="1"/>
  <c r="AA13" i="13"/>
  <c r="BS13" i="13" s="1"/>
  <c r="AE13" i="13"/>
  <c r="BW13" i="13" s="1"/>
  <c r="O14" i="13"/>
  <c r="BG14" i="13" s="1"/>
  <c r="S14" i="13"/>
  <c r="BK14" i="13" s="1"/>
  <c r="AA14" i="13"/>
  <c r="BS14" i="13" s="1"/>
  <c r="AE14" i="13"/>
  <c r="BW14" i="13" s="1"/>
  <c r="O21" i="13"/>
  <c r="BG21" i="13" s="1"/>
  <c r="S21" i="13"/>
  <c r="BK21" i="13" s="1"/>
  <c r="AA21" i="13"/>
  <c r="BS21" i="13" s="1"/>
  <c r="AE21" i="13"/>
  <c r="BW21" i="13" s="1"/>
  <c r="O22" i="13"/>
  <c r="BG22" i="13" s="1"/>
  <c r="S22" i="13"/>
  <c r="BK22" i="13" s="1"/>
  <c r="AA22" i="13"/>
  <c r="BS22" i="13" s="1"/>
  <c r="AE22" i="13"/>
  <c r="BW22" i="13" s="1"/>
  <c r="O23" i="13"/>
  <c r="BG23" i="13" s="1"/>
  <c r="S23" i="13"/>
  <c r="BK23" i="13" s="1"/>
  <c r="AA23" i="13"/>
  <c r="BS23" i="13" s="1"/>
  <c r="AE23" i="13"/>
  <c r="BW23" i="13" s="1"/>
  <c r="O24" i="13"/>
  <c r="BG24" i="13" s="1"/>
  <c r="S24" i="13"/>
  <c r="BK24" i="13" s="1"/>
  <c r="AA24" i="13"/>
  <c r="BS24" i="13" s="1"/>
  <c r="AE24" i="13"/>
  <c r="BW24" i="13" s="1"/>
  <c r="O25" i="13"/>
  <c r="BG25" i="13" s="1"/>
  <c r="S25" i="13"/>
  <c r="BK25" i="13" s="1"/>
  <c r="AA25" i="13"/>
  <c r="BS25" i="13" s="1"/>
  <c r="AE25" i="13"/>
  <c r="BW25" i="13" s="1"/>
  <c r="O26" i="13"/>
  <c r="BG26" i="13" s="1"/>
  <c r="S26" i="13"/>
  <c r="BK26" i="13" s="1"/>
  <c r="AA26" i="13"/>
  <c r="BS26" i="13" s="1"/>
  <c r="AE26" i="13"/>
  <c r="BW26" i="13" s="1"/>
  <c r="O27" i="13"/>
  <c r="BG27" i="13" s="1"/>
  <c r="S27" i="13"/>
  <c r="BK27" i="13" s="1"/>
  <c r="AA27" i="13"/>
  <c r="BS27" i="13" s="1"/>
  <c r="AE27" i="13"/>
  <c r="BW27" i="13" s="1"/>
  <c r="O28" i="13"/>
  <c r="BG28" i="13" s="1"/>
  <c r="S28" i="13"/>
  <c r="BK28" i="13" s="1"/>
  <c r="AA28" i="13"/>
  <c r="BS28" i="13" s="1"/>
  <c r="AE28" i="13"/>
  <c r="BW28" i="13" s="1"/>
  <c r="Y10" i="12"/>
  <c r="BO10" i="12" s="1"/>
  <c r="M12" i="12"/>
  <c r="BC12" i="12" s="1"/>
  <c r="X21" i="12"/>
  <c r="BN21" i="12" s="1"/>
  <c r="P22" i="12"/>
  <c r="BF22" i="12" s="1"/>
  <c r="K24" i="12"/>
  <c r="BA24" i="12" s="1"/>
  <c r="L25" i="12"/>
  <c r="BB25" i="12" s="1"/>
  <c r="Y25" i="12"/>
  <c r="BO25" i="12" s="1"/>
  <c r="AC8" i="12"/>
  <c r="BS8" i="12" s="1"/>
  <c r="Q10" i="12"/>
  <c r="BG10" i="12" s="1"/>
  <c r="S12" i="12"/>
  <c r="BI12" i="12" s="1"/>
  <c r="L21" i="12"/>
  <c r="BB21" i="12" s="1"/>
  <c r="K22" i="12"/>
  <c r="BA22" i="12" s="1"/>
  <c r="P24" i="12"/>
  <c r="BF24" i="12" s="1"/>
  <c r="X25" i="12"/>
  <c r="BN25" i="12" s="1"/>
  <c r="K28" i="12"/>
  <c r="BA28" i="12" s="1"/>
  <c r="S21" i="12"/>
  <c r="BI21" i="12" s="1"/>
  <c r="AC21" i="12"/>
  <c r="BS21" i="12" s="1"/>
  <c r="W22" i="12"/>
  <c r="BM22" i="12" s="1"/>
  <c r="M23" i="12"/>
  <c r="BC23" i="12" s="1"/>
  <c r="Y23" i="12"/>
  <c r="BO23" i="12" s="1"/>
  <c r="AB24" i="12"/>
  <c r="BR24" i="12" s="1"/>
  <c r="S25" i="12"/>
  <c r="BI25" i="12" s="1"/>
  <c r="AC25" i="12"/>
  <c r="BS25" i="12" s="1"/>
  <c r="W26" i="12"/>
  <c r="BM26" i="12" s="1"/>
  <c r="M27" i="12"/>
  <c r="BC27" i="12" s="1"/>
  <c r="Y27" i="12"/>
  <c r="BO27" i="12" s="1"/>
  <c r="AB28" i="12"/>
  <c r="BR28" i="12" s="1"/>
  <c r="L23" i="12"/>
  <c r="BB23" i="12" s="1"/>
  <c r="X23" i="12"/>
  <c r="BN23" i="12" s="1"/>
  <c r="P26" i="12"/>
  <c r="BF26" i="12" s="1"/>
  <c r="L27" i="12"/>
  <c r="BB27" i="12" s="1"/>
  <c r="X27" i="12"/>
  <c r="BN27" i="12" s="1"/>
  <c r="M21" i="12"/>
  <c r="BC21" i="12" s="1"/>
  <c r="Y21" i="12"/>
  <c r="BO21" i="12" s="1"/>
  <c r="AB22" i="12"/>
  <c r="BR22" i="12" s="1"/>
  <c r="S23" i="12"/>
  <c r="BI23" i="12" s="1"/>
  <c r="AC23" i="12"/>
  <c r="BS23" i="12" s="1"/>
  <c r="W24" i="12"/>
  <c r="BM24" i="12" s="1"/>
  <c r="M25" i="12"/>
  <c r="BC25" i="12" s="1"/>
  <c r="AB26" i="12"/>
  <c r="BR26" i="12" s="1"/>
  <c r="S27" i="12"/>
  <c r="BI27" i="12" s="1"/>
  <c r="AC27" i="12"/>
  <c r="BS27" i="12" s="1"/>
  <c r="W28" i="12"/>
  <c r="BM28" i="12" s="1"/>
  <c r="P28" i="12"/>
  <c r="BF28" i="12" s="1"/>
  <c r="W12" i="12"/>
  <c r="BM12" i="12" s="1"/>
  <c r="AB12" i="12"/>
  <c r="BR12" i="12" s="1"/>
  <c r="K14" i="12"/>
  <c r="BA14" i="12" s="1"/>
  <c r="P14" i="12"/>
  <c r="BF14" i="12" s="1"/>
  <c r="X14" i="12"/>
  <c r="BN14" i="12" s="1"/>
  <c r="AC14" i="12"/>
  <c r="BS14" i="12" s="1"/>
  <c r="X10" i="12"/>
  <c r="BN10" i="12" s="1"/>
  <c r="AC10" i="12"/>
  <c r="BS10" i="12" s="1"/>
  <c r="L12" i="12"/>
  <c r="BB12" i="12" s="1"/>
  <c r="Q12" i="12"/>
  <c r="BG12" i="12" s="1"/>
  <c r="Y12" i="12"/>
  <c r="BO12" i="12" s="1"/>
  <c r="M14" i="12"/>
  <c r="BC14" i="12" s="1"/>
  <c r="X8" i="12"/>
  <c r="BN8" i="12" s="1"/>
  <c r="W10" i="12"/>
  <c r="BM10" i="12" s="1"/>
  <c r="AB10" i="12"/>
  <c r="BR10" i="12" s="1"/>
  <c r="K12" i="12"/>
  <c r="BA12" i="12" s="1"/>
  <c r="P12" i="12"/>
  <c r="BF12" i="12" s="1"/>
  <c r="X12" i="12"/>
  <c r="BN12" i="12" s="1"/>
  <c r="AC12" i="12"/>
  <c r="BS12" i="12" s="1"/>
  <c r="L14" i="12"/>
  <c r="BB14" i="12" s="1"/>
  <c r="Y14" i="12"/>
  <c r="BO14" i="12" s="1"/>
  <c r="L22" i="12"/>
  <c r="BB22" i="12" s="1"/>
  <c r="X22" i="12"/>
  <c r="BN22" i="12" s="1"/>
  <c r="AC22" i="12"/>
  <c r="BS22" i="12" s="1"/>
  <c r="L24" i="12"/>
  <c r="BB24" i="12" s="1"/>
  <c r="X24" i="12"/>
  <c r="BN24" i="12" s="1"/>
  <c r="AC24" i="12"/>
  <c r="BS24" i="12" s="1"/>
  <c r="U25" i="12"/>
  <c r="BK25" i="12" s="1"/>
  <c r="L26" i="12"/>
  <c r="BB26" i="12" s="1"/>
  <c r="X26" i="12"/>
  <c r="BN26" i="12" s="1"/>
  <c r="AC26" i="12"/>
  <c r="BS26" i="12" s="1"/>
  <c r="L28" i="12"/>
  <c r="BB28" i="12" s="1"/>
  <c r="X28" i="12"/>
  <c r="BN28" i="12" s="1"/>
  <c r="AC28" i="12"/>
  <c r="BS28" i="12" s="1"/>
  <c r="Q25" i="12"/>
  <c r="BG25" i="12" s="1"/>
  <c r="K21" i="12"/>
  <c r="BA21" i="12" s="1"/>
  <c r="P21" i="12"/>
  <c r="BF21" i="12" s="1"/>
  <c r="W21" i="12"/>
  <c r="BM21" i="12" s="1"/>
  <c r="AB21" i="12"/>
  <c r="BR21" i="12" s="1"/>
  <c r="M22" i="12"/>
  <c r="BC22" i="12" s="1"/>
  <c r="T22" i="12"/>
  <c r="BJ22" i="12" s="1"/>
  <c r="Y22" i="12"/>
  <c r="BO22" i="12" s="1"/>
  <c r="K23" i="12"/>
  <c r="BA23" i="12" s="1"/>
  <c r="P23" i="12"/>
  <c r="BF23" i="12" s="1"/>
  <c r="W23" i="12"/>
  <c r="BM23" i="12" s="1"/>
  <c r="AB23" i="12"/>
  <c r="BR23" i="12" s="1"/>
  <c r="M24" i="12"/>
  <c r="BC24" i="12" s="1"/>
  <c r="R24" i="12"/>
  <c r="BH24" i="12" s="1"/>
  <c r="Y24" i="12"/>
  <c r="BO24" i="12" s="1"/>
  <c r="K25" i="12"/>
  <c r="BA25" i="12" s="1"/>
  <c r="P25" i="12"/>
  <c r="BF25" i="12" s="1"/>
  <c r="W25" i="12"/>
  <c r="BM25" i="12" s="1"/>
  <c r="AB25" i="12"/>
  <c r="BR25" i="12" s="1"/>
  <c r="M26" i="12"/>
  <c r="BC26" i="12" s="1"/>
  <c r="BJ26" i="12"/>
  <c r="Y26" i="12"/>
  <c r="BO26" i="12" s="1"/>
  <c r="K27" i="12"/>
  <c r="BA27" i="12" s="1"/>
  <c r="P27" i="12"/>
  <c r="BF27" i="12" s="1"/>
  <c r="W27" i="12"/>
  <c r="BM27" i="12" s="1"/>
  <c r="AB27" i="12"/>
  <c r="BR27" i="12" s="1"/>
  <c r="M28" i="12"/>
  <c r="BC28" i="12" s="1"/>
  <c r="R28" i="12"/>
  <c r="BH28" i="12" s="1"/>
  <c r="Y28" i="12"/>
  <c r="BO28" i="12" s="1"/>
  <c r="M7" i="12"/>
  <c r="BC7" i="12" s="1"/>
  <c r="R7" i="12"/>
  <c r="BH7" i="12" s="1"/>
  <c r="Y7" i="12"/>
  <c r="BO7" i="12" s="1"/>
  <c r="K8" i="12"/>
  <c r="BA8" i="12" s="1"/>
  <c r="P8" i="12"/>
  <c r="BF8" i="12" s="1"/>
  <c r="W8" i="12"/>
  <c r="BM8" i="12" s="1"/>
  <c r="AB8" i="12"/>
  <c r="BR8" i="12" s="1"/>
  <c r="M9" i="12"/>
  <c r="BC9" i="12" s="1"/>
  <c r="R9" i="12"/>
  <c r="BH9" i="12" s="1"/>
  <c r="Y9" i="12"/>
  <c r="BO9" i="12" s="1"/>
  <c r="M11" i="12"/>
  <c r="BC11" i="12" s="1"/>
  <c r="Y11" i="12"/>
  <c r="BO11" i="12" s="1"/>
  <c r="M13" i="12"/>
  <c r="BC13" i="12" s="1"/>
  <c r="R13" i="12"/>
  <c r="BH13" i="12" s="1"/>
  <c r="Y13" i="12"/>
  <c r="BO13" i="12" s="1"/>
  <c r="X7" i="12"/>
  <c r="BN7" i="12" s="1"/>
  <c r="L9" i="12"/>
  <c r="BB9" i="12" s="1"/>
  <c r="X9" i="12"/>
  <c r="BN9" i="12" s="1"/>
  <c r="AC9" i="12"/>
  <c r="BS9" i="12" s="1"/>
  <c r="U10" i="12"/>
  <c r="BK10" i="12" s="1"/>
  <c r="L11" i="12"/>
  <c r="BB11" i="12" s="1"/>
  <c r="X11" i="12"/>
  <c r="BN11" i="12" s="1"/>
  <c r="AC11" i="12"/>
  <c r="BS11" i="12" s="1"/>
  <c r="U12" i="12"/>
  <c r="BK12" i="12" s="1"/>
  <c r="L13" i="12"/>
  <c r="BB13" i="12" s="1"/>
  <c r="X13" i="12"/>
  <c r="BN13" i="12" s="1"/>
  <c r="AC13" i="12"/>
  <c r="BS13" i="12" s="1"/>
  <c r="U14" i="12"/>
  <c r="BK14" i="12" s="1"/>
  <c r="L7" i="12"/>
  <c r="BB7" i="12" s="1"/>
  <c r="AC7" i="12"/>
  <c r="BS7" i="12" s="1"/>
  <c r="K7" i="12"/>
  <c r="BA7" i="12" s="1"/>
  <c r="P7" i="12"/>
  <c r="BF7" i="12" s="1"/>
  <c r="W7" i="12"/>
  <c r="BM7" i="12" s="1"/>
  <c r="AB7" i="12"/>
  <c r="BR7" i="12" s="1"/>
  <c r="M8" i="12"/>
  <c r="BC8" i="12" s="1"/>
  <c r="R8" i="12"/>
  <c r="BH8" i="12" s="1"/>
  <c r="Y8" i="12"/>
  <c r="BO8" i="12" s="1"/>
  <c r="K9" i="12"/>
  <c r="BA9" i="12" s="1"/>
  <c r="P9" i="12"/>
  <c r="BF9" i="12" s="1"/>
  <c r="W9" i="12"/>
  <c r="BM9" i="12" s="1"/>
  <c r="AB9" i="12"/>
  <c r="BR9" i="12" s="1"/>
  <c r="K11" i="12"/>
  <c r="BA11" i="12" s="1"/>
  <c r="P11" i="12"/>
  <c r="BF11" i="12" s="1"/>
  <c r="W11" i="12"/>
  <c r="BM11" i="12" s="1"/>
  <c r="AB11" i="12"/>
  <c r="BR11" i="12" s="1"/>
  <c r="K13" i="12"/>
  <c r="BA13" i="12" s="1"/>
  <c r="P13" i="12"/>
  <c r="BF13" i="12" s="1"/>
  <c r="W13" i="12"/>
  <c r="BM13" i="12" s="1"/>
  <c r="AB13" i="12"/>
  <c r="BR13" i="12" s="1"/>
  <c r="N7" i="12"/>
  <c r="BD7" i="12" s="1"/>
  <c r="V7" i="12"/>
  <c r="BL7" i="12" s="1"/>
  <c r="Z7" i="12"/>
  <c r="BP7" i="12" s="1"/>
  <c r="AD7" i="12"/>
  <c r="BT7" i="12" s="1"/>
  <c r="N8" i="12"/>
  <c r="BD8" i="12" s="1"/>
  <c r="V8" i="12"/>
  <c r="BL8" i="12" s="1"/>
  <c r="Z8" i="12"/>
  <c r="BP8" i="12" s="1"/>
  <c r="AD8" i="12"/>
  <c r="BT8" i="12" s="1"/>
  <c r="N9" i="12"/>
  <c r="BD9" i="12" s="1"/>
  <c r="V9" i="12"/>
  <c r="BL9" i="12" s="1"/>
  <c r="Z9" i="12"/>
  <c r="BP9" i="12" s="1"/>
  <c r="AD9" i="12"/>
  <c r="BT9" i="12" s="1"/>
  <c r="N10" i="12"/>
  <c r="BD10" i="12" s="1"/>
  <c r="R10" i="12"/>
  <c r="BH10" i="12" s="1"/>
  <c r="V10" i="12"/>
  <c r="BL10" i="12" s="1"/>
  <c r="Z10" i="12"/>
  <c r="BP10" i="12" s="1"/>
  <c r="AD10" i="12"/>
  <c r="BT10" i="12" s="1"/>
  <c r="N11" i="12"/>
  <c r="BD11" i="12" s="1"/>
  <c r="R11" i="12"/>
  <c r="BH11" i="12" s="1"/>
  <c r="V11" i="12"/>
  <c r="BL11" i="12" s="1"/>
  <c r="Z11" i="12"/>
  <c r="BP11" i="12" s="1"/>
  <c r="AD11" i="12"/>
  <c r="BT11" i="12" s="1"/>
  <c r="N12" i="12"/>
  <c r="BD12" i="12" s="1"/>
  <c r="V12" i="12"/>
  <c r="BL12" i="12" s="1"/>
  <c r="Z12" i="12"/>
  <c r="BP12" i="12" s="1"/>
  <c r="AD12" i="12"/>
  <c r="BT12" i="12" s="1"/>
  <c r="N13" i="12"/>
  <c r="BD13" i="12" s="1"/>
  <c r="V13" i="12"/>
  <c r="BL13" i="12" s="1"/>
  <c r="Z13" i="12"/>
  <c r="BP13" i="12" s="1"/>
  <c r="AD13" i="12"/>
  <c r="BT13" i="12" s="1"/>
  <c r="N14" i="12"/>
  <c r="BD14" i="12" s="1"/>
  <c r="R14" i="12"/>
  <c r="BH14" i="12" s="1"/>
  <c r="V14" i="12"/>
  <c r="BL14" i="12" s="1"/>
  <c r="Z14" i="12"/>
  <c r="BP14" i="12" s="1"/>
  <c r="AD14" i="12"/>
  <c r="BT14" i="12" s="1"/>
  <c r="N21" i="12"/>
  <c r="BD21" i="12" s="1"/>
  <c r="R21" i="12"/>
  <c r="BH21" i="12" s="1"/>
  <c r="V21" i="12"/>
  <c r="BL21" i="12" s="1"/>
  <c r="Z21" i="12"/>
  <c r="BP21" i="12" s="1"/>
  <c r="AD21" i="12"/>
  <c r="BT21" i="12" s="1"/>
  <c r="N22" i="12"/>
  <c r="BD22" i="12" s="1"/>
  <c r="V22" i="12"/>
  <c r="BL22" i="12" s="1"/>
  <c r="Z22" i="12"/>
  <c r="BP22" i="12" s="1"/>
  <c r="AD22" i="12"/>
  <c r="BT22" i="12" s="1"/>
  <c r="N23" i="12"/>
  <c r="BD23" i="12" s="1"/>
  <c r="R23" i="12"/>
  <c r="BH23" i="12" s="1"/>
  <c r="V23" i="12"/>
  <c r="BL23" i="12" s="1"/>
  <c r="Z23" i="12"/>
  <c r="BP23" i="12" s="1"/>
  <c r="AD23" i="12"/>
  <c r="BT23" i="12" s="1"/>
  <c r="N24" i="12"/>
  <c r="BD24" i="12" s="1"/>
  <c r="V24" i="12"/>
  <c r="BL24" i="12" s="1"/>
  <c r="Z24" i="12"/>
  <c r="BP24" i="12" s="1"/>
  <c r="AD24" i="12"/>
  <c r="BT24" i="12" s="1"/>
  <c r="N25" i="12"/>
  <c r="BD25" i="12" s="1"/>
  <c r="R25" i="12"/>
  <c r="BH25" i="12" s="1"/>
  <c r="V25" i="12"/>
  <c r="BL25" i="12" s="1"/>
  <c r="Z25" i="12"/>
  <c r="BP25" i="12" s="1"/>
  <c r="AD25" i="12"/>
  <c r="BT25" i="12" s="1"/>
  <c r="N26" i="12"/>
  <c r="BD26" i="12" s="1"/>
  <c r="R26" i="12"/>
  <c r="BH26" i="12" s="1"/>
  <c r="V26" i="12"/>
  <c r="BL26" i="12" s="1"/>
  <c r="Z26" i="12"/>
  <c r="BP26" i="12" s="1"/>
  <c r="AD26" i="12"/>
  <c r="BT26" i="12" s="1"/>
  <c r="N27" i="12"/>
  <c r="BD27" i="12" s="1"/>
  <c r="R27" i="12"/>
  <c r="BH27" i="12" s="1"/>
  <c r="V27" i="12"/>
  <c r="BL27" i="12" s="1"/>
  <c r="Z27" i="12"/>
  <c r="BP27" i="12" s="1"/>
  <c r="AD27" i="12"/>
  <c r="BT27" i="12" s="1"/>
  <c r="N28" i="12"/>
  <c r="BD28" i="12" s="1"/>
  <c r="V28" i="12"/>
  <c r="BL28" i="12" s="1"/>
  <c r="Z28" i="12"/>
  <c r="BP28" i="12" s="1"/>
  <c r="AD28" i="12"/>
  <c r="BT28" i="12" s="1"/>
  <c r="BJ10" i="12"/>
  <c r="BJ11" i="12"/>
  <c r="BJ12" i="12"/>
  <c r="BJ14" i="12"/>
  <c r="BJ21" i="12"/>
  <c r="BJ24" i="12"/>
  <c r="BJ25" i="12"/>
  <c r="O7" i="10"/>
  <c r="BE7" i="10" s="1"/>
  <c r="S7" i="10"/>
  <c r="BI7" i="10" s="1"/>
  <c r="W7" i="10"/>
  <c r="BM7" i="10" s="1"/>
  <c r="AA7" i="10"/>
  <c r="BQ7" i="10" s="1"/>
  <c r="AE7" i="10"/>
  <c r="BU7" i="10" s="1"/>
  <c r="O8" i="10"/>
  <c r="BE8" i="10" s="1"/>
  <c r="S8" i="10"/>
  <c r="BI8" i="10" s="1"/>
  <c r="W8" i="10"/>
  <c r="BM8" i="10" s="1"/>
  <c r="AA8" i="10"/>
  <c r="BQ8" i="10" s="1"/>
  <c r="AE8" i="10"/>
  <c r="BU8" i="10" s="1"/>
  <c r="O9" i="10"/>
  <c r="BE9" i="10" s="1"/>
  <c r="S9" i="10"/>
  <c r="BI9" i="10" s="1"/>
  <c r="W9" i="10"/>
  <c r="BM9" i="10" s="1"/>
  <c r="AA9" i="10"/>
  <c r="BQ9" i="10" s="1"/>
  <c r="AE9" i="10"/>
  <c r="BU9" i="10" s="1"/>
  <c r="O10" i="10"/>
  <c r="BE10" i="10" s="1"/>
  <c r="S10" i="10"/>
  <c r="BI10" i="10" s="1"/>
  <c r="W10" i="10"/>
  <c r="BM10" i="10" s="1"/>
  <c r="AA10" i="10"/>
  <c r="BQ10" i="10" s="1"/>
  <c r="AE10" i="10"/>
  <c r="BU10" i="10" s="1"/>
  <c r="O11" i="10"/>
  <c r="BE11" i="10" s="1"/>
  <c r="S11" i="10"/>
  <c r="BI11" i="10" s="1"/>
  <c r="W11" i="10"/>
  <c r="BM11" i="10" s="1"/>
  <c r="AA11" i="10"/>
  <c r="BQ11" i="10" s="1"/>
  <c r="AE11" i="10"/>
  <c r="BU11" i="10" s="1"/>
  <c r="O12" i="10"/>
  <c r="BE12" i="10" s="1"/>
  <c r="S12" i="10"/>
  <c r="BI12" i="10" s="1"/>
  <c r="W12" i="10"/>
  <c r="BM12" i="10" s="1"/>
  <c r="AA12" i="10"/>
  <c r="BQ12" i="10" s="1"/>
  <c r="AE12" i="10"/>
  <c r="BU12" i="10" s="1"/>
  <c r="O13" i="10"/>
  <c r="BE13" i="10" s="1"/>
  <c r="S13" i="10"/>
  <c r="BI13" i="10" s="1"/>
  <c r="W13" i="10"/>
  <c r="BM13" i="10" s="1"/>
  <c r="AA13" i="10"/>
  <c r="BQ13" i="10" s="1"/>
  <c r="AE13" i="10"/>
  <c r="BU13" i="10" s="1"/>
  <c r="O14" i="10"/>
  <c r="BE14" i="10" s="1"/>
  <c r="W14" i="10"/>
  <c r="BM14" i="10" s="1"/>
  <c r="AA14" i="10"/>
  <c r="BQ14" i="10" s="1"/>
  <c r="AE14" i="10"/>
  <c r="BU14" i="10" s="1"/>
  <c r="O21" i="10"/>
  <c r="BE21" i="10" s="1"/>
  <c r="S21" i="10"/>
  <c r="BI21" i="10" s="1"/>
  <c r="W21" i="10"/>
  <c r="BM21" i="10" s="1"/>
  <c r="AA21" i="10"/>
  <c r="BQ21" i="10" s="1"/>
  <c r="AE21" i="10"/>
  <c r="BU21" i="10" s="1"/>
  <c r="O22" i="10"/>
  <c r="BE22" i="10" s="1"/>
  <c r="W22" i="10"/>
  <c r="BM22" i="10" s="1"/>
  <c r="AA22" i="10"/>
  <c r="BQ22" i="10" s="1"/>
  <c r="AE22" i="10"/>
  <c r="BU22" i="10" s="1"/>
  <c r="O23" i="10"/>
  <c r="BE23" i="10" s="1"/>
  <c r="S23" i="10"/>
  <c r="BI23" i="10" s="1"/>
  <c r="W23" i="10"/>
  <c r="BM23" i="10" s="1"/>
  <c r="AA23" i="10"/>
  <c r="BQ23" i="10" s="1"/>
  <c r="AE23" i="10"/>
  <c r="BU23" i="10" s="1"/>
  <c r="O24" i="10"/>
  <c r="BE24" i="10" s="1"/>
  <c r="W24" i="10"/>
  <c r="BM24" i="10" s="1"/>
  <c r="AA24" i="10"/>
  <c r="BQ24" i="10" s="1"/>
  <c r="AE24" i="10"/>
  <c r="BU24" i="10" s="1"/>
  <c r="O25" i="10"/>
  <c r="BE25" i="10" s="1"/>
  <c r="S25" i="10"/>
  <c r="BI25" i="10" s="1"/>
  <c r="W25" i="10"/>
  <c r="BM25" i="10" s="1"/>
  <c r="AA25" i="10"/>
  <c r="BQ25" i="10" s="1"/>
  <c r="AE25" i="10"/>
  <c r="BU25" i="10" s="1"/>
  <c r="O26" i="10"/>
  <c r="BE26" i="10" s="1"/>
  <c r="W26" i="10"/>
  <c r="BM26" i="10" s="1"/>
  <c r="AA26" i="10"/>
  <c r="BQ26" i="10" s="1"/>
  <c r="AE26" i="10"/>
  <c r="BU26" i="10" s="1"/>
  <c r="O27" i="10"/>
  <c r="BE27" i="10" s="1"/>
  <c r="S27" i="10"/>
  <c r="BI27" i="10" s="1"/>
  <c r="W27" i="10"/>
  <c r="BM27" i="10" s="1"/>
  <c r="AA27" i="10"/>
  <c r="BQ27" i="10" s="1"/>
  <c r="AE27" i="10"/>
  <c r="BU27" i="10" s="1"/>
  <c r="O28" i="10"/>
  <c r="BE28" i="10" s="1"/>
  <c r="W28" i="10"/>
  <c r="BM28" i="10" s="1"/>
  <c r="AA28" i="10"/>
  <c r="BQ28" i="10" s="1"/>
  <c r="AE28" i="10"/>
  <c r="BU28" i="10" s="1"/>
  <c r="BK7" i="10"/>
  <c r="BK8" i="10"/>
  <c r="BK9" i="10"/>
  <c r="BK10" i="10"/>
  <c r="BK11" i="10"/>
  <c r="BK12" i="10"/>
  <c r="BK13" i="10"/>
  <c r="BK21" i="10"/>
  <c r="BK23" i="10"/>
  <c r="BK25" i="10"/>
  <c r="BK26" i="10"/>
  <c r="BK27" i="10"/>
  <c r="BK28" i="10"/>
  <c r="N7" i="9"/>
  <c r="BD7" i="9" s="1"/>
  <c r="V7" i="9"/>
  <c r="BL7" i="9" s="1"/>
  <c r="Z7" i="9"/>
  <c r="BP7" i="9" s="1"/>
  <c r="AD7" i="9"/>
  <c r="BT7" i="9" s="1"/>
  <c r="N8" i="9"/>
  <c r="BD8" i="9" s="1"/>
  <c r="V8" i="9"/>
  <c r="BL8" i="9" s="1"/>
  <c r="Z8" i="9"/>
  <c r="BP8" i="9" s="1"/>
  <c r="AD8" i="9"/>
  <c r="BT8" i="9" s="1"/>
  <c r="N9" i="9"/>
  <c r="BD9" i="9" s="1"/>
  <c r="V9" i="9"/>
  <c r="BL9" i="9" s="1"/>
  <c r="Z9" i="9"/>
  <c r="BP9" i="9" s="1"/>
  <c r="AD9" i="9"/>
  <c r="BT9" i="9" s="1"/>
  <c r="N10" i="9"/>
  <c r="BD10" i="9" s="1"/>
  <c r="V10" i="9"/>
  <c r="BL10" i="9" s="1"/>
  <c r="Z10" i="9"/>
  <c r="BP10" i="9" s="1"/>
  <c r="AD10" i="9"/>
  <c r="BT10" i="9" s="1"/>
  <c r="N11" i="9"/>
  <c r="BD11" i="9" s="1"/>
  <c r="V11" i="9"/>
  <c r="BL11" i="9" s="1"/>
  <c r="Z11" i="9"/>
  <c r="BP11" i="9" s="1"/>
  <c r="AD11" i="9"/>
  <c r="BT11" i="9" s="1"/>
  <c r="N12" i="9"/>
  <c r="BD12" i="9" s="1"/>
  <c r="V12" i="9"/>
  <c r="BL12" i="9" s="1"/>
  <c r="Z12" i="9"/>
  <c r="BP12" i="9" s="1"/>
  <c r="AD12" i="9"/>
  <c r="BT12" i="9" s="1"/>
  <c r="N13" i="9"/>
  <c r="BD13" i="9" s="1"/>
  <c r="V13" i="9"/>
  <c r="BL13" i="9" s="1"/>
  <c r="Z13" i="9"/>
  <c r="BP13" i="9" s="1"/>
  <c r="AD13" i="9"/>
  <c r="BT13" i="9" s="1"/>
  <c r="N14" i="9"/>
  <c r="BD14" i="9" s="1"/>
  <c r="V14" i="9"/>
  <c r="BL14" i="9" s="1"/>
  <c r="Z14" i="9"/>
  <c r="BP14" i="9" s="1"/>
  <c r="AD14" i="9"/>
  <c r="BT14" i="9" s="1"/>
  <c r="N21" i="9"/>
  <c r="BD21" i="9" s="1"/>
  <c r="V21" i="9"/>
  <c r="BL21" i="9" s="1"/>
  <c r="Z21" i="9"/>
  <c r="BP21" i="9" s="1"/>
  <c r="AD21" i="9"/>
  <c r="BT21" i="9" s="1"/>
  <c r="N22" i="9"/>
  <c r="BD22" i="9" s="1"/>
  <c r="V22" i="9"/>
  <c r="BL22" i="9" s="1"/>
  <c r="Z22" i="9"/>
  <c r="BP22" i="9" s="1"/>
  <c r="AD22" i="9"/>
  <c r="BT22" i="9" s="1"/>
  <c r="N23" i="9"/>
  <c r="BD23" i="9" s="1"/>
  <c r="V23" i="9"/>
  <c r="BL23" i="9" s="1"/>
  <c r="Z23" i="9"/>
  <c r="BP23" i="9" s="1"/>
  <c r="AD23" i="9"/>
  <c r="BT23" i="9" s="1"/>
  <c r="N24" i="9"/>
  <c r="BD24" i="9" s="1"/>
  <c r="V24" i="9"/>
  <c r="BL24" i="9" s="1"/>
  <c r="Z24" i="9"/>
  <c r="BP24" i="9" s="1"/>
  <c r="AD24" i="9"/>
  <c r="BT24" i="9" s="1"/>
  <c r="N25" i="9"/>
  <c r="BD25" i="9" s="1"/>
  <c r="V25" i="9"/>
  <c r="BL25" i="9" s="1"/>
  <c r="Z25" i="9"/>
  <c r="BP25" i="9" s="1"/>
  <c r="AD25" i="9"/>
  <c r="BT25" i="9" s="1"/>
  <c r="N26" i="9"/>
  <c r="BD26" i="9" s="1"/>
  <c r="V26" i="9"/>
  <c r="BL26" i="9" s="1"/>
  <c r="Z26" i="9"/>
  <c r="BP26" i="9" s="1"/>
  <c r="AD26" i="9"/>
  <c r="BT26" i="9" s="1"/>
  <c r="M7" i="9"/>
  <c r="BC7" i="9" s="1"/>
  <c r="Y7" i="9"/>
  <c r="BO7" i="9" s="1"/>
  <c r="AC7" i="9"/>
  <c r="BS7" i="9" s="1"/>
  <c r="M8" i="9"/>
  <c r="BC8" i="9" s="1"/>
  <c r="Y8" i="9"/>
  <c r="BO8" i="9" s="1"/>
  <c r="AC8" i="9"/>
  <c r="BS8" i="9" s="1"/>
  <c r="M9" i="9"/>
  <c r="BC9" i="9" s="1"/>
  <c r="Y9" i="9"/>
  <c r="BO9" i="9" s="1"/>
  <c r="AC9" i="9"/>
  <c r="BS9" i="9" s="1"/>
  <c r="M10" i="9"/>
  <c r="BC10" i="9" s="1"/>
  <c r="Y10" i="9"/>
  <c r="BO10" i="9" s="1"/>
  <c r="AC10" i="9"/>
  <c r="BS10" i="9" s="1"/>
  <c r="M11" i="9"/>
  <c r="BC11" i="9" s="1"/>
  <c r="Y11" i="9"/>
  <c r="BO11" i="9" s="1"/>
  <c r="AC11" i="9"/>
  <c r="BS11" i="9" s="1"/>
  <c r="M12" i="9"/>
  <c r="BC12" i="9" s="1"/>
  <c r="Y12" i="9"/>
  <c r="BO12" i="9" s="1"/>
  <c r="AC12" i="9"/>
  <c r="BS12" i="9" s="1"/>
  <c r="M13" i="9"/>
  <c r="BC13" i="9" s="1"/>
  <c r="Y13" i="9"/>
  <c r="BO13" i="9" s="1"/>
  <c r="AC13" i="9"/>
  <c r="BS13" i="9" s="1"/>
  <c r="M14" i="9"/>
  <c r="BC14" i="9" s="1"/>
  <c r="Y14" i="9"/>
  <c r="BO14" i="9" s="1"/>
  <c r="AC14" i="9"/>
  <c r="BS14" i="9" s="1"/>
  <c r="M21" i="9"/>
  <c r="BC21" i="9" s="1"/>
  <c r="Y21" i="9"/>
  <c r="BO21" i="9" s="1"/>
  <c r="AC21" i="9"/>
  <c r="BS21" i="9" s="1"/>
  <c r="M22" i="9"/>
  <c r="BC22" i="9" s="1"/>
  <c r="Y22" i="9"/>
  <c r="BO22" i="9" s="1"/>
  <c r="AC22" i="9"/>
  <c r="BS22" i="9" s="1"/>
  <c r="M23" i="9"/>
  <c r="BC23" i="9" s="1"/>
  <c r="Y23" i="9"/>
  <c r="BO23" i="9" s="1"/>
  <c r="AC23" i="9"/>
  <c r="BS23" i="9" s="1"/>
  <c r="M24" i="9"/>
  <c r="BC24" i="9" s="1"/>
  <c r="Y24" i="9"/>
  <c r="BO24" i="9" s="1"/>
  <c r="AC24" i="9"/>
  <c r="BS24" i="9" s="1"/>
  <c r="M25" i="9"/>
  <c r="BC25" i="9" s="1"/>
  <c r="Y25" i="9"/>
  <c r="BO25" i="9" s="1"/>
  <c r="AC25" i="9"/>
  <c r="BS25" i="9" s="1"/>
  <c r="M26" i="9"/>
  <c r="BC26" i="9" s="1"/>
  <c r="Y26" i="9"/>
  <c r="BO26" i="9" s="1"/>
  <c r="AC26" i="9"/>
  <c r="BS26" i="9" s="1"/>
  <c r="M27" i="9"/>
  <c r="BC27" i="9" s="1"/>
  <c r="Y27" i="9"/>
  <c r="BO27" i="9" s="1"/>
  <c r="AC27" i="9"/>
  <c r="BS27" i="9" s="1"/>
  <c r="M28" i="9"/>
  <c r="BC28" i="9" s="1"/>
  <c r="Y28" i="9"/>
  <c r="BO28" i="9" s="1"/>
  <c r="AC28" i="9"/>
  <c r="BS28" i="9" s="1"/>
  <c r="L7" i="9"/>
  <c r="BB7" i="9" s="1"/>
  <c r="P7" i="9"/>
  <c r="BF7" i="9" s="1"/>
  <c r="T7" i="9"/>
  <c r="X7" i="9"/>
  <c r="BN7" i="9" s="1"/>
  <c r="AB7" i="9"/>
  <c r="BR7" i="9" s="1"/>
  <c r="L8" i="9"/>
  <c r="BB8" i="9" s="1"/>
  <c r="P8" i="9"/>
  <c r="BF8" i="9" s="1"/>
  <c r="T8" i="9"/>
  <c r="X8" i="9"/>
  <c r="BN8" i="9" s="1"/>
  <c r="AB8" i="9"/>
  <c r="BR8" i="9" s="1"/>
  <c r="L9" i="9"/>
  <c r="BB9" i="9" s="1"/>
  <c r="P9" i="9"/>
  <c r="BF9" i="9" s="1"/>
  <c r="T9" i="9"/>
  <c r="X9" i="9"/>
  <c r="BN9" i="9" s="1"/>
  <c r="AB9" i="9"/>
  <c r="BR9" i="9" s="1"/>
  <c r="L10" i="9"/>
  <c r="BB10" i="9" s="1"/>
  <c r="P10" i="9"/>
  <c r="BF10" i="9" s="1"/>
  <c r="T10" i="9"/>
  <c r="X10" i="9"/>
  <c r="BN10" i="9" s="1"/>
  <c r="AB10" i="9"/>
  <c r="BR10" i="9" s="1"/>
  <c r="L11" i="9"/>
  <c r="BB11" i="9" s="1"/>
  <c r="P11" i="9"/>
  <c r="BF11" i="9" s="1"/>
  <c r="T11" i="9"/>
  <c r="X11" i="9"/>
  <c r="BN11" i="9" s="1"/>
  <c r="AB11" i="9"/>
  <c r="BR11" i="9" s="1"/>
  <c r="L12" i="9"/>
  <c r="BB12" i="9" s="1"/>
  <c r="P12" i="9"/>
  <c r="BF12" i="9" s="1"/>
  <c r="T12" i="9"/>
  <c r="X12" i="9"/>
  <c r="BN12" i="9" s="1"/>
  <c r="AB12" i="9"/>
  <c r="BR12" i="9" s="1"/>
  <c r="L13" i="9"/>
  <c r="BB13" i="9" s="1"/>
  <c r="P13" i="9"/>
  <c r="BF13" i="9" s="1"/>
  <c r="T13" i="9"/>
  <c r="X13" i="9"/>
  <c r="BN13" i="9" s="1"/>
  <c r="AB13" i="9"/>
  <c r="BR13" i="9" s="1"/>
  <c r="L14" i="9"/>
  <c r="BB14" i="9" s="1"/>
  <c r="P14" i="9"/>
  <c r="BF14" i="9" s="1"/>
  <c r="X14" i="9"/>
  <c r="BN14" i="9" s="1"/>
  <c r="AB14" i="9"/>
  <c r="BR14" i="9" s="1"/>
  <c r="L21" i="9"/>
  <c r="BB21" i="9" s="1"/>
  <c r="P21" i="9"/>
  <c r="BF21" i="9" s="1"/>
  <c r="T21" i="9"/>
  <c r="X21" i="9"/>
  <c r="BN21" i="9" s="1"/>
  <c r="AB21" i="9"/>
  <c r="BR21" i="9" s="1"/>
  <c r="L22" i="9"/>
  <c r="BB22" i="9" s="1"/>
  <c r="P22" i="9"/>
  <c r="BF22" i="9" s="1"/>
  <c r="X22" i="9"/>
  <c r="BN22" i="9" s="1"/>
  <c r="AB22" i="9"/>
  <c r="BR22" i="9" s="1"/>
  <c r="L23" i="9"/>
  <c r="BB23" i="9" s="1"/>
  <c r="P23" i="9"/>
  <c r="BF23" i="9" s="1"/>
  <c r="X23" i="9"/>
  <c r="BN23" i="9" s="1"/>
  <c r="AB23" i="9"/>
  <c r="BR23" i="9" s="1"/>
  <c r="L24" i="9"/>
  <c r="BB24" i="9" s="1"/>
  <c r="P24" i="9"/>
  <c r="BF24" i="9" s="1"/>
  <c r="X24" i="9"/>
  <c r="BN24" i="9" s="1"/>
  <c r="AB24" i="9"/>
  <c r="BR24" i="9" s="1"/>
  <c r="L25" i="9"/>
  <c r="BB25" i="9" s="1"/>
  <c r="P25" i="9"/>
  <c r="BF25" i="9" s="1"/>
  <c r="X25" i="9"/>
  <c r="BN25" i="9" s="1"/>
  <c r="AB25" i="9"/>
  <c r="BR25" i="9" s="1"/>
  <c r="L26" i="9"/>
  <c r="BB26" i="9" s="1"/>
  <c r="P26" i="9"/>
  <c r="BF26" i="9" s="1"/>
  <c r="X26" i="9"/>
  <c r="BN26" i="9" s="1"/>
  <c r="AB26" i="9"/>
  <c r="BR26" i="9" s="1"/>
  <c r="L27" i="9"/>
  <c r="BB27" i="9" s="1"/>
  <c r="P27" i="9"/>
  <c r="BF27" i="9" s="1"/>
  <c r="X27" i="9"/>
  <c r="BN27" i="9" s="1"/>
  <c r="AB27" i="9"/>
  <c r="BR27" i="9" s="1"/>
  <c r="L28" i="9"/>
  <c r="BB28" i="9" s="1"/>
  <c r="P28" i="9"/>
  <c r="BF28" i="9" s="1"/>
  <c r="X28" i="9"/>
  <c r="BN28" i="9" s="1"/>
  <c r="AB28" i="9"/>
  <c r="BR28" i="9" s="1"/>
  <c r="N7" i="8"/>
  <c r="BD7" i="8" s="1"/>
  <c r="Z7" i="8"/>
  <c r="BP7" i="8" s="1"/>
  <c r="AD7" i="8"/>
  <c r="BT7" i="8" s="1"/>
  <c r="N8" i="8"/>
  <c r="BD8" i="8" s="1"/>
  <c r="Z8" i="8"/>
  <c r="BP8" i="8" s="1"/>
  <c r="AD8" i="8"/>
  <c r="BT8" i="8" s="1"/>
  <c r="N9" i="8"/>
  <c r="BD9" i="8" s="1"/>
  <c r="Z9" i="8"/>
  <c r="BP9" i="8" s="1"/>
  <c r="AD9" i="8"/>
  <c r="BT9" i="8" s="1"/>
  <c r="N10" i="8"/>
  <c r="BD10" i="8" s="1"/>
  <c r="Z10" i="8"/>
  <c r="BP10" i="8" s="1"/>
  <c r="AD10" i="8"/>
  <c r="BT10" i="8" s="1"/>
  <c r="N11" i="8"/>
  <c r="BD11" i="8" s="1"/>
  <c r="Z11" i="8"/>
  <c r="BP11" i="8" s="1"/>
  <c r="AD11" i="8"/>
  <c r="BT11" i="8" s="1"/>
  <c r="N12" i="8"/>
  <c r="BD12" i="8" s="1"/>
  <c r="N13" i="8"/>
  <c r="BD13" i="8" s="1"/>
  <c r="N14" i="8"/>
  <c r="BD14" i="8" s="1"/>
  <c r="N21" i="8"/>
  <c r="BD21" i="8" s="1"/>
  <c r="Z21" i="8"/>
  <c r="BP21" i="8" s="1"/>
  <c r="AD21" i="8"/>
  <c r="BT21" i="8" s="1"/>
  <c r="N22" i="8"/>
  <c r="BD22" i="8" s="1"/>
  <c r="Z22" i="8"/>
  <c r="BP22" i="8" s="1"/>
  <c r="AD22" i="8"/>
  <c r="BT22" i="8" s="1"/>
  <c r="N23" i="8"/>
  <c r="BD23" i="8" s="1"/>
  <c r="Z23" i="8"/>
  <c r="BP23" i="8" s="1"/>
  <c r="AD23" i="8"/>
  <c r="BT23" i="8" s="1"/>
  <c r="N24" i="8"/>
  <c r="BD24" i="8" s="1"/>
  <c r="Z24" i="8"/>
  <c r="BP24" i="8" s="1"/>
  <c r="AD24" i="8"/>
  <c r="BT24" i="8" s="1"/>
  <c r="N25" i="8"/>
  <c r="BD25" i="8" s="1"/>
  <c r="N26" i="8"/>
  <c r="BD26" i="8" s="1"/>
  <c r="N27" i="8"/>
  <c r="BD27" i="8" s="1"/>
  <c r="N28" i="8"/>
  <c r="BD28" i="8" s="1"/>
  <c r="M7" i="8"/>
  <c r="BC7" i="8" s="1"/>
  <c r="Q7" i="8"/>
  <c r="BG7" i="8" s="1"/>
  <c r="U7" i="8"/>
  <c r="Y7" i="8"/>
  <c r="BO7" i="8" s="1"/>
  <c r="AC7" i="8"/>
  <c r="BS7" i="8" s="1"/>
  <c r="M8" i="8"/>
  <c r="BC8" i="8" s="1"/>
  <c r="Q8" i="8"/>
  <c r="BG8" i="8" s="1"/>
  <c r="U8" i="8"/>
  <c r="Y8" i="8"/>
  <c r="BO8" i="8" s="1"/>
  <c r="AC8" i="8"/>
  <c r="BS8" i="8" s="1"/>
  <c r="M9" i="8"/>
  <c r="BC9" i="8" s="1"/>
  <c r="Q9" i="8"/>
  <c r="BG9" i="8" s="1"/>
  <c r="U9" i="8"/>
  <c r="Y9" i="8"/>
  <c r="BO9" i="8" s="1"/>
  <c r="AC9" i="8"/>
  <c r="BS9" i="8" s="1"/>
  <c r="M10" i="8"/>
  <c r="BC10" i="8" s="1"/>
  <c r="Q10" i="8"/>
  <c r="BG10" i="8" s="1"/>
  <c r="U10" i="8"/>
  <c r="Y10" i="8"/>
  <c r="BO10" i="8" s="1"/>
  <c r="AC10" i="8"/>
  <c r="BS10" i="8" s="1"/>
  <c r="M11" i="8"/>
  <c r="BC11" i="8" s="1"/>
  <c r="Q11" i="8"/>
  <c r="BG11" i="8" s="1"/>
  <c r="Y11" i="8"/>
  <c r="BO11" i="8" s="1"/>
  <c r="AC11" i="8"/>
  <c r="BS11" i="8" s="1"/>
  <c r="M12" i="8"/>
  <c r="BC12" i="8" s="1"/>
  <c r="Q12" i="8"/>
  <c r="BG12" i="8" s="1"/>
  <c r="M13" i="8"/>
  <c r="BC13" i="8" s="1"/>
  <c r="Q13" i="8"/>
  <c r="BG13" i="8" s="1"/>
  <c r="M14" i="8"/>
  <c r="BC14" i="8" s="1"/>
  <c r="Q14" i="8"/>
  <c r="BG14" i="8" s="1"/>
  <c r="M21" i="8"/>
  <c r="BC21" i="8" s="1"/>
  <c r="Q21" i="8"/>
  <c r="BG21" i="8" s="1"/>
  <c r="Y21" i="8"/>
  <c r="BO21" i="8" s="1"/>
  <c r="AC21" i="8"/>
  <c r="BS21" i="8" s="1"/>
  <c r="M22" i="8"/>
  <c r="BC22" i="8" s="1"/>
  <c r="Q22" i="8"/>
  <c r="BG22" i="8" s="1"/>
  <c r="Y22" i="8"/>
  <c r="BO22" i="8" s="1"/>
  <c r="AC22" i="8"/>
  <c r="BS22" i="8" s="1"/>
  <c r="M23" i="8"/>
  <c r="BC23" i="8" s="1"/>
  <c r="Q23" i="8"/>
  <c r="BG23" i="8" s="1"/>
  <c r="Y23" i="8"/>
  <c r="BO23" i="8" s="1"/>
  <c r="AC23" i="8"/>
  <c r="BS23" i="8" s="1"/>
  <c r="M24" i="8"/>
  <c r="BC24" i="8" s="1"/>
  <c r="Q24" i="8"/>
  <c r="BG24" i="8" s="1"/>
  <c r="Y24" i="8"/>
  <c r="BO24" i="8" s="1"/>
  <c r="AC24" i="8"/>
  <c r="BS24" i="8" s="1"/>
  <c r="M25" i="8"/>
  <c r="BC25" i="8" s="1"/>
  <c r="Q25" i="8"/>
  <c r="BG25" i="8" s="1"/>
  <c r="M26" i="8"/>
  <c r="BC26" i="8" s="1"/>
  <c r="Q26" i="8"/>
  <c r="BG26" i="8" s="1"/>
  <c r="M27" i="8"/>
  <c r="BC27" i="8" s="1"/>
  <c r="Q27" i="8"/>
  <c r="BG27" i="8" s="1"/>
  <c r="M28" i="8"/>
  <c r="BC28" i="8" s="1"/>
  <c r="Q28" i="8"/>
  <c r="BG28" i="8" s="1"/>
  <c r="BJ9" i="7"/>
  <c r="U9" i="7"/>
  <c r="BK9" i="7" s="1"/>
  <c r="Q9" i="7"/>
  <c r="BG9" i="7" s="1"/>
  <c r="S9" i="7"/>
  <c r="BI9" i="7" s="1"/>
  <c r="R9" i="7"/>
  <c r="BH9" i="7" s="1"/>
  <c r="BJ7" i="7"/>
  <c r="U7" i="7"/>
  <c r="BK7" i="7" s="1"/>
  <c r="Q7" i="7"/>
  <c r="BG7" i="7" s="1"/>
  <c r="S7" i="7"/>
  <c r="BI7" i="7" s="1"/>
  <c r="R7" i="7"/>
  <c r="BH7" i="7" s="1"/>
  <c r="BJ12" i="7"/>
  <c r="U12" i="7"/>
  <c r="BK12" i="7" s="1"/>
  <c r="Q12" i="7"/>
  <c r="BG12" i="7" s="1"/>
  <c r="S12" i="7"/>
  <c r="BI12" i="7" s="1"/>
  <c r="R12" i="7"/>
  <c r="BH12" i="7" s="1"/>
  <c r="BJ21" i="7"/>
  <c r="U21" i="7"/>
  <c r="BK21" i="7" s="1"/>
  <c r="Q21" i="7"/>
  <c r="BG21" i="7" s="1"/>
  <c r="S21" i="7"/>
  <c r="BI21" i="7" s="1"/>
  <c r="R21" i="7"/>
  <c r="BH21" i="7" s="1"/>
  <c r="BJ10" i="7"/>
  <c r="U10" i="7"/>
  <c r="BK10" i="7" s="1"/>
  <c r="Q10" i="7"/>
  <c r="BG10" i="7" s="1"/>
  <c r="S10" i="7"/>
  <c r="BI10" i="7" s="1"/>
  <c r="R10" i="7"/>
  <c r="BH10" i="7" s="1"/>
  <c r="BJ13" i="7"/>
  <c r="U13" i="7"/>
  <c r="BK13" i="7" s="1"/>
  <c r="Q13" i="7"/>
  <c r="BG13" i="7" s="1"/>
  <c r="R13" i="7"/>
  <c r="BH13" i="7" s="1"/>
  <c r="S13" i="7"/>
  <c r="BI13" i="7" s="1"/>
  <c r="BJ8" i="7"/>
  <c r="U8" i="7"/>
  <c r="BK8" i="7" s="1"/>
  <c r="Q8" i="7"/>
  <c r="BG8" i="7" s="1"/>
  <c r="S8" i="7"/>
  <c r="BI8" i="7" s="1"/>
  <c r="R8" i="7"/>
  <c r="BH8" i="7" s="1"/>
  <c r="BJ11" i="7"/>
  <c r="U11" i="7"/>
  <c r="BK11" i="7" s="1"/>
  <c r="Q11" i="7"/>
  <c r="BG11" i="7" s="1"/>
  <c r="S11" i="7"/>
  <c r="BI11" i="7" s="1"/>
  <c r="R11" i="7"/>
  <c r="BH11" i="7" s="1"/>
  <c r="BJ14" i="7"/>
  <c r="U14" i="7"/>
  <c r="BK14" i="7" s="1"/>
  <c r="Q14" i="7"/>
  <c r="BG14" i="7" s="1"/>
  <c r="S14" i="7"/>
  <c r="BI14" i="7" s="1"/>
  <c r="R14" i="7"/>
  <c r="BH14" i="7" s="1"/>
  <c r="BE7" i="7"/>
  <c r="BQ7" i="7"/>
  <c r="K8" i="7"/>
  <c r="BA8" i="7" s="1"/>
  <c r="BE8" i="7"/>
  <c r="BQ8" i="7"/>
  <c r="BE9" i="7"/>
  <c r="BQ9" i="7"/>
  <c r="K10" i="7"/>
  <c r="BA10" i="7" s="1"/>
  <c r="BE10" i="7"/>
  <c r="BQ10" i="7"/>
  <c r="BE11" i="7"/>
  <c r="BQ11" i="7"/>
  <c r="K12" i="7"/>
  <c r="BA12" i="7" s="1"/>
  <c r="BE12" i="7"/>
  <c r="BQ12" i="7"/>
  <c r="W13" i="7"/>
  <c r="BM13" i="7" s="1"/>
  <c r="BE14" i="7"/>
  <c r="BQ14" i="7"/>
  <c r="K21" i="7"/>
  <c r="BA21" i="7" s="1"/>
  <c r="N7" i="7"/>
  <c r="BD7" i="7" s="1"/>
  <c r="V7" i="7"/>
  <c r="BL7" i="7" s="1"/>
  <c r="Z7" i="7"/>
  <c r="BP7" i="7" s="1"/>
  <c r="AD7" i="7"/>
  <c r="BT7" i="7" s="1"/>
  <c r="N8" i="7"/>
  <c r="BD8" i="7" s="1"/>
  <c r="V8" i="7"/>
  <c r="BL8" i="7" s="1"/>
  <c r="Z8" i="7"/>
  <c r="BP8" i="7" s="1"/>
  <c r="AD8" i="7"/>
  <c r="BT8" i="7" s="1"/>
  <c r="N9" i="7"/>
  <c r="BD9" i="7" s="1"/>
  <c r="V9" i="7"/>
  <c r="BL9" i="7" s="1"/>
  <c r="Z9" i="7"/>
  <c r="BP9" i="7" s="1"/>
  <c r="AD9" i="7"/>
  <c r="BT9" i="7" s="1"/>
  <c r="N10" i="7"/>
  <c r="BD10" i="7" s="1"/>
  <c r="V10" i="7"/>
  <c r="BL10" i="7" s="1"/>
  <c r="Z10" i="7"/>
  <c r="BP10" i="7" s="1"/>
  <c r="AD10" i="7"/>
  <c r="BT10" i="7" s="1"/>
  <c r="N11" i="7"/>
  <c r="BD11" i="7" s="1"/>
  <c r="V11" i="7"/>
  <c r="BL11" i="7" s="1"/>
  <c r="Z11" i="7"/>
  <c r="BP11" i="7" s="1"/>
  <c r="AD11" i="7"/>
  <c r="BT11" i="7" s="1"/>
  <c r="N12" i="7"/>
  <c r="BD12" i="7" s="1"/>
  <c r="V12" i="7"/>
  <c r="BL12" i="7" s="1"/>
  <c r="Z12" i="7"/>
  <c r="BP12" i="7" s="1"/>
  <c r="AD12" i="7"/>
  <c r="BT12" i="7" s="1"/>
  <c r="N13" i="7"/>
  <c r="BD13" i="7" s="1"/>
  <c r="V13" i="7"/>
  <c r="BL13" i="7" s="1"/>
  <c r="Z13" i="7"/>
  <c r="BP13" i="7" s="1"/>
  <c r="AD13" i="7"/>
  <c r="BT13" i="7" s="1"/>
  <c r="N14" i="7"/>
  <c r="BD14" i="7" s="1"/>
  <c r="V14" i="7"/>
  <c r="BL14" i="7" s="1"/>
  <c r="Z14" i="7"/>
  <c r="BP14" i="7" s="1"/>
  <c r="AD14" i="7"/>
  <c r="BT14" i="7" s="1"/>
  <c r="N21" i="7"/>
  <c r="BD21" i="7" s="1"/>
  <c r="V21" i="7"/>
  <c r="BL21" i="7" s="1"/>
  <c r="Z21" i="7"/>
  <c r="BP21" i="7" s="1"/>
  <c r="AD21" i="7"/>
  <c r="BT21" i="7" s="1"/>
  <c r="N22" i="7"/>
  <c r="BD22" i="7" s="1"/>
  <c r="V22" i="7"/>
  <c r="BL22" i="7" s="1"/>
  <c r="Z22" i="7"/>
  <c r="BP22" i="7" s="1"/>
  <c r="AD22" i="7"/>
  <c r="BT22" i="7" s="1"/>
  <c r="N23" i="7"/>
  <c r="BD23" i="7" s="1"/>
  <c r="V23" i="7"/>
  <c r="BL23" i="7" s="1"/>
  <c r="Z23" i="7"/>
  <c r="BP23" i="7" s="1"/>
  <c r="AD23" i="7"/>
  <c r="BT23" i="7" s="1"/>
  <c r="N24" i="7"/>
  <c r="BD24" i="7" s="1"/>
  <c r="V24" i="7"/>
  <c r="BL24" i="7" s="1"/>
  <c r="Z24" i="7"/>
  <c r="BP24" i="7" s="1"/>
  <c r="AD24" i="7"/>
  <c r="BT24" i="7" s="1"/>
  <c r="N25" i="7"/>
  <c r="BD25" i="7" s="1"/>
  <c r="V25" i="7"/>
  <c r="BL25" i="7" s="1"/>
  <c r="Z25" i="7"/>
  <c r="BP25" i="7" s="1"/>
  <c r="AD25" i="7"/>
  <c r="BT25" i="7" s="1"/>
  <c r="N26" i="7"/>
  <c r="BD26" i="7" s="1"/>
  <c r="V26" i="7"/>
  <c r="BL26" i="7" s="1"/>
  <c r="Z26" i="7"/>
  <c r="BP26" i="7" s="1"/>
  <c r="AD26" i="7"/>
  <c r="BT26" i="7" s="1"/>
  <c r="N27" i="7"/>
  <c r="BD27" i="7" s="1"/>
  <c r="V27" i="7"/>
  <c r="BL27" i="7" s="1"/>
  <c r="Z27" i="7"/>
  <c r="BP27" i="7" s="1"/>
  <c r="AD27" i="7"/>
  <c r="BT27" i="7" s="1"/>
  <c r="N28" i="7"/>
  <c r="BD28" i="7" s="1"/>
  <c r="V28" i="7"/>
  <c r="BL28" i="7" s="1"/>
  <c r="Z28" i="7"/>
  <c r="BP28" i="7" s="1"/>
  <c r="AD28" i="7"/>
  <c r="BT28" i="7" s="1"/>
  <c r="W7" i="7"/>
  <c r="BM7" i="7" s="1"/>
  <c r="W8" i="7"/>
  <c r="BM8" i="7" s="1"/>
  <c r="W9" i="7"/>
  <c r="BM9" i="7" s="1"/>
  <c r="W10" i="7"/>
  <c r="BM10" i="7" s="1"/>
  <c r="W11" i="7"/>
  <c r="BM11" i="7" s="1"/>
  <c r="W12" i="7"/>
  <c r="BM12" i="7" s="1"/>
  <c r="BE13" i="7"/>
  <c r="BQ13" i="7"/>
  <c r="W14" i="7"/>
  <c r="BM14" i="7" s="1"/>
  <c r="BE21" i="7"/>
  <c r="BQ21" i="7"/>
  <c r="K22" i="7"/>
  <c r="BA22" i="7" s="1"/>
  <c r="M7" i="7"/>
  <c r="BC7" i="7" s="1"/>
  <c r="Y7" i="7"/>
  <c r="BO7" i="7" s="1"/>
  <c r="AC7" i="7"/>
  <c r="BS7" i="7" s="1"/>
  <c r="M8" i="7"/>
  <c r="BC8" i="7" s="1"/>
  <c r="Y8" i="7"/>
  <c r="BO8" i="7" s="1"/>
  <c r="AC8" i="7"/>
  <c r="BS8" i="7" s="1"/>
  <c r="M9" i="7"/>
  <c r="BC9" i="7" s="1"/>
  <c r="Y9" i="7"/>
  <c r="BO9" i="7" s="1"/>
  <c r="AC9" i="7"/>
  <c r="BS9" i="7" s="1"/>
  <c r="M10" i="7"/>
  <c r="BC10" i="7" s="1"/>
  <c r="Y10" i="7"/>
  <c r="BO10" i="7" s="1"/>
  <c r="AC10" i="7"/>
  <c r="BS10" i="7" s="1"/>
  <c r="M11" i="7"/>
  <c r="BC11" i="7" s="1"/>
  <c r="Y11" i="7"/>
  <c r="BO11" i="7" s="1"/>
  <c r="AC11" i="7"/>
  <c r="BS11" i="7" s="1"/>
  <c r="M12" i="7"/>
  <c r="BC12" i="7" s="1"/>
  <c r="Y12" i="7"/>
  <c r="BO12" i="7" s="1"/>
  <c r="AC12" i="7"/>
  <c r="BS12" i="7" s="1"/>
  <c r="M13" i="7"/>
  <c r="BC13" i="7" s="1"/>
  <c r="Y13" i="7"/>
  <c r="BO13" i="7" s="1"/>
  <c r="AC13" i="7"/>
  <c r="BS13" i="7" s="1"/>
  <c r="M14" i="7"/>
  <c r="BC14" i="7" s="1"/>
  <c r="Y14" i="7"/>
  <c r="BO14" i="7" s="1"/>
  <c r="AC14" i="7"/>
  <c r="BS14" i="7" s="1"/>
  <c r="M21" i="7"/>
  <c r="BC21" i="7" s="1"/>
  <c r="Y21" i="7"/>
  <c r="BO21" i="7" s="1"/>
  <c r="AC21" i="7"/>
  <c r="BS21" i="7" s="1"/>
  <c r="M22" i="7"/>
  <c r="BC22" i="7" s="1"/>
  <c r="Y22" i="7"/>
  <c r="BO22" i="7" s="1"/>
  <c r="AC22" i="7"/>
  <c r="BS22" i="7" s="1"/>
  <c r="M23" i="7"/>
  <c r="BC23" i="7" s="1"/>
  <c r="Y23" i="7"/>
  <c r="BO23" i="7" s="1"/>
  <c r="AC23" i="7"/>
  <c r="BS23" i="7" s="1"/>
  <c r="M24" i="7"/>
  <c r="BC24" i="7" s="1"/>
  <c r="Y24" i="7"/>
  <c r="BO24" i="7" s="1"/>
  <c r="AC24" i="7"/>
  <c r="BS24" i="7" s="1"/>
  <c r="M25" i="7"/>
  <c r="BC25" i="7" s="1"/>
  <c r="Y25" i="7"/>
  <c r="BO25" i="7" s="1"/>
  <c r="AC25" i="7"/>
  <c r="BS25" i="7" s="1"/>
  <c r="M26" i="7"/>
  <c r="BC26" i="7" s="1"/>
  <c r="Y26" i="7"/>
  <c r="BO26" i="7" s="1"/>
  <c r="AC26" i="7"/>
  <c r="BS26" i="7" s="1"/>
  <c r="M27" i="7"/>
  <c r="BC27" i="7" s="1"/>
  <c r="Y27" i="7"/>
  <c r="BO27" i="7" s="1"/>
  <c r="AC27" i="7"/>
  <c r="BS27" i="7" s="1"/>
  <c r="M28" i="7"/>
  <c r="BC28" i="7" s="1"/>
  <c r="Y28" i="7"/>
  <c r="BO28" i="7" s="1"/>
  <c r="AC28" i="7"/>
  <c r="BS28" i="7" s="1"/>
  <c r="L7" i="7"/>
  <c r="BB7" i="7" s="1"/>
  <c r="P7" i="7"/>
  <c r="BF7" i="7" s="1"/>
  <c r="X7" i="7"/>
  <c r="BN7" i="7" s="1"/>
  <c r="L8" i="7"/>
  <c r="BB8" i="7" s="1"/>
  <c r="P8" i="7"/>
  <c r="BF8" i="7" s="1"/>
  <c r="X8" i="7"/>
  <c r="BN8" i="7" s="1"/>
  <c r="L9" i="7"/>
  <c r="BB9" i="7" s="1"/>
  <c r="P9" i="7"/>
  <c r="BF9" i="7" s="1"/>
  <c r="X9" i="7"/>
  <c r="BN9" i="7" s="1"/>
  <c r="L10" i="7"/>
  <c r="BB10" i="7" s="1"/>
  <c r="P10" i="7"/>
  <c r="BF10" i="7" s="1"/>
  <c r="X10" i="7"/>
  <c r="BN10" i="7" s="1"/>
  <c r="L11" i="7"/>
  <c r="BB11" i="7" s="1"/>
  <c r="P11" i="7"/>
  <c r="BF11" i="7" s="1"/>
  <c r="X11" i="7"/>
  <c r="BN11" i="7" s="1"/>
  <c r="L12" i="7"/>
  <c r="BB12" i="7" s="1"/>
  <c r="P12" i="7"/>
  <c r="BF12" i="7" s="1"/>
  <c r="X12" i="7"/>
  <c r="BN12" i="7" s="1"/>
  <c r="L13" i="7"/>
  <c r="BB13" i="7" s="1"/>
  <c r="P13" i="7"/>
  <c r="BF13" i="7" s="1"/>
  <c r="X13" i="7"/>
  <c r="BN13" i="7" s="1"/>
  <c r="L14" i="7"/>
  <c r="BB14" i="7" s="1"/>
  <c r="P14" i="7"/>
  <c r="BF14" i="7" s="1"/>
  <c r="X14" i="7"/>
  <c r="BN14" i="7" s="1"/>
  <c r="L21" i="7"/>
  <c r="BB21" i="7" s="1"/>
  <c r="P21" i="7"/>
  <c r="BF21" i="7" s="1"/>
  <c r="X21" i="7"/>
  <c r="BN21" i="7" s="1"/>
  <c r="L22" i="7"/>
  <c r="BB22" i="7" s="1"/>
  <c r="P22" i="7"/>
  <c r="BF22" i="7" s="1"/>
  <c r="X22" i="7"/>
  <c r="BN22" i="7" s="1"/>
  <c r="AB22" i="7"/>
  <c r="BR22" i="7" s="1"/>
  <c r="L23" i="7"/>
  <c r="BB23" i="7" s="1"/>
  <c r="P23" i="7"/>
  <c r="BF23" i="7" s="1"/>
  <c r="X23" i="7"/>
  <c r="BN23" i="7" s="1"/>
  <c r="AB23" i="7"/>
  <c r="BR23" i="7" s="1"/>
  <c r="L24" i="7"/>
  <c r="BB24" i="7" s="1"/>
  <c r="P24" i="7"/>
  <c r="BF24" i="7" s="1"/>
  <c r="X24" i="7"/>
  <c r="BN24" i="7" s="1"/>
  <c r="AB24" i="7"/>
  <c r="BR24" i="7" s="1"/>
  <c r="L25" i="7"/>
  <c r="BB25" i="7" s="1"/>
  <c r="P25" i="7"/>
  <c r="BF25" i="7" s="1"/>
  <c r="X25" i="7"/>
  <c r="BN25" i="7" s="1"/>
  <c r="AB25" i="7"/>
  <c r="BR25" i="7" s="1"/>
  <c r="L26" i="7"/>
  <c r="BB26" i="7" s="1"/>
  <c r="P26" i="7"/>
  <c r="BF26" i="7" s="1"/>
  <c r="X26" i="7"/>
  <c r="BN26" i="7" s="1"/>
  <c r="AB26" i="7"/>
  <c r="BR26" i="7" s="1"/>
  <c r="L27" i="7"/>
  <c r="BB27" i="7" s="1"/>
  <c r="P27" i="7"/>
  <c r="BF27" i="7" s="1"/>
  <c r="X27" i="7"/>
  <c r="BN27" i="7" s="1"/>
  <c r="AB27" i="7"/>
  <c r="BR27" i="7" s="1"/>
  <c r="L28" i="7"/>
  <c r="BB28" i="7" s="1"/>
  <c r="P28" i="7"/>
  <c r="BF28" i="7" s="1"/>
  <c r="X28" i="7"/>
  <c r="BN28" i="7" s="1"/>
  <c r="AB28" i="7"/>
  <c r="BR28" i="7" s="1"/>
  <c r="O7" i="6"/>
  <c r="BG7" i="6" s="1"/>
  <c r="W7" i="6"/>
  <c r="BO7" i="6" s="1"/>
  <c r="AA7" i="6"/>
  <c r="BS7" i="6" s="1"/>
  <c r="AE7" i="6"/>
  <c r="BW7" i="6" s="1"/>
  <c r="O8" i="6"/>
  <c r="BG8" i="6" s="1"/>
  <c r="W8" i="6"/>
  <c r="BO8" i="6" s="1"/>
  <c r="AA8" i="6"/>
  <c r="BS8" i="6" s="1"/>
  <c r="AE8" i="6"/>
  <c r="BW8" i="6" s="1"/>
  <c r="O9" i="6"/>
  <c r="BG9" i="6" s="1"/>
  <c r="W9" i="6"/>
  <c r="BO9" i="6" s="1"/>
  <c r="AA9" i="6"/>
  <c r="BS9" i="6" s="1"/>
  <c r="AE9" i="6"/>
  <c r="BW9" i="6" s="1"/>
  <c r="O10" i="6"/>
  <c r="BG10" i="6" s="1"/>
  <c r="W10" i="6"/>
  <c r="BO10" i="6" s="1"/>
  <c r="AA10" i="6"/>
  <c r="BS10" i="6" s="1"/>
  <c r="AE10" i="6"/>
  <c r="BW10" i="6" s="1"/>
  <c r="O11" i="6"/>
  <c r="BG11" i="6" s="1"/>
  <c r="W11" i="6"/>
  <c r="BO11" i="6" s="1"/>
  <c r="AA11" i="6"/>
  <c r="BS11" i="6" s="1"/>
  <c r="AE11" i="6"/>
  <c r="BW11" i="6" s="1"/>
  <c r="O12" i="6"/>
  <c r="BG12" i="6" s="1"/>
  <c r="W12" i="6"/>
  <c r="BO12" i="6" s="1"/>
  <c r="AA12" i="6"/>
  <c r="BS12" i="6" s="1"/>
  <c r="AE12" i="6"/>
  <c r="BW12" i="6" s="1"/>
  <c r="O13" i="6"/>
  <c r="BG13" i="6" s="1"/>
  <c r="W13" i="6"/>
  <c r="BO13" i="6" s="1"/>
  <c r="AA13" i="6"/>
  <c r="BS13" i="6" s="1"/>
  <c r="AE13" i="6"/>
  <c r="BW13" i="6" s="1"/>
  <c r="O14" i="6"/>
  <c r="BG14" i="6" s="1"/>
  <c r="W14" i="6"/>
  <c r="BO14" i="6" s="1"/>
  <c r="AA14" i="6"/>
  <c r="BS14" i="6" s="1"/>
  <c r="AE14" i="6"/>
  <c r="BW14" i="6" s="1"/>
  <c r="O21" i="6"/>
  <c r="BG21" i="6" s="1"/>
  <c r="W21" i="6"/>
  <c r="BO21" i="6" s="1"/>
  <c r="AA21" i="6"/>
  <c r="BS21" i="6" s="1"/>
  <c r="AE21" i="6"/>
  <c r="BW21" i="6" s="1"/>
  <c r="O22" i="6"/>
  <c r="BG22" i="6" s="1"/>
  <c r="W22" i="6"/>
  <c r="BO22" i="6" s="1"/>
  <c r="AA22" i="6"/>
  <c r="BS22" i="6" s="1"/>
  <c r="AE22" i="6"/>
  <c r="BW22" i="6" s="1"/>
  <c r="O23" i="6"/>
  <c r="BG23" i="6" s="1"/>
  <c r="W23" i="6"/>
  <c r="BO23" i="6" s="1"/>
  <c r="AA23" i="6"/>
  <c r="BS23" i="6" s="1"/>
  <c r="AE23" i="6"/>
  <c r="BW23" i="6" s="1"/>
  <c r="O24" i="6"/>
  <c r="BG24" i="6" s="1"/>
  <c r="W24" i="6"/>
  <c r="BO24" i="6" s="1"/>
  <c r="AA24" i="6"/>
  <c r="BS24" i="6" s="1"/>
  <c r="AE24" i="6"/>
  <c r="BW24" i="6" s="1"/>
  <c r="O25" i="6"/>
  <c r="BG25" i="6" s="1"/>
  <c r="W25" i="6"/>
  <c r="BO25" i="6" s="1"/>
  <c r="AA25" i="6"/>
  <c r="BS25" i="6" s="1"/>
  <c r="AE25" i="6"/>
  <c r="BW25" i="6" s="1"/>
  <c r="O26" i="6"/>
  <c r="BG26" i="6" s="1"/>
  <c r="W26" i="6"/>
  <c r="BO26" i="6" s="1"/>
  <c r="AA26" i="6"/>
  <c r="BS26" i="6" s="1"/>
  <c r="AE26" i="6"/>
  <c r="BW26" i="6" s="1"/>
  <c r="O27" i="6"/>
  <c r="BG27" i="6" s="1"/>
  <c r="W27" i="6"/>
  <c r="BO27" i="6" s="1"/>
  <c r="AA27" i="6"/>
  <c r="BS27" i="6" s="1"/>
  <c r="AE27" i="6"/>
  <c r="BW27" i="6" s="1"/>
  <c r="O28" i="6"/>
  <c r="BG28" i="6" s="1"/>
  <c r="W28" i="6"/>
  <c r="BO28" i="6" s="1"/>
  <c r="AA28" i="6"/>
  <c r="BS28" i="6" s="1"/>
  <c r="AE28" i="6"/>
  <c r="BW28" i="6" s="1"/>
  <c r="O35" i="6"/>
  <c r="BG35" i="6" s="1"/>
  <c r="W35" i="6"/>
  <c r="BO35" i="6" s="1"/>
  <c r="AA35" i="6"/>
  <c r="BS35" i="6" s="1"/>
  <c r="AE35" i="6"/>
  <c r="BW35" i="6" s="1"/>
  <c r="O36" i="6"/>
  <c r="BG36" i="6" s="1"/>
  <c r="W36" i="6"/>
  <c r="BO36" i="6" s="1"/>
  <c r="AA36" i="6"/>
  <c r="BS36" i="6" s="1"/>
  <c r="AE36" i="6"/>
  <c r="BW36" i="6" s="1"/>
  <c r="O37" i="6"/>
  <c r="BG37" i="6" s="1"/>
  <c r="W37" i="6"/>
  <c r="BO37" i="6" s="1"/>
  <c r="AA37" i="6"/>
  <c r="BS37" i="6" s="1"/>
  <c r="AE37" i="6"/>
  <c r="BW37" i="6" s="1"/>
  <c r="O38" i="6"/>
  <c r="BG38" i="6" s="1"/>
  <c r="W38" i="6"/>
  <c r="BO38" i="6" s="1"/>
  <c r="AA38" i="6"/>
  <c r="BS38" i="6" s="1"/>
  <c r="AE38" i="6"/>
  <c r="BW38" i="6" s="1"/>
  <c r="O39" i="6"/>
  <c r="BG39" i="6" s="1"/>
  <c r="W39" i="6"/>
  <c r="BO39" i="6" s="1"/>
  <c r="AA39" i="6"/>
  <c r="BS39" i="6" s="1"/>
  <c r="AE39" i="6"/>
  <c r="BW39" i="6" s="1"/>
  <c r="O40" i="6"/>
  <c r="BG40" i="6" s="1"/>
  <c r="W40" i="6"/>
  <c r="BO40" i="6" s="1"/>
  <c r="AA40" i="6"/>
  <c r="BS40" i="6" s="1"/>
  <c r="AE40" i="6"/>
  <c r="BW40" i="6" s="1"/>
  <c r="O41" i="6"/>
  <c r="BG41" i="6" s="1"/>
  <c r="W41" i="6"/>
  <c r="BO41" i="6" s="1"/>
  <c r="AA41" i="6"/>
  <c r="BS41" i="6" s="1"/>
  <c r="AE41" i="6"/>
  <c r="BW41" i="6" s="1"/>
  <c r="O42" i="6"/>
  <c r="BG42" i="6" s="1"/>
  <c r="W42" i="6"/>
  <c r="BO42" i="6" s="1"/>
  <c r="AA42" i="6"/>
  <c r="BS42" i="6" s="1"/>
  <c r="AE42" i="6"/>
  <c r="BW42" i="6" s="1"/>
  <c r="N7" i="6"/>
  <c r="BF7" i="6" s="1"/>
  <c r="Z7" i="6"/>
  <c r="BR7" i="6" s="1"/>
  <c r="AD7" i="6"/>
  <c r="BV7" i="6" s="1"/>
  <c r="N8" i="6"/>
  <c r="BF8" i="6" s="1"/>
  <c r="Z8" i="6"/>
  <c r="BR8" i="6" s="1"/>
  <c r="AD8" i="6"/>
  <c r="BV8" i="6" s="1"/>
  <c r="N9" i="6"/>
  <c r="BF9" i="6" s="1"/>
  <c r="Z9" i="6"/>
  <c r="BR9" i="6" s="1"/>
  <c r="AD9" i="6"/>
  <c r="BV9" i="6" s="1"/>
  <c r="N10" i="6"/>
  <c r="BF10" i="6" s="1"/>
  <c r="Z10" i="6"/>
  <c r="BR10" i="6" s="1"/>
  <c r="AD10" i="6"/>
  <c r="BV10" i="6" s="1"/>
  <c r="N11" i="6"/>
  <c r="BF11" i="6" s="1"/>
  <c r="Z11" i="6"/>
  <c r="BR11" i="6" s="1"/>
  <c r="AD11" i="6"/>
  <c r="BV11" i="6" s="1"/>
  <c r="N12" i="6"/>
  <c r="BF12" i="6" s="1"/>
  <c r="Z12" i="6"/>
  <c r="BR12" i="6" s="1"/>
  <c r="AD12" i="6"/>
  <c r="BV12" i="6" s="1"/>
  <c r="N13" i="6"/>
  <c r="BF13" i="6" s="1"/>
  <c r="Z13" i="6"/>
  <c r="BR13" i="6" s="1"/>
  <c r="AD13" i="6"/>
  <c r="BV13" i="6" s="1"/>
  <c r="N14" i="6"/>
  <c r="BF14" i="6" s="1"/>
  <c r="Z14" i="6"/>
  <c r="BR14" i="6" s="1"/>
  <c r="AD14" i="6"/>
  <c r="BV14" i="6" s="1"/>
  <c r="N21" i="6"/>
  <c r="BF21" i="6" s="1"/>
  <c r="Z21" i="6"/>
  <c r="BR21" i="6" s="1"/>
  <c r="AD21" i="6"/>
  <c r="BV21" i="6" s="1"/>
  <c r="N22" i="6"/>
  <c r="BF22" i="6" s="1"/>
  <c r="Z22" i="6"/>
  <c r="BR22" i="6" s="1"/>
  <c r="AD22" i="6"/>
  <c r="BV22" i="6" s="1"/>
  <c r="N23" i="6"/>
  <c r="BF23" i="6" s="1"/>
  <c r="Z23" i="6"/>
  <c r="BR23" i="6" s="1"/>
  <c r="AD23" i="6"/>
  <c r="BV23" i="6" s="1"/>
  <c r="N24" i="6"/>
  <c r="BF24" i="6" s="1"/>
  <c r="Z24" i="6"/>
  <c r="BR24" i="6" s="1"/>
  <c r="AD24" i="6"/>
  <c r="BV24" i="6" s="1"/>
  <c r="N25" i="6"/>
  <c r="BF25" i="6" s="1"/>
  <c r="Z25" i="6"/>
  <c r="BR25" i="6" s="1"/>
  <c r="AD25" i="6"/>
  <c r="BV25" i="6" s="1"/>
  <c r="N26" i="6"/>
  <c r="BF26" i="6" s="1"/>
  <c r="Z26" i="6"/>
  <c r="BR26" i="6" s="1"/>
  <c r="AD26" i="6"/>
  <c r="BV26" i="6" s="1"/>
  <c r="N27" i="6"/>
  <c r="BF27" i="6" s="1"/>
  <c r="Z27" i="6"/>
  <c r="BR27" i="6" s="1"/>
  <c r="AD27" i="6"/>
  <c r="BV27" i="6" s="1"/>
  <c r="N28" i="6"/>
  <c r="BF28" i="6" s="1"/>
  <c r="Z28" i="6"/>
  <c r="BR28" i="6" s="1"/>
  <c r="AD28" i="6"/>
  <c r="BV28" i="6" s="1"/>
  <c r="N35" i="6"/>
  <c r="BF35" i="6" s="1"/>
  <c r="Z35" i="6"/>
  <c r="BR35" i="6" s="1"/>
  <c r="AD35" i="6"/>
  <c r="BV35" i="6" s="1"/>
  <c r="N36" i="6"/>
  <c r="BF36" i="6" s="1"/>
  <c r="Z36" i="6"/>
  <c r="BR36" i="6" s="1"/>
  <c r="AD36" i="6"/>
  <c r="BV36" i="6" s="1"/>
  <c r="N37" i="6"/>
  <c r="BF37" i="6" s="1"/>
  <c r="Z37" i="6"/>
  <c r="BR37" i="6" s="1"/>
  <c r="AD37" i="6"/>
  <c r="BV37" i="6" s="1"/>
  <c r="N38" i="6"/>
  <c r="BF38" i="6" s="1"/>
  <c r="Z38" i="6"/>
  <c r="BR38" i="6" s="1"/>
  <c r="AD38" i="6"/>
  <c r="BV38" i="6" s="1"/>
  <c r="N39" i="6"/>
  <c r="BF39" i="6" s="1"/>
  <c r="Z39" i="6"/>
  <c r="BR39" i="6" s="1"/>
  <c r="AD39" i="6"/>
  <c r="BV39" i="6" s="1"/>
  <c r="N40" i="6"/>
  <c r="BF40" i="6" s="1"/>
  <c r="Z40" i="6"/>
  <c r="BR40" i="6" s="1"/>
  <c r="AD40" i="6"/>
  <c r="BV40" i="6" s="1"/>
  <c r="N41" i="6"/>
  <c r="BF41" i="6" s="1"/>
  <c r="Z41" i="6"/>
  <c r="BR41" i="6" s="1"/>
  <c r="AD41" i="6"/>
  <c r="BV41" i="6" s="1"/>
  <c r="N42" i="6"/>
  <c r="BF42" i="6" s="1"/>
  <c r="Z42" i="6"/>
  <c r="BR42" i="6" s="1"/>
  <c r="AD42" i="6"/>
  <c r="BV42" i="6" s="1"/>
  <c r="M7" i="6"/>
  <c r="BE7" i="6" s="1"/>
  <c r="Q7" i="6"/>
  <c r="BI7" i="6" s="1"/>
  <c r="Y7" i="6"/>
  <c r="BQ7" i="6" s="1"/>
  <c r="AC7" i="6"/>
  <c r="BU7" i="6" s="1"/>
  <c r="M8" i="6"/>
  <c r="BE8" i="6" s="1"/>
  <c r="Q8" i="6"/>
  <c r="BI8" i="6" s="1"/>
  <c r="U8" i="6"/>
  <c r="Y8" i="6"/>
  <c r="BQ8" i="6" s="1"/>
  <c r="AC8" i="6"/>
  <c r="BU8" i="6" s="1"/>
  <c r="M9" i="6"/>
  <c r="BE9" i="6" s="1"/>
  <c r="Q9" i="6"/>
  <c r="BI9" i="6" s="1"/>
  <c r="Y9" i="6"/>
  <c r="BQ9" i="6" s="1"/>
  <c r="AC9" i="6"/>
  <c r="BU9" i="6" s="1"/>
  <c r="M10" i="6"/>
  <c r="BE10" i="6" s="1"/>
  <c r="Q10" i="6"/>
  <c r="BI10" i="6" s="1"/>
  <c r="Y10" i="6"/>
  <c r="BQ10" i="6" s="1"/>
  <c r="AC10" i="6"/>
  <c r="BU10" i="6" s="1"/>
  <c r="M11" i="6"/>
  <c r="BE11" i="6" s="1"/>
  <c r="Q11" i="6"/>
  <c r="BI11" i="6" s="1"/>
  <c r="Y11" i="6"/>
  <c r="BQ11" i="6" s="1"/>
  <c r="AC11" i="6"/>
  <c r="BU11" i="6" s="1"/>
  <c r="M12" i="6"/>
  <c r="BE12" i="6" s="1"/>
  <c r="Q12" i="6"/>
  <c r="BI12" i="6" s="1"/>
  <c r="Y12" i="6"/>
  <c r="BQ12" i="6" s="1"/>
  <c r="AC12" i="6"/>
  <c r="BU12" i="6" s="1"/>
  <c r="M13" i="6"/>
  <c r="BE13" i="6" s="1"/>
  <c r="Q13" i="6"/>
  <c r="BI13" i="6" s="1"/>
  <c r="Y13" i="6"/>
  <c r="BQ13" i="6" s="1"/>
  <c r="AC13" i="6"/>
  <c r="BU13" i="6" s="1"/>
  <c r="M14" i="6"/>
  <c r="BE14" i="6" s="1"/>
  <c r="Q14" i="6"/>
  <c r="BI14" i="6" s="1"/>
  <c r="Y14" i="6"/>
  <c r="BQ14" i="6" s="1"/>
  <c r="AC14" i="6"/>
  <c r="BU14" i="6" s="1"/>
  <c r="M21" i="6"/>
  <c r="BE21" i="6" s="1"/>
  <c r="Q21" i="6"/>
  <c r="BI21" i="6" s="1"/>
  <c r="Y21" i="6"/>
  <c r="BQ21" i="6" s="1"/>
  <c r="AC21" i="6"/>
  <c r="BU21" i="6" s="1"/>
  <c r="M22" i="6"/>
  <c r="BE22" i="6" s="1"/>
  <c r="Q22" i="6"/>
  <c r="BI22" i="6" s="1"/>
  <c r="Y22" i="6"/>
  <c r="BQ22" i="6" s="1"/>
  <c r="AC22" i="6"/>
  <c r="BU22" i="6" s="1"/>
  <c r="M23" i="6"/>
  <c r="BE23" i="6" s="1"/>
  <c r="Q23" i="6"/>
  <c r="BI23" i="6" s="1"/>
  <c r="Y23" i="6"/>
  <c r="BQ23" i="6" s="1"/>
  <c r="AC23" i="6"/>
  <c r="BU23" i="6" s="1"/>
  <c r="M24" i="6"/>
  <c r="BE24" i="6" s="1"/>
  <c r="Q24" i="6"/>
  <c r="BI24" i="6" s="1"/>
  <c r="Y24" i="6"/>
  <c r="BQ24" i="6" s="1"/>
  <c r="AC24" i="6"/>
  <c r="BU24" i="6" s="1"/>
  <c r="M25" i="6"/>
  <c r="BE25" i="6" s="1"/>
  <c r="Q25" i="6"/>
  <c r="BI25" i="6" s="1"/>
  <c r="Y25" i="6"/>
  <c r="BQ25" i="6" s="1"/>
  <c r="AC25" i="6"/>
  <c r="BU25" i="6" s="1"/>
  <c r="M26" i="6"/>
  <c r="BE26" i="6" s="1"/>
  <c r="Q26" i="6"/>
  <c r="BI26" i="6" s="1"/>
  <c r="Y26" i="6"/>
  <c r="BQ26" i="6" s="1"/>
  <c r="AC26" i="6"/>
  <c r="BU26" i="6" s="1"/>
  <c r="M27" i="6"/>
  <c r="BE27" i="6" s="1"/>
  <c r="Q27" i="6"/>
  <c r="BI27" i="6" s="1"/>
  <c r="Y27" i="6"/>
  <c r="BQ27" i="6" s="1"/>
  <c r="AC27" i="6"/>
  <c r="BU27" i="6" s="1"/>
  <c r="M28" i="6"/>
  <c r="BE28" i="6" s="1"/>
  <c r="Q28" i="6"/>
  <c r="BI28" i="6" s="1"/>
  <c r="Y28" i="6"/>
  <c r="BQ28" i="6" s="1"/>
  <c r="AC28" i="6"/>
  <c r="BU28" i="6" s="1"/>
  <c r="M35" i="6"/>
  <c r="BE35" i="6" s="1"/>
  <c r="Q35" i="6"/>
  <c r="BI35" i="6" s="1"/>
  <c r="U35" i="6"/>
  <c r="Y35" i="6"/>
  <c r="BQ35" i="6" s="1"/>
  <c r="AC35" i="6"/>
  <c r="BU35" i="6" s="1"/>
  <c r="M36" i="6"/>
  <c r="BE36" i="6" s="1"/>
  <c r="Q36" i="6"/>
  <c r="BI36" i="6" s="1"/>
  <c r="Y36" i="6"/>
  <c r="BQ36" i="6" s="1"/>
  <c r="AC36" i="6"/>
  <c r="BU36" i="6" s="1"/>
  <c r="M37" i="6"/>
  <c r="BE37" i="6" s="1"/>
  <c r="Q37" i="6"/>
  <c r="BI37" i="6" s="1"/>
  <c r="Y37" i="6"/>
  <c r="BQ37" i="6" s="1"/>
  <c r="AC37" i="6"/>
  <c r="BU37" i="6" s="1"/>
  <c r="M38" i="6"/>
  <c r="BE38" i="6" s="1"/>
  <c r="Q38" i="6"/>
  <c r="BI38" i="6" s="1"/>
  <c r="Y38" i="6"/>
  <c r="BQ38" i="6" s="1"/>
  <c r="AC38" i="6"/>
  <c r="BU38" i="6" s="1"/>
  <c r="M39" i="6"/>
  <c r="BE39" i="6" s="1"/>
  <c r="Q39" i="6"/>
  <c r="BI39" i="6" s="1"/>
  <c r="Y39" i="6"/>
  <c r="BQ39" i="6" s="1"/>
  <c r="AC39" i="6"/>
  <c r="BU39" i="6" s="1"/>
  <c r="M40" i="6"/>
  <c r="BE40" i="6" s="1"/>
  <c r="Q40" i="6"/>
  <c r="BI40" i="6" s="1"/>
  <c r="Y40" i="6"/>
  <c r="BQ40" i="6" s="1"/>
  <c r="AC40" i="6"/>
  <c r="BU40" i="6" s="1"/>
  <c r="M41" i="6"/>
  <c r="BE41" i="6" s="1"/>
  <c r="Q41" i="6"/>
  <c r="BI41" i="6" s="1"/>
  <c r="Y41" i="6"/>
  <c r="BQ41" i="6" s="1"/>
  <c r="AC41" i="6"/>
  <c r="BU41" i="6" s="1"/>
  <c r="M42" i="6"/>
  <c r="BE42" i="6" s="1"/>
  <c r="Q42" i="6"/>
  <c r="BI42" i="6" s="1"/>
  <c r="Y42" i="6"/>
  <c r="BQ42" i="6" s="1"/>
  <c r="AC42" i="6"/>
  <c r="BU42" i="6" s="1"/>
  <c r="L7" i="5"/>
  <c r="BB7" i="5" s="1"/>
  <c r="P7" i="5"/>
  <c r="BF7" i="5" s="1"/>
  <c r="T7" i="5"/>
  <c r="BJ7" i="5" s="1"/>
  <c r="X7" i="5"/>
  <c r="BN7" i="5" s="1"/>
  <c r="AB7" i="5"/>
  <c r="BR7" i="5" s="1"/>
  <c r="L8" i="5"/>
  <c r="BB8" i="5" s="1"/>
  <c r="P8" i="5"/>
  <c r="BF8" i="5" s="1"/>
  <c r="T8" i="5"/>
  <c r="BJ8" i="5" s="1"/>
  <c r="X8" i="5"/>
  <c r="BN8" i="5" s="1"/>
  <c r="AB8" i="5"/>
  <c r="BR8" i="5" s="1"/>
  <c r="L9" i="5"/>
  <c r="BB9" i="5" s="1"/>
  <c r="P9" i="5"/>
  <c r="BF9" i="5" s="1"/>
  <c r="T9" i="5"/>
  <c r="BJ9" i="5" s="1"/>
  <c r="X9" i="5"/>
  <c r="BN9" i="5" s="1"/>
  <c r="AB9" i="5"/>
  <c r="BR9" i="5" s="1"/>
  <c r="L10" i="5"/>
  <c r="BB10" i="5" s="1"/>
  <c r="P10" i="5"/>
  <c r="BF10" i="5" s="1"/>
  <c r="T10" i="5"/>
  <c r="BJ10" i="5" s="1"/>
  <c r="X10" i="5"/>
  <c r="BN10" i="5" s="1"/>
  <c r="AB10" i="5"/>
  <c r="BR10" i="5" s="1"/>
  <c r="L11" i="5"/>
  <c r="BB11" i="5" s="1"/>
  <c r="P11" i="5"/>
  <c r="BF11" i="5" s="1"/>
  <c r="T11" i="5"/>
  <c r="BJ11" i="5" s="1"/>
  <c r="X11" i="5"/>
  <c r="BN11" i="5" s="1"/>
  <c r="AB11" i="5"/>
  <c r="BR11" i="5" s="1"/>
  <c r="L12" i="5"/>
  <c r="BB12" i="5" s="1"/>
  <c r="P12" i="5"/>
  <c r="BF12" i="5" s="1"/>
  <c r="T12" i="5"/>
  <c r="BJ12" i="5" s="1"/>
  <c r="X12" i="5"/>
  <c r="BN12" i="5" s="1"/>
  <c r="AB12" i="5"/>
  <c r="BR12" i="5" s="1"/>
  <c r="L13" i="5"/>
  <c r="BB13" i="5" s="1"/>
  <c r="X13" i="5"/>
  <c r="BN13" i="5" s="1"/>
  <c r="AB13" i="5"/>
  <c r="BR13" i="5" s="1"/>
  <c r="L14" i="5"/>
  <c r="BB14" i="5" s="1"/>
  <c r="P14" i="5"/>
  <c r="BF14" i="5" s="1"/>
  <c r="T14" i="5"/>
  <c r="BJ14" i="5" s="1"/>
  <c r="X14" i="5"/>
  <c r="BN14" i="5" s="1"/>
  <c r="AB14" i="5"/>
  <c r="BR14" i="5" s="1"/>
  <c r="L21" i="5"/>
  <c r="BB21" i="5" s="1"/>
  <c r="T21" i="5"/>
  <c r="BJ21" i="5" s="1"/>
  <c r="X21" i="5"/>
  <c r="BN21" i="5" s="1"/>
  <c r="AB21" i="5"/>
  <c r="BR21" i="5" s="1"/>
  <c r="L22" i="5"/>
  <c r="BB22" i="5" s="1"/>
  <c r="T22" i="5"/>
  <c r="BJ22" i="5" s="1"/>
  <c r="X22" i="5"/>
  <c r="BN22" i="5" s="1"/>
  <c r="AB22" i="5"/>
  <c r="BR22" i="5" s="1"/>
  <c r="L23" i="5"/>
  <c r="BB23" i="5" s="1"/>
  <c r="P23" i="5"/>
  <c r="BF23" i="5" s="1"/>
  <c r="T23" i="5"/>
  <c r="BJ23" i="5" s="1"/>
  <c r="X23" i="5"/>
  <c r="BN23" i="5" s="1"/>
  <c r="AB23" i="5"/>
  <c r="BR23" i="5" s="1"/>
  <c r="L24" i="5"/>
  <c r="BB24" i="5" s="1"/>
  <c r="T24" i="5"/>
  <c r="BJ24" i="5" s="1"/>
  <c r="X24" i="5"/>
  <c r="BN24" i="5" s="1"/>
  <c r="AB24" i="5"/>
  <c r="BR24" i="5" s="1"/>
  <c r="L25" i="5"/>
  <c r="BB25" i="5" s="1"/>
  <c r="P25" i="5"/>
  <c r="BF25" i="5" s="1"/>
  <c r="T25" i="5"/>
  <c r="BJ25" i="5" s="1"/>
  <c r="X25" i="5"/>
  <c r="BN25" i="5" s="1"/>
  <c r="AB25" i="5"/>
  <c r="BR25" i="5" s="1"/>
  <c r="L26" i="5"/>
  <c r="BB26" i="5" s="1"/>
  <c r="P26" i="5"/>
  <c r="BF26" i="5" s="1"/>
  <c r="T26" i="5"/>
  <c r="BJ26" i="5" s="1"/>
  <c r="P27" i="5"/>
  <c r="BF27" i="5" s="1"/>
  <c r="T27" i="5"/>
  <c r="BJ27" i="5" s="1"/>
  <c r="P28" i="5"/>
  <c r="BF28" i="5" s="1"/>
  <c r="T28" i="5"/>
  <c r="BJ28" i="5" s="1"/>
  <c r="BI7" i="5"/>
  <c r="BI8" i="5"/>
  <c r="BI9" i="5"/>
  <c r="BI10" i="5"/>
  <c r="BI11" i="5"/>
  <c r="BI12" i="5"/>
  <c r="BI14" i="5"/>
  <c r="BI22" i="5"/>
  <c r="BI23" i="5"/>
  <c r="BI24" i="5"/>
  <c r="BI25" i="5"/>
  <c r="BI26" i="5"/>
  <c r="BI27" i="5"/>
  <c r="BI28" i="5"/>
  <c r="P7" i="4"/>
  <c r="BF7" i="4" s="1"/>
  <c r="X7" i="4"/>
  <c r="BN7" i="4" s="1"/>
  <c r="AB7" i="4"/>
  <c r="BR7" i="4" s="1"/>
  <c r="AF7" i="4"/>
  <c r="BV7" i="4" s="1"/>
  <c r="P8" i="4"/>
  <c r="BF8" i="4" s="1"/>
  <c r="X8" i="4"/>
  <c r="BN8" i="4" s="1"/>
  <c r="AB8" i="4"/>
  <c r="BR8" i="4" s="1"/>
  <c r="AF8" i="4"/>
  <c r="BV8" i="4" s="1"/>
  <c r="P9" i="4"/>
  <c r="BF9" i="4" s="1"/>
  <c r="X9" i="4"/>
  <c r="BN9" i="4" s="1"/>
  <c r="AB9" i="4"/>
  <c r="BR9" i="4" s="1"/>
  <c r="AF9" i="4"/>
  <c r="BV9" i="4" s="1"/>
  <c r="P10" i="4"/>
  <c r="BF10" i="4" s="1"/>
  <c r="X10" i="4"/>
  <c r="BN10" i="4" s="1"/>
  <c r="AB10" i="4"/>
  <c r="BR10" i="4" s="1"/>
  <c r="AF10" i="4"/>
  <c r="BV10" i="4" s="1"/>
  <c r="P11" i="4"/>
  <c r="BF11" i="4" s="1"/>
  <c r="X11" i="4"/>
  <c r="BN11" i="4" s="1"/>
  <c r="AB11" i="4"/>
  <c r="BR11" i="4" s="1"/>
  <c r="AF11" i="4"/>
  <c r="BV11" i="4" s="1"/>
  <c r="P12" i="4"/>
  <c r="BF12" i="4" s="1"/>
  <c r="X12" i="4"/>
  <c r="BN12" i="4" s="1"/>
  <c r="AB12" i="4"/>
  <c r="BR12" i="4" s="1"/>
  <c r="AF12" i="4"/>
  <c r="BV12" i="4" s="1"/>
  <c r="P13" i="4"/>
  <c r="BF13" i="4" s="1"/>
  <c r="T13" i="4"/>
  <c r="BJ13" i="4" s="1"/>
  <c r="X13" i="4"/>
  <c r="BN13" i="4" s="1"/>
  <c r="AB13" i="4"/>
  <c r="BR13" i="4" s="1"/>
  <c r="AF13" i="4"/>
  <c r="BV13" i="4" s="1"/>
  <c r="P14" i="4"/>
  <c r="BF14" i="4" s="1"/>
  <c r="T14" i="4"/>
  <c r="BJ14" i="4" s="1"/>
  <c r="X14" i="4"/>
  <c r="BN14" i="4" s="1"/>
  <c r="AB14" i="4"/>
  <c r="BR14" i="4" s="1"/>
  <c r="AF14" i="4"/>
  <c r="BV14" i="4" s="1"/>
  <c r="P21" i="4"/>
  <c r="BF21" i="4" s="1"/>
  <c r="T21" i="4"/>
  <c r="BJ21" i="4" s="1"/>
  <c r="P22" i="4"/>
  <c r="BF22" i="4" s="1"/>
  <c r="T22" i="4"/>
  <c r="BJ22" i="4" s="1"/>
  <c r="X22" i="4"/>
  <c r="BN22" i="4" s="1"/>
  <c r="AB22" i="4"/>
  <c r="BR22" i="4" s="1"/>
  <c r="AF22" i="4"/>
  <c r="BV22" i="4" s="1"/>
  <c r="P23" i="4"/>
  <c r="BF23" i="4" s="1"/>
  <c r="T23" i="4"/>
  <c r="BJ23" i="4" s="1"/>
  <c r="X23" i="4"/>
  <c r="BN23" i="4" s="1"/>
  <c r="AB23" i="4"/>
  <c r="BR23" i="4" s="1"/>
  <c r="AF23" i="4"/>
  <c r="BV23" i="4" s="1"/>
  <c r="P24" i="4"/>
  <c r="BF24" i="4" s="1"/>
  <c r="T24" i="4"/>
  <c r="BJ24" i="4" s="1"/>
  <c r="X24" i="4"/>
  <c r="BN24" i="4" s="1"/>
  <c r="AB24" i="4"/>
  <c r="BR24" i="4" s="1"/>
  <c r="AF24" i="4"/>
  <c r="BV24" i="4" s="1"/>
  <c r="P25" i="4"/>
  <c r="BF25" i="4" s="1"/>
  <c r="T25" i="4"/>
  <c r="BJ25" i="4" s="1"/>
  <c r="X25" i="4"/>
  <c r="BN25" i="4" s="1"/>
  <c r="AB25" i="4"/>
  <c r="BR25" i="4" s="1"/>
  <c r="AF25" i="4"/>
  <c r="BV25" i="4" s="1"/>
  <c r="P26" i="4"/>
  <c r="BF26" i="4" s="1"/>
  <c r="T26" i="4"/>
  <c r="BJ26" i="4" s="1"/>
  <c r="X26" i="4"/>
  <c r="BN26" i="4" s="1"/>
  <c r="AB26" i="4"/>
  <c r="BR26" i="4" s="1"/>
  <c r="AF26" i="4"/>
  <c r="BV26" i="4" s="1"/>
  <c r="P27" i="4"/>
  <c r="BF27" i="4" s="1"/>
  <c r="T27" i="4"/>
  <c r="BJ27" i="4" s="1"/>
  <c r="X27" i="4"/>
  <c r="BN27" i="4" s="1"/>
  <c r="AB27" i="4"/>
  <c r="BR27" i="4" s="1"/>
  <c r="AF27" i="4"/>
  <c r="BV27" i="4" s="1"/>
  <c r="P28" i="4"/>
  <c r="BF28" i="4" s="1"/>
  <c r="T28" i="4"/>
  <c r="BJ28" i="4" s="1"/>
  <c r="X28" i="4"/>
  <c r="BN28" i="4" s="1"/>
  <c r="AB28" i="4"/>
  <c r="BR28" i="4" s="1"/>
  <c r="AF28" i="4"/>
  <c r="BV28" i="4" s="1"/>
  <c r="BL7" i="4"/>
  <c r="BL8" i="4"/>
  <c r="BL9" i="4"/>
  <c r="BL12" i="4"/>
  <c r="BL13" i="4"/>
  <c r="BL21" i="4"/>
  <c r="BL22" i="4"/>
  <c r="BL23" i="4"/>
  <c r="BL24" i="4"/>
  <c r="BL25" i="4"/>
  <c r="BL26" i="4"/>
  <c r="BL27" i="4"/>
  <c r="BL28" i="4"/>
  <c r="O7" i="3"/>
  <c r="BE7" i="3" s="1"/>
  <c r="AA7" i="3"/>
  <c r="BQ7" i="3" s="1"/>
  <c r="AE7" i="3"/>
  <c r="BU7" i="3" s="1"/>
  <c r="O8" i="3"/>
  <c r="BE8" i="3" s="1"/>
  <c r="AA8" i="3"/>
  <c r="BQ8" i="3" s="1"/>
  <c r="AE8" i="3"/>
  <c r="BU8" i="3" s="1"/>
  <c r="O9" i="3"/>
  <c r="BE9" i="3" s="1"/>
  <c r="AA9" i="3"/>
  <c r="BQ9" i="3" s="1"/>
  <c r="AE9" i="3"/>
  <c r="BU9" i="3" s="1"/>
  <c r="O10" i="3"/>
  <c r="BE10" i="3" s="1"/>
  <c r="AA10" i="3"/>
  <c r="BQ10" i="3" s="1"/>
  <c r="AE10" i="3"/>
  <c r="BU10" i="3" s="1"/>
  <c r="O11" i="3"/>
  <c r="BE11" i="3" s="1"/>
  <c r="AA11" i="3"/>
  <c r="BQ11" i="3" s="1"/>
  <c r="AE11" i="3"/>
  <c r="BU11" i="3" s="1"/>
  <c r="O22" i="3"/>
  <c r="BE22" i="3" s="1"/>
  <c r="AA22" i="3"/>
  <c r="BQ22" i="3" s="1"/>
  <c r="AE22" i="3"/>
  <c r="BU22" i="3" s="1"/>
  <c r="O23" i="3"/>
  <c r="BE23" i="3" s="1"/>
  <c r="AA23" i="3"/>
  <c r="BQ23" i="3" s="1"/>
  <c r="AE23" i="3"/>
  <c r="BU23" i="3" s="1"/>
  <c r="O24" i="3"/>
  <c r="BE24" i="3" s="1"/>
  <c r="AA24" i="3"/>
  <c r="BQ24" i="3" s="1"/>
  <c r="AE24" i="3"/>
  <c r="BU24" i="3" s="1"/>
  <c r="O25" i="3"/>
  <c r="BE25" i="3" s="1"/>
  <c r="AA25" i="3"/>
  <c r="BQ25" i="3" s="1"/>
  <c r="AE25" i="3"/>
  <c r="BU25" i="3" s="1"/>
  <c r="O26" i="3"/>
  <c r="BE26" i="3" s="1"/>
  <c r="AA26" i="3"/>
  <c r="BQ26" i="3" s="1"/>
  <c r="AE26" i="3"/>
  <c r="BU26" i="3" s="1"/>
  <c r="O27" i="3"/>
  <c r="BE27" i="3" s="1"/>
  <c r="AA27" i="3"/>
  <c r="BQ27" i="3" s="1"/>
  <c r="AE27" i="3"/>
  <c r="BU27" i="3" s="1"/>
  <c r="O28" i="3"/>
  <c r="BE28" i="3" s="1"/>
  <c r="AA28" i="3"/>
  <c r="BQ28" i="3" s="1"/>
  <c r="AE28" i="3"/>
  <c r="BU28" i="3" s="1"/>
  <c r="N7" i="3"/>
  <c r="R7" i="3"/>
  <c r="BH7" i="3" s="1"/>
  <c r="Z7" i="3"/>
  <c r="BP7" i="3" s="1"/>
  <c r="AD7" i="3"/>
  <c r="BT7" i="3" s="1"/>
  <c r="N8" i="3"/>
  <c r="R8" i="3"/>
  <c r="BH8" i="3" s="1"/>
  <c r="Z8" i="3"/>
  <c r="BP8" i="3" s="1"/>
  <c r="AD8" i="3"/>
  <c r="BT8" i="3" s="1"/>
  <c r="N9" i="3"/>
  <c r="R9" i="3"/>
  <c r="BH9" i="3" s="1"/>
  <c r="Z9" i="3"/>
  <c r="BP9" i="3" s="1"/>
  <c r="AD9" i="3"/>
  <c r="BT9" i="3" s="1"/>
  <c r="N10" i="3"/>
  <c r="BD10" i="3" s="1"/>
  <c r="R10" i="3"/>
  <c r="BH10" i="3" s="1"/>
  <c r="Z10" i="3"/>
  <c r="BP10" i="3" s="1"/>
  <c r="AD10" i="3"/>
  <c r="BT10" i="3" s="1"/>
  <c r="N11" i="3"/>
  <c r="BD11" i="3" s="1"/>
  <c r="R11" i="3"/>
  <c r="BH11" i="3" s="1"/>
  <c r="Z11" i="3"/>
  <c r="BP11" i="3" s="1"/>
  <c r="AD11" i="3"/>
  <c r="BT11" i="3" s="1"/>
  <c r="N22" i="3"/>
  <c r="BD22" i="3" s="1"/>
  <c r="R22" i="3"/>
  <c r="BH22" i="3" s="1"/>
  <c r="V22" i="3"/>
  <c r="Z22" i="3"/>
  <c r="BP22" i="3" s="1"/>
  <c r="AD22" i="3"/>
  <c r="BT22" i="3" s="1"/>
  <c r="N23" i="3"/>
  <c r="BD23" i="3" s="1"/>
  <c r="R23" i="3"/>
  <c r="BH23" i="3" s="1"/>
  <c r="V23" i="3"/>
  <c r="Z23" i="3"/>
  <c r="BP23" i="3" s="1"/>
  <c r="AD23" i="3"/>
  <c r="BT23" i="3" s="1"/>
  <c r="N24" i="3"/>
  <c r="BD24" i="3" s="1"/>
  <c r="R24" i="3"/>
  <c r="BH24" i="3" s="1"/>
  <c r="V24" i="3"/>
  <c r="Z24" i="3"/>
  <c r="BP24" i="3" s="1"/>
  <c r="AD24" i="3"/>
  <c r="BT24" i="3" s="1"/>
  <c r="N25" i="3"/>
  <c r="BD25" i="3" s="1"/>
  <c r="R25" i="3"/>
  <c r="BH25" i="3" s="1"/>
  <c r="V25" i="3"/>
  <c r="Z25" i="3"/>
  <c r="BP25" i="3" s="1"/>
  <c r="AD25" i="3"/>
  <c r="BT25" i="3" s="1"/>
  <c r="N26" i="3"/>
  <c r="BD26" i="3" s="1"/>
  <c r="R26" i="3"/>
  <c r="BH26" i="3" s="1"/>
  <c r="V26" i="3"/>
  <c r="Z26" i="3"/>
  <c r="BP26" i="3" s="1"/>
  <c r="AD26" i="3"/>
  <c r="BT26" i="3" s="1"/>
  <c r="N27" i="3"/>
  <c r="BD27" i="3" s="1"/>
  <c r="R27" i="3"/>
  <c r="BH27" i="3" s="1"/>
  <c r="V27" i="3"/>
  <c r="Z27" i="3"/>
  <c r="BP27" i="3" s="1"/>
  <c r="AD27" i="3"/>
  <c r="BT27" i="3" s="1"/>
  <c r="N28" i="3"/>
  <c r="BD28" i="3" s="1"/>
  <c r="R28" i="3"/>
  <c r="BH28" i="3" s="1"/>
  <c r="BO36" i="2"/>
  <c r="X36" i="2"/>
  <c r="BP36" i="2" s="1"/>
  <c r="T36" i="2"/>
  <c r="BL36" i="2" s="1"/>
  <c r="U36" i="2"/>
  <c r="BM36" i="2" s="1"/>
  <c r="V36" i="2"/>
  <c r="BN36" i="2" s="1"/>
  <c r="BV35" i="2"/>
  <c r="N36" i="2"/>
  <c r="BF36" i="2" s="1"/>
  <c r="BV37" i="2"/>
  <c r="BV39" i="2"/>
  <c r="N40" i="2"/>
  <c r="BF40" i="2" s="1"/>
  <c r="BJ41" i="2"/>
  <c r="BV41" i="2"/>
  <c r="BJ42" i="2"/>
  <c r="BV42" i="2"/>
  <c r="Q35" i="2"/>
  <c r="BI35" i="2" s="1"/>
  <c r="Y35" i="2"/>
  <c r="BQ35" i="2" s="1"/>
  <c r="AC35" i="2"/>
  <c r="BU35" i="2" s="1"/>
  <c r="AG35" i="2"/>
  <c r="BY35" i="2" s="1"/>
  <c r="Q36" i="2"/>
  <c r="BI36" i="2" s="1"/>
  <c r="Y36" i="2"/>
  <c r="BQ36" i="2" s="1"/>
  <c r="AC36" i="2"/>
  <c r="BU36" i="2" s="1"/>
  <c r="AG36" i="2"/>
  <c r="BY36" i="2" s="1"/>
  <c r="Q37" i="2"/>
  <c r="BI37" i="2" s="1"/>
  <c r="Y37" i="2"/>
  <c r="BQ37" i="2" s="1"/>
  <c r="AC37" i="2"/>
  <c r="BU37" i="2" s="1"/>
  <c r="AG37" i="2"/>
  <c r="BY37" i="2" s="1"/>
  <c r="Q38" i="2"/>
  <c r="BI38" i="2" s="1"/>
  <c r="Y38" i="2"/>
  <c r="BQ38" i="2" s="1"/>
  <c r="AC38" i="2"/>
  <c r="BU38" i="2" s="1"/>
  <c r="AG38" i="2"/>
  <c r="BY38" i="2" s="1"/>
  <c r="Q39" i="2"/>
  <c r="BI39" i="2" s="1"/>
  <c r="Y39" i="2"/>
  <c r="BQ39" i="2" s="1"/>
  <c r="AC39" i="2"/>
  <c r="BU39" i="2" s="1"/>
  <c r="AG39" i="2"/>
  <c r="BY39" i="2" s="1"/>
  <c r="Q40" i="2"/>
  <c r="BI40" i="2" s="1"/>
  <c r="Y40" i="2"/>
  <c r="BQ40" i="2" s="1"/>
  <c r="AC40" i="2"/>
  <c r="BU40" i="2" s="1"/>
  <c r="AG40" i="2"/>
  <c r="BY40" i="2" s="1"/>
  <c r="Q41" i="2"/>
  <c r="BI41" i="2" s="1"/>
  <c r="Y41" i="2"/>
  <c r="BQ41" i="2" s="1"/>
  <c r="AC41" i="2"/>
  <c r="BU41" i="2" s="1"/>
  <c r="AG41" i="2"/>
  <c r="BY41" i="2" s="1"/>
  <c r="Q42" i="2"/>
  <c r="BI42" i="2" s="1"/>
  <c r="Y42" i="2"/>
  <c r="BQ42" i="2" s="1"/>
  <c r="AC42" i="2"/>
  <c r="BU42" i="2" s="1"/>
  <c r="AG42" i="2"/>
  <c r="BY42" i="2" s="1"/>
  <c r="Z36" i="2"/>
  <c r="BR36" i="2" s="1"/>
  <c r="BJ36" i="2"/>
  <c r="BJ37" i="2"/>
  <c r="N38" i="2"/>
  <c r="BF38" i="2" s="1"/>
  <c r="Z39" i="2"/>
  <c r="BR39" i="2" s="1"/>
  <c r="BJ39" i="2"/>
  <c r="Z42" i="2"/>
  <c r="BR42" i="2" s="1"/>
  <c r="P35" i="2"/>
  <c r="BH35" i="2" s="1"/>
  <c r="AB35" i="2"/>
  <c r="BT35" i="2" s="1"/>
  <c r="AF35" i="2"/>
  <c r="BX35" i="2" s="1"/>
  <c r="P36" i="2"/>
  <c r="BH36" i="2" s="1"/>
  <c r="AB36" i="2"/>
  <c r="BT36" i="2" s="1"/>
  <c r="AF36" i="2"/>
  <c r="BX36" i="2" s="1"/>
  <c r="P37" i="2"/>
  <c r="BH37" i="2" s="1"/>
  <c r="AB37" i="2"/>
  <c r="BT37" i="2" s="1"/>
  <c r="AF37" i="2"/>
  <c r="BX37" i="2" s="1"/>
  <c r="P38" i="2"/>
  <c r="BH38" i="2" s="1"/>
  <c r="AB38" i="2"/>
  <c r="BT38" i="2" s="1"/>
  <c r="AF38" i="2"/>
  <c r="BX38" i="2" s="1"/>
  <c r="P39" i="2"/>
  <c r="BH39" i="2" s="1"/>
  <c r="AB39" i="2"/>
  <c r="BT39" i="2" s="1"/>
  <c r="AF39" i="2"/>
  <c r="BX39" i="2" s="1"/>
  <c r="P40" i="2"/>
  <c r="BH40" i="2" s="1"/>
  <c r="AB40" i="2"/>
  <c r="BT40" i="2" s="1"/>
  <c r="AF40" i="2"/>
  <c r="BX40" i="2" s="1"/>
  <c r="P41" i="2"/>
  <c r="BH41" i="2" s="1"/>
  <c r="AB41" i="2"/>
  <c r="BT41" i="2" s="1"/>
  <c r="AF41" i="2"/>
  <c r="BX41" i="2" s="1"/>
  <c r="P42" i="2"/>
  <c r="BH42" i="2" s="1"/>
  <c r="AB42" i="2"/>
  <c r="BT42" i="2" s="1"/>
  <c r="AF42" i="2"/>
  <c r="BX42" i="2" s="1"/>
  <c r="O35" i="2"/>
  <c r="BG35" i="2" s="1"/>
  <c r="S35" i="2"/>
  <c r="BK35" i="2" s="1"/>
  <c r="AA35" i="2"/>
  <c r="BS35" i="2" s="1"/>
  <c r="AE35" i="2"/>
  <c r="BW35" i="2" s="1"/>
  <c r="O36" i="2"/>
  <c r="BG36" i="2" s="1"/>
  <c r="S36" i="2"/>
  <c r="BK36" i="2" s="1"/>
  <c r="AA36" i="2"/>
  <c r="BS36" i="2" s="1"/>
  <c r="AE36" i="2"/>
  <c r="BW36" i="2" s="1"/>
  <c r="O37" i="2"/>
  <c r="BG37" i="2" s="1"/>
  <c r="S37" i="2"/>
  <c r="BK37" i="2" s="1"/>
  <c r="AA37" i="2"/>
  <c r="BS37" i="2" s="1"/>
  <c r="AE37" i="2"/>
  <c r="BW37" i="2" s="1"/>
  <c r="O38" i="2"/>
  <c r="BG38" i="2" s="1"/>
  <c r="S38" i="2"/>
  <c r="BK38" i="2" s="1"/>
  <c r="AA38" i="2"/>
  <c r="BS38" i="2" s="1"/>
  <c r="AE38" i="2"/>
  <c r="BW38" i="2" s="1"/>
  <c r="O39" i="2"/>
  <c r="BG39" i="2" s="1"/>
  <c r="BK39" i="2"/>
  <c r="AA39" i="2"/>
  <c r="BS39" i="2" s="1"/>
  <c r="O40" i="2"/>
  <c r="BG40" i="2" s="1"/>
  <c r="S40" i="2"/>
  <c r="BK40" i="2" s="1"/>
  <c r="AA40" i="2"/>
  <c r="BS40" i="2" s="1"/>
  <c r="AE40" i="2"/>
  <c r="BW40" i="2" s="1"/>
  <c r="O41" i="2"/>
  <c r="BG41" i="2" s="1"/>
  <c r="S41" i="2"/>
  <c r="BK41" i="2" s="1"/>
  <c r="AA41" i="2"/>
  <c r="BS41" i="2" s="1"/>
  <c r="AE41" i="2"/>
  <c r="BW41" i="2" s="1"/>
  <c r="O42" i="2"/>
  <c r="BG42" i="2" s="1"/>
  <c r="S42" i="2"/>
  <c r="BK42" i="2" s="1"/>
  <c r="AA42" i="2"/>
  <c r="BS42" i="2" s="1"/>
  <c r="N35" i="2"/>
  <c r="BF35" i="2" s="1"/>
  <c r="Z38" i="2"/>
  <c r="BR38" i="2" s="1"/>
  <c r="Z40" i="2"/>
  <c r="BR40" i="2" s="1"/>
  <c r="O21" i="2"/>
  <c r="BG21" i="2" s="1"/>
  <c r="S21" i="2"/>
  <c r="BK21" i="2" s="1"/>
  <c r="AA21" i="2"/>
  <c r="BS21" i="2" s="1"/>
  <c r="AE21" i="2"/>
  <c r="BW21" i="2" s="1"/>
  <c r="O22" i="2"/>
  <c r="BG22" i="2" s="1"/>
  <c r="S22" i="2"/>
  <c r="BK22" i="2" s="1"/>
  <c r="W22" i="2"/>
  <c r="AA22" i="2"/>
  <c r="BS22" i="2" s="1"/>
  <c r="AE22" i="2"/>
  <c r="BW22" i="2" s="1"/>
  <c r="O23" i="2"/>
  <c r="BG23" i="2" s="1"/>
  <c r="S23" i="2"/>
  <c r="BK23" i="2" s="1"/>
  <c r="AA23" i="2"/>
  <c r="BS23" i="2" s="1"/>
  <c r="AE23" i="2"/>
  <c r="BW23" i="2" s="1"/>
  <c r="O24" i="2"/>
  <c r="BG24" i="2" s="1"/>
  <c r="S24" i="2"/>
  <c r="BK24" i="2" s="1"/>
  <c r="AA24" i="2"/>
  <c r="BS24" i="2" s="1"/>
  <c r="AE24" i="2"/>
  <c r="BW24" i="2" s="1"/>
  <c r="O25" i="2"/>
  <c r="BG25" i="2" s="1"/>
  <c r="S25" i="2"/>
  <c r="BK25" i="2" s="1"/>
  <c r="AA25" i="2"/>
  <c r="BS25" i="2" s="1"/>
  <c r="AE25" i="2"/>
  <c r="BW25" i="2" s="1"/>
  <c r="O26" i="2"/>
  <c r="BG26" i="2" s="1"/>
  <c r="S26" i="2"/>
  <c r="BK26" i="2" s="1"/>
  <c r="AA26" i="2"/>
  <c r="BS26" i="2" s="1"/>
  <c r="AE26" i="2"/>
  <c r="BW26" i="2" s="1"/>
  <c r="O27" i="2"/>
  <c r="BG27" i="2" s="1"/>
  <c r="S27" i="2"/>
  <c r="BK27" i="2" s="1"/>
  <c r="AA27" i="2"/>
  <c r="BS27" i="2" s="1"/>
  <c r="AE27" i="2"/>
  <c r="BW27" i="2" s="1"/>
  <c r="O28" i="2"/>
  <c r="BG28" i="2" s="1"/>
  <c r="S28" i="2"/>
  <c r="BK28" i="2" s="1"/>
  <c r="AA28" i="2"/>
  <c r="BS28" i="2" s="1"/>
  <c r="AE28" i="2"/>
  <c r="BW28" i="2" s="1"/>
  <c r="V7" i="2"/>
  <c r="BN7" i="2" s="1"/>
  <c r="BO7" i="2"/>
  <c r="X7" i="2"/>
  <c r="BP7" i="2" s="1"/>
  <c r="T7" i="2"/>
  <c r="BL7" i="2" s="1"/>
  <c r="U7" i="2"/>
  <c r="BM7" i="2" s="1"/>
  <c r="BO8" i="2"/>
  <c r="X8" i="2"/>
  <c r="BP8" i="2" s="1"/>
  <c r="T8" i="2"/>
  <c r="BL8" i="2" s="1"/>
  <c r="V8" i="2"/>
  <c r="BN8" i="2" s="1"/>
  <c r="U8" i="2"/>
  <c r="BM8" i="2" s="1"/>
  <c r="BO9" i="2"/>
  <c r="X9" i="2"/>
  <c r="BP9" i="2" s="1"/>
  <c r="T9" i="2"/>
  <c r="BL9" i="2" s="1"/>
  <c r="U9" i="2"/>
  <c r="BM9" i="2" s="1"/>
  <c r="V9" i="2"/>
  <c r="BN9" i="2" s="1"/>
  <c r="Z8" i="2"/>
  <c r="BR8" i="2" s="1"/>
  <c r="BV8" i="2"/>
  <c r="N9" i="2"/>
  <c r="BF9" i="2" s="1"/>
  <c r="N10" i="2"/>
  <c r="BF10" i="2" s="1"/>
  <c r="Q7" i="2"/>
  <c r="BI7" i="2" s="1"/>
  <c r="Y7" i="2"/>
  <c r="BQ7" i="2" s="1"/>
  <c r="AC7" i="2"/>
  <c r="BU7" i="2" s="1"/>
  <c r="AG7" i="2"/>
  <c r="BY7" i="2" s="1"/>
  <c r="Q8" i="2"/>
  <c r="BI8" i="2" s="1"/>
  <c r="Y8" i="2"/>
  <c r="BQ8" i="2" s="1"/>
  <c r="AC8" i="2"/>
  <c r="BU8" i="2" s="1"/>
  <c r="AG8" i="2"/>
  <c r="BY8" i="2" s="1"/>
  <c r="Q9" i="2"/>
  <c r="BI9" i="2" s="1"/>
  <c r="Y9" i="2"/>
  <c r="BQ9" i="2" s="1"/>
  <c r="AC9" i="2"/>
  <c r="BU9" i="2" s="1"/>
  <c r="AG9" i="2"/>
  <c r="BY9" i="2" s="1"/>
  <c r="Q10" i="2"/>
  <c r="BI10" i="2" s="1"/>
  <c r="Y10" i="2"/>
  <c r="BQ10" i="2" s="1"/>
  <c r="AC10" i="2"/>
  <c r="BU10" i="2" s="1"/>
  <c r="AG10" i="2"/>
  <c r="BY10" i="2" s="1"/>
  <c r="Q11" i="2"/>
  <c r="BI11" i="2" s="1"/>
  <c r="Y11" i="2"/>
  <c r="BQ11" i="2" s="1"/>
  <c r="AC11" i="2"/>
  <c r="BU11" i="2" s="1"/>
  <c r="AG11" i="2"/>
  <c r="BY11" i="2" s="1"/>
  <c r="Q12" i="2"/>
  <c r="BI12" i="2" s="1"/>
  <c r="Y12" i="2"/>
  <c r="BQ12" i="2" s="1"/>
  <c r="AC12" i="2"/>
  <c r="BU12" i="2" s="1"/>
  <c r="AG12" i="2"/>
  <c r="BY12" i="2" s="1"/>
  <c r="Q13" i="2"/>
  <c r="BI13" i="2" s="1"/>
  <c r="Y13" i="2"/>
  <c r="BQ13" i="2" s="1"/>
  <c r="AC13" i="2"/>
  <c r="BU13" i="2" s="1"/>
  <c r="AG13" i="2"/>
  <c r="BY13" i="2" s="1"/>
  <c r="Q14" i="2"/>
  <c r="BI14" i="2" s="1"/>
  <c r="Y14" i="2"/>
  <c r="BQ14" i="2" s="1"/>
  <c r="AC14" i="2"/>
  <c r="BU14" i="2" s="1"/>
  <c r="AG14" i="2"/>
  <c r="BY14" i="2" s="1"/>
  <c r="N7" i="2"/>
  <c r="BF7" i="2" s="1"/>
  <c r="BJ7" i="2"/>
  <c r="BV7" i="2"/>
  <c r="N8" i="2"/>
  <c r="BF8" i="2" s="1"/>
  <c r="BJ8" i="2"/>
  <c r="Z10" i="2"/>
  <c r="BR10" i="2" s="1"/>
  <c r="BV10" i="2"/>
  <c r="P7" i="2"/>
  <c r="BH7" i="2" s="1"/>
  <c r="AB7" i="2"/>
  <c r="BT7" i="2" s="1"/>
  <c r="AF7" i="2"/>
  <c r="BX7" i="2" s="1"/>
  <c r="P8" i="2"/>
  <c r="BH8" i="2" s="1"/>
  <c r="AB8" i="2"/>
  <c r="BT8" i="2" s="1"/>
  <c r="AF8" i="2"/>
  <c r="BX8" i="2" s="1"/>
  <c r="P9" i="2"/>
  <c r="BH9" i="2" s="1"/>
  <c r="AB9" i="2"/>
  <c r="BT9" i="2" s="1"/>
  <c r="AF9" i="2"/>
  <c r="BX9" i="2" s="1"/>
  <c r="P10" i="2"/>
  <c r="BH10" i="2" s="1"/>
  <c r="AB10" i="2"/>
  <c r="BT10" i="2" s="1"/>
  <c r="AF10" i="2"/>
  <c r="BX10" i="2" s="1"/>
  <c r="P11" i="2"/>
  <c r="BH11" i="2" s="1"/>
  <c r="AB11" i="2"/>
  <c r="BT11" i="2" s="1"/>
  <c r="AF11" i="2"/>
  <c r="BX11" i="2" s="1"/>
  <c r="P12" i="2"/>
  <c r="BH12" i="2" s="1"/>
  <c r="AB12" i="2"/>
  <c r="BT12" i="2" s="1"/>
  <c r="AF12" i="2"/>
  <c r="BX12" i="2" s="1"/>
  <c r="P13" i="2"/>
  <c r="BH13" i="2" s="1"/>
  <c r="AB13" i="2"/>
  <c r="BT13" i="2" s="1"/>
  <c r="AF13" i="2"/>
  <c r="BX13" i="2" s="1"/>
  <c r="P14" i="2"/>
  <c r="BH14" i="2" s="1"/>
  <c r="AB14" i="2"/>
  <c r="BT14" i="2" s="1"/>
  <c r="AF14" i="2"/>
  <c r="BX14" i="2" s="1"/>
  <c r="Z9" i="2"/>
  <c r="BR9" i="2" s="1"/>
  <c r="BJ9" i="2"/>
  <c r="BV9" i="2"/>
  <c r="O7" i="2"/>
  <c r="BG7" i="2" s="1"/>
  <c r="S7" i="2"/>
  <c r="BK7" i="2" s="1"/>
  <c r="AA7" i="2"/>
  <c r="BS7" i="2" s="1"/>
  <c r="AE7" i="2"/>
  <c r="BW7" i="2" s="1"/>
  <c r="O8" i="2"/>
  <c r="BG8" i="2" s="1"/>
  <c r="S8" i="2"/>
  <c r="BK8" i="2" s="1"/>
  <c r="AA8" i="2"/>
  <c r="BS8" i="2" s="1"/>
  <c r="O9" i="2"/>
  <c r="BG9" i="2" s="1"/>
  <c r="S9" i="2"/>
  <c r="BK9" i="2" s="1"/>
  <c r="AA9" i="2"/>
  <c r="BS9" i="2" s="1"/>
  <c r="O10" i="2"/>
  <c r="BG10" i="2" s="1"/>
  <c r="S10" i="2"/>
  <c r="BK10" i="2" s="1"/>
  <c r="W10" i="2"/>
  <c r="AA10" i="2"/>
  <c r="BS10" i="2" s="1"/>
  <c r="O11" i="2"/>
  <c r="BG11" i="2" s="1"/>
  <c r="S11" i="2"/>
  <c r="BK11" i="2" s="1"/>
  <c r="AA11" i="2"/>
  <c r="BS11" i="2" s="1"/>
  <c r="AE11" i="2"/>
  <c r="BW11" i="2" s="1"/>
  <c r="O12" i="2"/>
  <c r="BG12" i="2" s="1"/>
  <c r="S12" i="2"/>
  <c r="BK12" i="2" s="1"/>
  <c r="AA12" i="2"/>
  <c r="BS12" i="2" s="1"/>
  <c r="AE12" i="2"/>
  <c r="BW12" i="2" s="1"/>
  <c r="O13" i="2"/>
  <c r="BG13" i="2" s="1"/>
  <c r="S13" i="2"/>
  <c r="BK13" i="2" s="1"/>
  <c r="AA13" i="2"/>
  <c r="BS13" i="2" s="1"/>
  <c r="AE13" i="2"/>
  <c r="BW13" i="2" s="1"/>
  <c r="O14" i="2"/>
  <c r="BG14" i="2" s="1"/>
  <c r="S14" i="2"/>
  <c r="BK14" i="2" s="1"/>
  <c r="AA14" i="2"/>
  <c r="BS14" i="2" s="1"/>
  <c r="AE14" i="2"/>
  <c r="BW14" i="2" s="1"/>
  <c r="U10" i="1"/>
  <c r="BI10" i="1" s="1"/>
  <c r="L10" i="1"/>
  <c r="AZ10" i="1" s="1"/>
  <c r="M10" i="1"/>
  <c r="BA10" i="1" s="1"/>
  <c r="BC10" i="1"/>
  <c r="T8" i="1"/>
  <c r="S8" i="1" s="1"/>
  <c r="BG8" i="1" s="1"/>
  <c r="L8" i="1"/>
  <c r="AZ8" i="1" s="1"/>
  <c r="M8" i="1"/>
  <c r="BA8" i="1" s="1"/>
  <c r="BC8" i="1"/>
  <c r="M11" i="1"/>
  <c r="BA11" i="1" s="1"/>
  <c r="BC11" i="1"/>
  <c r="L11" i="1"/>
  <c r="AZ11" i="1" s="1"/>
  <c r="T13" i="1"/>
  <c r="U13" i="1" s="1"/>
  <c r="BI13" i="1" s="1"/>
  <c r="M13" i="1"/>
  <c r="BA13" i="1" s="1"/>
  <c r="L13" i="1"/>
  <c r="AZ13" i="1" s="1"/>
  <c r="BC13" i="1"/>
  <c r="T7" i="1"/>
  <c r="M7" i="1"/>
  <c r="BA7" i="1" s="1"/>
  <c r="L7" i="1"/>
  <c r="AZ7" i="1" s="1"/>
  <c r="BC7" i="1"/>
  <c r="T9" i="1"/>
  <c r="BH9" i="1" s="1"/>
  <c r="M9" i="1"/>
  <c r="BA9" i="1" s="1"/>
  <c r="BC9" i="1"/>
  <c r="L9" i="1"/>
  <c r="AZ9" i="1" s="1"/>
  <c r="T12" i="1"/>
  <c r="BH12" i="1" s="1"/>
  <c r="L12" i="1"/>
  <c r="AZ12" i="1" s="1"/>
  <c r="BC12" i="1"/>
  <c r="M12" i="1"/>
  <c r="BA12" i="1" s="1"/>
  <c r="L14" i="1"/>
  <c r="AZ14" i="1" s="1"/>
  <c r="BC14" i="1"/>
  <c r="M14" i="1"/>
  <c r="BA14" i="1" s="1"/>
  <c r="T11" i="1"/>
  <c r="R7" i="1"/>
  <c r="BF7" i="1" s="1"/>
  <c r="S14" i="1"/>
  <c r="BG14" i="1" s="1"/>
  <c r="U12" i="1"/>
  <c r="BI12" i="1" s="1"/>
  <c r="R12" i="1"/>
  <c r="BF12" i="1" s="1"/>
  <c r="U14" i="1"/>
  <c r="BI14" i="1" s="1"/>
  <c r="R14" i="1"/>
  <c r="BF14" i="1" s="1"/>
  <c r="Q13" i="1"/>
  <c r="BE13" i="1" s="1"/>
  <c r="AA14" i="1"/>
  <c r="AA8" i="1"/>
  <c r="AA10" i="1"/>
  <c r="AA7" i="1"/>
  <c r="T10" i="4" l="1"/>
  <c r="BJ10" i="4" s="1"/>
  <c r="P13" i="5"/>
  <c r="BF13" i="5" s="1"/>
  <c r="BK24" i="10"/>
  <c r="S14" i="10"/>
  <c r="BI14" i="10" s="1"/>
  <c r="U9" i="1"/>
  <c r="BI9" i="1" s="1"/>
  <c r="S9" i="1"/>
  <c r="BG9" i="1" s="1"/>
  <c r="R13" i="1"/>
  <c r="BF13" i="1" s="1"/>
  <c r="Q9" i="1"/>
  <c r="BE9" i="1" s="1"/>
  <c r="Q12" i="1"/>
  <c r="BE12" i="1" s="1"/>
  <c r="S12" i="1"/>
  <c r="BG12" i="1" s="1"/>
  <c r="R9" i="1"/>
  <c r="BF9" i="1" s="1"/>
  <c r="S11" i="1"/>
  <c r="BG11" i="1" s="1"/>
  <c r="BH11" i="1"/>
  <c r="U8" i="1"/>
  <c r="BI8" i="1" s="1"/>
  <c r="BH8" i="1"/>
  <c r="Q7" i="1"/>
  <c r="BE7" i="1" s="1"/>
  <c r="BH7" i="1"/>
  <c r="S13" i="1"/>
  <c r="BG13" i="1" s="1"/>
  <c r="BH13" i="1"/>
  <c r="S22" i="4"/>
  <c r="BI22" i="4" s="1"/>
  <c r="W28" i="4"/>
  <c r="BM28" i="4" s="1"/>
  <c r="S28" i="4"/>
  <c r="BI28" i="4" s="1"/>
  <c r="W22" i="4"/>
  <c r="BM22" i="4" s="1"/>
  <c r="W23" i="4"/>
  <c r="BM23" i="4" s="1"/>
  <c r="BB21" i="8"/>
  <c r="BC7" i="3"/>
  <c r="BD9" i="3"/>
  <c r="BD8" i="3"/>
  <c r="BC9" i="3"/>
  <c r="BC8" i="3"/>
  <c r="BD7" i="3"/>
  <c r="BB22" i="8"/>
  <c r="U27" i="4"/>
  <c r="BK27" i="4" s="1"/>
  <c r="W27" i="4"/>
  <c r="BM27" i="4" s="1"/>
  <c r="S27" i="4"/>
  <c r="BI27" i="4" s="1"/>
  <c r="U25" i="4"/>
  <c r="BK25" i="4" s="1"/>
  <c r="W25" i="4"/>
  <c r="BM25" i="4" s="1"/>
  <c r="S25" i="4"/>
  <c r="BI25" i="4" s="1"/>
  <c r="U26" i="4"/>
  <c r="BK26" i="4" s="1"/>
  <c r="W26" i="4"/>
  <c r="BM26" i="4" s="1"/>
  <c r="S26" i="4"/>
  <c r="BI26" i="4" s="1"/>
  <c r="U24" i="4"/>
  <c r="BK24" i="4" s="1"/>
  <c r="W24" i="4"/>
  <c r="BM24" i="4" s="1"/>
  <c r="S24" i="4"/>
  <c r="BI24" i="4" s="1"/>
  <c r="U11" i="4"/>
  <c r="BK11" i="4" s="1"/>
  <c r="W11" i="4"/>
  <c r="BM11" i="4" s="1"/>
  <c r="S11" i="4"/>
  <c r="BI11" i="4" s="1"/>
  <c r="U9" i="4"/>
  <c r="BK9" i="4" s="1"/>
  <c r="W9" i="4"/>
  <c r="BM9" i="4" s="1"/>
  <c r="S9" i="4"/>
  <c r="BI9" i="4" s="1"/>
  <c r="U7" i="4"/>
  <c r="BK7" i="4" s="1"/>
  <c r="W7" i="4"/>
  <c r="BM7" i="4" s="1"/>
  <c r="S7" i="4"/>
  <c r="BI7" i="4" s="1"/>
  <c r="U14" i="4"/>
  <c r="BK14" i="4" s="1"/>
  <c r="W14" i="4"/>
  <c r="BM14" i="4" s="1"/>
  <c r="S14" i="4"/>
  <c r="BI14" i="4" s="1"/>
  <c r="U12" i="4"/>
  <c r="BK12" i="4" s="1"/>
  <c r="W12" i="4"/>
  <c r="BM12" i="4" s="1"/>
  <c r="S12" i="4"/>
  <c r="BI12" i="4" s="1"/>
  <c r="U10" i="4"/>
  <c r="BK10" i="4" s="1"/>
  <c r="S10" i="4"/>
  <c r="BI10" i="4" s="1"/>
  <c r="W10" i="4"/>
  <c r="BM10" i="4" s="1"/>
  <c r="U8" i="4"/>
  <c r="BK8" i="4" s="1"/>
  <c r="W8" i="4"/>
  <c r="BM8" i="4" s="1"/>
  <c r="S8" i="4"/>
  <c r="BI8" i="4" s="1"/>
  <c r="BL14" i="4"/>
  <c r="T11" i="4"/>
  <c r="BJ11" i="4" s="1"/>
  <c r="T9" i="4"/>
  <c r="BJ9" i="4" s="1"/>
  <c r="T7" i="4"/>
  <c r="BJ7" i="4" s="1"/>
  <c r="U35" i="13"/>
  <c r="BM35" i="13" s="1"/>
  <c r="T28" i="10"/>
  <c r="BJ28" i="10" s="1"/>
  <c r="V28" i="10"/>
  <c r="BL28" i="10" s="1"/>
  <c r="R28" i="10"/>
  <c r="BH28" i="10" s="1"/>
  <c r="T26" i="10"/>
  <c r="BJ26" i="10" s="1"/>
  <c r="V26" i="10"/>
  <c r="BL26" i="10" s="1"/>
  <c r="R26" i="10"/>
  <c r="BH26" i="10" s="1"/>
  <c r="T24" i="10"/>
  <c r="BJ24" i="10" s="1"/>
  <c r="V24" i="10"/>
  <c r="BL24" i="10" s="1"/>
  <c r="R24" i="10"/>
  <c r="BH24" i="10" s="1"/>
  <c r="T22" i="10"/>
  <c r="BJ22" i="10" s="1"/>
  <c r="V22" i="10"/>
  <c r="BL22" i="10" s="1"/>
  <c r="R22" i="10"/>
  <c r="BH22" i="10" s="1"/>
  <c r="T14" i="10"/>
  <c r="BJ14" i="10" s="1"/>
  <c r="V14" i="10"/>
  <c r="BL14" i="10" s="1"/>
  <c r="R14" i="10"/>
  <c r="BH14" i="10" s="1"/>
  <c r="T27" i="10"/>
  <c r="BJ27" i="10" s="1"/>
  <c r="V27" i="10"/>
  <c r="BL27" i="10" s="1"/>
  <c r="R27" i="10"/>
  <c r="BH27" i="10" s="1"/>
  <c r="T25" i="10"/>
  <c r="BJ25" i="10" s="1"/>
  <c r="V25" i="10"/>
  <c r="BL25" i="10" s="1"/>
  <c r="R25" i="10"/>
  <c r="BH25" i="10" s="1"/>
  <c r="T23" i="10"/>
  <c r="BJ23" i="10" s="1"/>
  <c r="V23" i="10"/>
  <c r="BL23" i="10" s="1"/>
  <c r="R23" i="10"/>
  <c r="BH23" i="10" s="1"/>
  <c r="T21" i="10"/>
  <c r="BJ21" i="10" s="1"/>
  <c r="V21" i="10"/>
  <c r="BL21" i="10" s="1"/>
  <c r="R21" i="10"/>
  <c r="BH21" i="10" s="1"/>
  <c r="T13" i="10"/>
  <c r="BJ13" i="10" s="1"/>
  <c r="V13" i="10"/>
  <c r="BL13" i="10" s="1"/>
  <c r="R13" i="10"/>
  <c r="BH13" i="10" s="1"/>
  <c r="P24" i="5"/>
  <c r="BF24" i="5" s="1"/>
  <c r="P22" i="5"/>
  <c r="BF22" i="5" s="1"/>
  <c r="Q24" i="5"/>
  <c r="BG24" i="5" s="1"/>
  <c r="Q22" i="5"/>
  <c r="BG22" i="5" s="1"/>
  <c r="Q21" i="2"/>
  <c r="BI21" i="2" s="1"/>
  <c r="P21" i="2"/>
  <c r="BH21" i="2" s="1"/>
  <c r="P21" i="5"/>
  <c r="BF21" i="5" s="1"/>
  <c r="BI21" i="5"/>
  <c r="BI13" i="5"/>
  <c r="T13" i="5"/>
  <c r="BJ13" i="5" s="1"/>
  <c r="Q21" i="5"/>
  <c r="BG21" i="5" s="1"/>
  <c r="Q13" i="5"/>
  <c r="BG13" i="5" s="1"/>
  <c r="Q12" i="5"/>
  <c r="BG12" i="5" s="1"/>
  <c r="Q11" i="5"/>
  <c r="BG11" i="5" s="1"/>
  <c r="R9" i="5"/>
  <c r="BH9" i="5" s="1"/>
  <c r="Q9" i="5"/>
  <c r="BG9" i="5" s="1"/>
  <c r="R7" i="5"/>
  <c r="BH7" i="5" s="1"/>
  <c r="Q7" i="5"/>
  <c r="BG7" i="5" s="1"/>
  <c r="R27" i="5"/>
  <c r="BH27" i="5" s="1"/>
  <c r="Q27" i="5"/>
  <c r="BG27" i="5" s="1"/>
  <c r="R8" i="5"/>
  <c r="BH8" i="5" s="1"/>
  <c r="Q8" i="5"/>
  <c r="BG8" i="5" s="1"/>
  <c r="BO42" i="13"/>
  <c r="BO41" i="13"/>
  <c r="BO37" i="13"/>
  <c r="BO40" i="13"/>
  <c r="Q14" i="1"/>
  <c r="BE14" i="1" s="1"/>
  <c r="BH14" i="1"/>
  <c r="BO39" i="13"/>
  <c r="X36" i="13"/>
  <c r="BP36" i="13" s="1"/>
  <c r="BO36" i="13"/>
  <c r="U36" i="13"/>
  <c r="BM36" i="13" s="1"/>
  <c r="T36" i="13"/>
  <c r="BL36" i="13" s="1"/>
  <c r="V39" i="13"/>
  <c r="BN39" i="13" s="1"/>
  <c r="T39" i="13"/>
  <c r="BL39" i="13" s="1"/>
  <c r="X39" i="13"/>
  <c r="BP39" i="13" s="1"/>
  <c r="V42" i="13"/>
  <c r="BN42" i="13" s="1"/>
  <c r="X42" i="13"/>
  <c r="BP42" i="13" s="1"/>
  <c r="T42" i="13"/>
  <c r="BL42" i="13" s="1"/>
  <c r="V37" i="13"/>
  <c r="BN37" i="13" s="1"/>
  <c r="T37" i="13"/>
  <c r="BL37" i="13" s="1"/>
  <c r="X37" i="13"/>
  <c r="BP37" i="13" s="1"/>
  <c r="V40" i="13"/>
  <c r="BN40" i="13" s="1"/>
  <c r="X40" i="13"/>
  <c r="BP40" i="13" s="1"/>
  <c r="T40" i="13"/>
  <c r="BL40" i="13" s="1"/>
  <c r="V38" i="13"/>
  <c r="BN38" i="13" s="1"/>
  <c r="X38" i="13"/>
  <c r="BP38" i="13" s="1"/>
  <c r="T38" i="13"/>
  <c r="BL38" i="13" s="1"/>
  <c r="V35" i="13"/>
  <c r="BN35" i="13" s="1"/>
  <c r="T35" i="13"/>
  <c r="BL35" i="13" s="1"/>
  <c r="X35" i="13"/>
  <c r="BP35" i="13" s="1"/>
  <c r="V41" i="13"/>
  <c r="BN41" i="13" s="1"/>
  <c r="T41" i="13"/>
  <c r="BL41" i="13" s="1"/>
  <c r="X41" i="13"/>
  <c r="BP41" i="13" s="1"/>
  <c r="R22" i="12"/>
  <c r="BH22" i="12" s="1"/>
  <c r="BJ28" i="12"/>
  <c r="U21" i="12"/>
  <c r="BK21" i="12" s="1"/>
  <c r="BJ9" i="12"/>
  <c r="BJ8" i="12"/>
  <c r="BJ13" i="12"/>
  <c r="R12" i="12"/>
  <c r="BH12" i="12" s="1"/>
  <c r="Q27" i="12"/>
  <c r="BG27" i="12" s="1"/>
  <c r="Q23" i="12"/>
  <c r="BG23" i="12" s="1"/>
  <c r="U27" i="12"/>
  <c r="BK27" i="12" s="1"/>
  <c r="BJ27" i="12"/>
  <c r="BJ23" i="12"/>
  <c r="Q21" i="12"/>
  <c r="BG21" i="12" s="1"/>
  <c r="BJ7" i="12"/>
  <c r="V28" i="13"/>
  <c r="BN28" i="13" s="1"/>
  <c r="BO28" i="13"/>
  <c r="X28" i="13"/>
  <c r="BP28" i="13" s="1"/>
  <c r="T28" i="13"/>
  <c r="BL28" i="13" s="1"/>
  <c r="U28" i="13"/>
  <c r="BM28" i="13" s="1"/>
  <c r="V24" i="13"/>
  <c r="BN24" i="13" s="1"/>
  <c r="BO24" i="13"/>
  <c r="X24" i="13"/>
  <c r="BP24" i="13" s="1"/>
  <c r="T24" i="13"/>
  <c r="BL24" i="13" s="1"/>
  <c r="U24" i="13"/>
  <c r="BM24" i="13" s="1"/>
  <c r="V14" i="13"/>
  <c r="BN14" i="13" s="1"/>
  <c r="BO14" i="13"/>
  <c r="X14" i="13"/>
  <c r="BP14" i="13" s="1"/>
  <c r="T14" i="13"/>
  <c r="BL14" i="13" s="1"/>
  <c r="U14" i="13"/>
  <c r="BM14" i="13" s="1"/>
  <c r="V10" i="13"/>
  <c r="BN10" i="13" s="1"/>
  <c r="BO10" i="13"/>
  <c r="X10" i="13"/>
  <c r="BP10" i="13" s="1"/>
  <c r="T10" i="13"/>
  <c r="BL10" i="13" s="1"/>
  <c r="U10" i="13"/>
  <c r="BM10" i="13" s="1"/>
  <c r="V11" i="13"/>
  <c r="BN11" i="13" s="1"/>
  <c r="BO11" i="13"/>
  <c r="X11" i="13"/>
  <c r="BP11" i="13" s="1"/>
  <c r="T11" i="13"/>
  <c r="BL11" i="13" s="1"/>
  <c r="U11" i="13"/>
  <c r="BM11" i="13" s="1"/>
  <c r="V26" i="13"/>
  <c r="BN26" i="13" s="1"/>
  <c r="BO26" i="13"/>
  <c r="X26" i="13"/>
  <c r="BP26" i="13" s="1"/>
  <c r="T26" i="13"/>
  <c r="BL26" i="13" s="1"/>
  <c r="U26" i="13"/>
  <c r="BM26" i="13" s="1"/>
  <c r="V22" i="13"/>
  <c r="BN22" i="13" s="1"/>
  <c r="BO22" i="13"/>
  <c r="X22" i="13"/>
  <c r="BP22" i="13" s="1"/>
  <c r="T22" i="13"/>
  <c r="BL22" i="13" s="1"/>
  <c r="U22" i="13"/>
  <c r="BM22" i="13" s="1"/>
  <c r="V12" i="13"/>
  <c r="BN12" i="13" s="1"/>
  <c r="BO12" i="13"/>
  <c r="X12" i="13"/>
  <c r="BP12" i="13" s="1"/>
  <c r="T12" i="13"/>
  <c r="BL12" i="13" s="1"/>
  <c r="U12" i="13"/>
  <c r="BM12" i="13" s="1"/>
  <c r="V8" i="13"/>
  <c r="BN8" i="13" s="1"/>
  <c r="BO8" i="13"/>
  <c r="X8" i="13"/>
  <c r="BP8" i="13" s="1"/>
  <c r="T8" i="13"/>
  <c r="BL8" i="13" s="1"/>
  <c r="U8" i="13"/>
  <c r="BM8" i="13" s="1"/>
  <c r="V25" i="13"/>
  <c r="BN25" i="13" s="1"/>
  <c r="BO25" i="13"/>
  <c r="X25" i="13"/>
  <c r="BP25" i="13" s="1"/>
  <c r="T25" i="13"/>
  <c r="BL25" i="13" s="1"/>
  <c r="U25" i="13"/>
  <c r="BM25" i="13" s="1"/>
  <c r="V21" i="13"/>
  <c r="BN21" i="13" s="1"/>
  <c r="BO21" i="13"/>
  <c r="X21" i="13"/>
  <c r="BP21" i="13" s="1"/>
  <c r="T21" i="13"/>
  <c r="BL21" i="13" s="1"/>
  <c r="U21" i="13"/>
  <c r="BM21" i="13" s="1"/>
  <c r="V7" i="13"/>
  <c r="BN7" i="13" s="1"/>
  <c r="BO7" i="13"/>
  <c r="X7" i="13"/>
  <c r="BP7" i="13" s="1"/>
  <c r="T7" i="13"/>
  <c r="BL7" i="13" s="1"/>
  <c r="U7" i="13"/>
  <c r="BM7" i="13" s="1"/>
  <c r="V27" i="13"/>
  <c r="BN27" i="13" s="1"/>
  <c r="BO27" i="13"/>
  <c r="X27" i="13"/>
  <c r="BP27" i="13" s="1"/>
  <c r="T27" i="13"/>
  <c r="BL27" i="13" s="1"/>
  <c r="U27" i="13"/>
  <c r="BM27" i="13" s="1"/>
  <c r="V23" i="13"/>
  <c r="BN23" i="13" s="1"/>
  <c r="BO23" i="13"/>
  <c r="X23" i="13"/>
  <c r="BP23" i="13" s="1"/>
  <c r="T23" i="13"/>
  <c r="BL23" i="13" s="1"/>
  <c r="U23" i="13"/>
  <c r="BM23" i="13" s="1"/>
  <c r="V13" i="13"/>
  <c r="BN13" i="13" s="1"/>
  <c r="BO13" i="13"/>
  <c r="X13" i="13"/>
  <c r="BP13" i="13" s="1"/>
  <c r="T13" i="13"/>
  <c r="BL13" i="13" s="1"/>
  <c r="U13" i="13"/>
  <c r="BM13" i="13" s="1"/>
  <c r="V9" i="13"/>
  <c r="BN9" i="13" s="1"/>
  <c r="BO9" i="13"/>
  <c r="X9" i="13"/>
  <c r="BP9" i="13" s="1"/>
  <c r="T9" i="13"/>
  <c r="BL9" i="13" s="1"/>
  <c r="U9" i="13"/>
  <c r="BM9" i="13" s="1"/>
  <c r="U23" i="12"/>
  <c r="BK23" i="12" s="1"/>
  <c r="S14" i="12"/>
  <c r="BI14" i="12" s="1"/>
  <c r="Q14" i="12"/>
  <c r="BG14" i="12" s="1"/>
  <c r="S24" i="12"/>
  <c r="BI24" i="12" s="1"/>
  <c r="U24" i="12"/>
  <c r="BK24" i="12" s="1"/>
  <c r="Q24" i="12"/>
  <c r="BG24" i="12" s="1"/>
  <c r="S22" i="12"/>
  <c r="BI22" i="12" s="1"/>
  <c r="U22" i="12"/>
  <c r="BK22" i="12" s="1"/>
  <c r="Q22" i="12"/>
  <c r="BG22" i="12" s="1"/>
  <c r="S28" i="12"/>
  <c r="BI28" i="12" s="1"/>
  <c r="U28" i="12"/>
  <c r="BK28" i="12" s="1"/>
  <c r="Q28" i="12"/>
  <c r="BG28" i="12" s="1"/>
  <c r="S26" i="12"/>
  <c r="BI26" i="12" s="1"/>
  <c r="U26" i="12"/>
  <c r="BK26" i="12" s="1"/>
  <c r="Q26" i="12"/>
  <c r="BG26" i="12" s="1"/>
  <c r="S8" i="12"/>
  <c r="BI8" i="12" s="1"/>
  <c r="U8" i="12"/>
  <c r="BK8" i="12" s="1"/>
  <c r="Q8" i="12"/>
  <c r="BG8" i="12" s="1"/>
  <c r="S9" i="12"/>
  <c r="BI9" i="12" s="1"/>
  <c r="Q9" i="12"/>
  <c r="BG9" i="12" s="1"/>
  <c r="U9" i="12"/>
  <c r="BK9" i="12" s="1"/>
  <c r="S7" i="12"/>
  <c r="BI7" i="12" s="1"/>
  <c r="Q7" i="12"/>
  <c r="BG7" i="12" s="1"/>
  <c r="U7" i="12"/>
  <c r="BK7" i="12" s="1"/>
  <c r="S13" i="12"/>
  <c r="BI13" i="12" s="1"/>
  <c r="Q13" i="12"/>
  <c r="BG13" i="12" s="1"/>
  <c r="U13" i="12"/>
  <c r="BK13" i="12" s="1"/>
  <c r="S11" i="12"/>
  <c r="BI11" i="12" s="1"/>
  <c r="Q11" i="12"/>
  <c r="BG11" i="12" s="1"/>
  <c r="U11" i="12"/>
  <c r="BK11" i="12" s="1"/>
  <c r="S27" i="9"/>
  <c r="BI27" i="9" s="1"/>
  <c r="BJ27" i="9"/>
  <c r="U27" i="9"/>
  <c r="BK27" i="9" s="1"/>
  <c r="Q27" i="9"/>
  <c r="BG27" i="9" s="1"/>
  <c r="R27" i="9"/>
  <c r="BH27" i="9" s="1"/>
  <c r="S23" i="9"/>
  <c r="BI23" i="9" s="1"/>
  <c r="BJ23" i="9"/>
  <c r="U23" i="9"/>
  <c r="BK23" i="9" s="1"/>
  <c r="Q23" i="9"/>
  <c r="BG23" i="9" s="1"/>
  <c r="R23" i="9"/>
  <c r="BH23" i="9" s="1"/>
  <c r="S13" i="9"/>
  <c r="BI13" i="9" s="1"/>
  <c r="BJ13" i="9"/>
  <c r="U13" i="9"/>
  <c r="BK13" i="9" s="1"/>
  <c r="Q13" i="9"/>
  <c r="BG13" i="9" s="1"/>
  <c r="R13" i="9"/>
  <c r="BH13" i="9" s="1"/>
  <c r="S9" i="9"/>
  <c r="BI9" i="9" s="1"/>
  <c r="BJ9" i="9"/>
  <c r="U9" i="9"/>
  <c r="BK9" i="9" s="1"/>
  <c r="Q9" i="9"/>
  <c r="BG9" i="9" s="1"/>
  <c r="R9" i="9"/>
  <c r="BH9" i="9" s="1"/>
  <c r="S28" i="9"/>
  <c r="BI28" i="9" s="1"/>
  <c r="BJ28" i="9"/>
  <c r="U28" i="9"/>
  <c r="BK28" i="9" s="1"/>
  <c r="Q28" i="9"/>
  <c r="BG28" i="9" s="1"/>
  <c r="R28" i="9"/>
  <c r="BH28" i="9" s="1"/>
  <c r="S24" i="9"/>
  <c r="BI24" i="9" s="1"/>
  <c r="BJ24" i="9"/>
  <c r="U24" i="9"/>
  <c r="BK24" i="9" s="1"/>
  <c r="Q24" i="9"/>
  <c r="BG24" i="9" s="1"/>
  <c r="R24" i="9"/>
  <c r="BH24" i="9" s="1"/>
  <c r="S14" i="9"/>
  <c r="BI14" i="9" s="1"/>
  <c r="BJ14" i="9"/>
  <c r="U14" i="9"/>
  <c r="BK14" i="9" s="1"/>
  <c r="Q14" i="9"/>
  <c r="BG14" i="9" s="1"/>
  <c r="R14" i="9"/>
  <c r="BH14" i="9" s="1"/>
  <c r="S10" i="9"/>
  <c r="BI10" i="9" s="1"/>
  <c r="BJ10" i="9"/>
  <c r="U10" i="9"/>
  <c r="BK10" i="9" s="1"/>
  <c r="Q10" i="9"/>
  <c r="BG10" i="9" s="1"/>
  <c r="R10" i="9"/>
  <c r="BH10" i="9" s="1"/>
  <c r="S25" i="9"/>
  <c r="BI25" i="9" s="1"/>
  <c r="BJ25" i="9"/>
  <c r="U25" i="9"/>
  <c r="BK25" i="9" s="1"/>
  <c r="Q25" i="9"/>
  <c r="BG25" i="9" s="1"/>
  <c r="R25" i="9"/>
  <c r="BH25" i="9" s="1"/>
  <c r="S21" i="9"/>
  <c r="BI21" i="9" s="1"/>
  <c r="BJ21" i="9"/>
  <c r="U21" i="9"/>
  <c r="BK21" i="9" s="1"/>
  <c r="Q21" i="9"/>
  <c r="BG21" i="9" s="1"/>
  <c r="R21" i="9"/>
  <c r="BH21" i="9" s="1"/>
  <c r="S11" i="9"/>
  <c r="BI11" i="9" s="1"/>
  <c r="BJ11" i="9"/>
  <c r="U11" i="9"/>
  <c r="BK11" i="9" s="1"/>
  <c r="Q11" i="9"/>
  <c r="BG11" i="9" s="1"/>
  <c r="R11" i="9"/>
  <c r="BH11" i="9" s="1"/>
  <c r="S7" i="9"/>
  <c r="BI7" i="9" s="1"/>
  <c r="BJ7" i="9"/>
  <c r="U7" i="9"/>
  <c r="BK7" i="9" s="1"/>
  <c r="Q7" i="9"/>
  <c r="BG7" i="9" s="1"/>
  <c r="R7" i="9"/>
  <c r="BH7" i="9" s="1"/>
  <c r="S26" i="9"/>
  <c r="BI26" i="9" s="1"/>
  <c r="BJ26" i="9"/>
  <c r="U26" i="9"/>
  <c r="BK26" i="9" s="1"/>
  <c r="Q26" i="9"/>
  <c r="BG26" i="9" s="1"/>
  <c r="R26" i="9"/>
  <c r="BH26" i="9" s="1"/>
  <c r="S22" i="9"/>
  <c r="BI22" i="9" s="1"/>
  <c r="BJ22" i="9"/>
  <c r="U22" i="9"/>
  <c r="BK22" i="9" s="1"/>
  <c r="Q22" i="9"/>
  <c r="BG22" i="9" s="1"/>
  <c r="R22" i="9"/>
  <c r="BH22" i="9" s="1"/>
  <c r="S12" i="9"/>
  <c r="BI12" i="9" s="1"/>
  <c r="BJ12" i="9"/>
  <c r="U12" i="9"/>
  <c r="BK12" i="9" s="1"/>
  <c r="Q12" i="9"/>
  <c r="BG12" i="9" s="1"/>
  <c r="R12" i="9"/>
  <c r="BH12" i="9" s="1"/>
  <c r="S8" i="9"/>
  <c r="BI8" i="9" s="1"/>
  <c r="BJ8" i="9"/>
  <c r="U8" i="9"/>
  <c r="BK8" i="9" s="1"/>
  <c r="Q8" i="9"/>
  <c r="BG8" i="9" s="1"/>
  <c r="R8" i="9"/>
  <c r="BH8" i="9" s="1"/>
  <c r="T23" i="8"/>
  <c r="BJ23" i="8" s="1"/>
  <c r="BK23" i="8"/>
  <c r="V23" i="8"/>
  <c r="BL23" i="8" s="1"/>
  <c r="R23" i="8"/>
  <c r="BH23" i="8" s="1"/>
  <c r="S23" i="8"/>
  <c r="BI23" i="8" s="1"/>
  <c r="T13" i="8"/>
  <c r="BJ13" i="8" s="1"/>
  <c r="BK13" i="8"/>
  <c r="V13" i="8"/>
  <c r="BL13" i="8" s="1"/>
  <c r="R13" i="8"/>
  <c r="BH13" i="8" s="1"/>
  <c r="S13" i="8"/>
  <c r="BI13" i="8" s="1"/>
  <c r="T24" i="8"/>
  <c r="BJ24" i="8" s="1"/>
  <c r="BK24" i="8"/>
  <c r="V24" i="8"/>
  <c r="BL24" i="8" s="1"/>
  <c r="R24" i="8"/>
  <c r="BH24" i="8" s="1"/>
  <c r="S24" i="8"/>
  <c r="BI24" i="8" s="1"/>
  <c r="T14" i="8"/>
  <c r="BJ14" i="8" s="1"/>
  <c r="BK14" i="8"/>
  <c r="V14" i="8"/>
  <c r="BL14" i="8" s="1"/>
  <c r="R14" i="8"/>
  <c r="BH14" i="8" s="1"/>
  <c r="S14" i="8"/>
  <c r="BI14" i="8" s="1"/>
  <c r="T25" i="8"/>
  <c r="BJ25" i="8" s="1"/>
  <c r="BK25" i="8"/>
  <c r="V25" i="8"/>
  <c r="BL25" i="8" s="1"/>
  <c r="R25" i="8"/>
  <c r="BH25" i="8" s="1"/>
  <c r="S25" i="8"/>
  <c r="BI25" i="8" s="1"/>
  <c r="T21" i="8"/>
  <c r="BJ21" i="8" s="1"/>
  <c r="BK21" i="8"/>
  <c r="V21" i="8"/>
  <c r="BL21" i="8" s="1"/>
  <c r="R21" i="8"/>
  <c r="BH21" i="8" s="1"/>
  <c r="S21" i="8"/>
  <c r="BI21" i="8" s="1"/>
  <c r="T11" i="8"/>
  <c r="BJ11" i="8" s="1"/>
  <c r="BK11" i="8"/>
  <c r="V11" i="8"/>
  <c r="BL11" i="8" s="1"/>
  <c r="R11" i="8"/>
  <c r="BH11" i="8" s="1"/>
  <c r="S11" i="8"/>
  <c r="BI11" i="8" s="1"/>
  <c r="T7" i="8"/>
  <c r="BJ7" i="8" s="1"/>
  <c r="BK7" i="8"/>
  <c r="V7" i="8"/>
  <c r="BL7" i="8" s="1"/>
  <c r="R7" i="8"/>
  <c r="BH7" i="8" s="1"/>
  <c r="S7" i="8"/>
  <c r="BI7" i="8" s="1"/>
  <c r="T27" i="8"/>
  <c r="BJ27" i="8" s="1"/>
  <c r="BK27" i="8"/>
  <c r="V27" i="8"/>
  <c r="BL27" i="8" s="1"/>
  <c r="R27" i="8"/>
  <c r="BH27" i="8" s="1"/>
  <c r="S27" i="8"/>
  <c r="BI27" i="8" s="1"/>
  <c r="T9" i="8"/>
  <c r="BJ9" i="8" s="1"/>
  <c r="BK9" i="8"/>
  <c r="V9" i="8"/>
  <c r="BL9" i="8" s="1"/>
  <c r="R9" i="8"/>
  <c r="S9" i="8"/>
  <c r="BI9" i="8" s="1"/>
  <c r="T28" i="8"/>
  <c r="BJ28" i="8" s="1"/>
  <c r="BK28" i="8"/>
  <c r="V28" i="8"/>
  <c r="BL28" i="8" s="1"/>
  <c r="R28" i="8"/>
  <c r="BH28" i="8" s="1"/>
  <c r="S28" i="8"/>
  <c r="BI28" i="8" s="1"/>
  <c r="T10" i="8"/>
  <c r="BJ10" i="8" s="1"/>
  <c r="BK10" i="8"/>
  <c r="V10" i="8"/>
  <c r="BL10" i="8" s="1"/>
  <c r="R10" i="8"/>
  <c r="S10" i="8"/>
  <c r="BI10" i="8" s="1"/>
  <c r="T26" i="8"/>
  <c r="BJ26" i="8" s="1"/>
  <c r="BK26" i="8"/>
  <c r="V26" i="8"/>
  <c r="BL26" i="8" s="1"/>
  <c r="R26" i="8"/>
  <c r="BH26" i="8" s="1"/>
  <c r="S26" i="8"/>
  <c r="BI26" i="8" s="1"/>
  <c r="T22" i="8"/>
  <c r="BJ22" i="8" s="1"/>
  <c r="BK22" i="8"/>
  <c r="V22" i="8"/>
  <c r="BL22" i="8" s="1"/>
  <c r="R22" i="8"/>
  <c r="BH22" i="8" s="1"/>
  <c r="S22" i="8"/>
  <c r="BI22" i="8" s="1"/>
  <c r="T12" i="8"/>
  <c r="BJ12" i="8" s="1"/>
  <c r="BK12" i="8"/>
  <c r="V12" i="8"/>
  <c r="BL12" i="8" s="1"/>
  <c r="R12" i="8"/>
  <c r="BH12" i="8" s="1"/>
  <c r="S12" i="8"/>
  <c r="BI12" i="8" s="1"/>
  <c r="T8" i="8"/>
  <c r="BJ8" i="8" s="1"/>
  <c r="BK8" i="8"/>
  <c r="V8" i="8"/>
  <c r="BL8" i="8" s="1"/>
  <c r="R8" i="8"/>
  <c r="S8" i="8"/>
  <c r="BI8" i="8" s="1"/>
  <c r="S25" i="7"/>
  <c r="BI25" i="7" s="1"/>
  <c r="BJ25" i="7"/>
  <c r="U25" i="7"/>
  <c r="BK25" i="7" s="1"/>
  <c r="Q25" i="7"/>
  <c r="BG25" i="7" s="1"/>
  <c r="R25" i="7"/>
  <c r="BH25" i="7" s="1"/>
  <c r="S26" i="7"/>
  <c r="BI26" i="7" s="1"/>
  <c r="BJ26" i="7"/>
  <c r="U26" i="7"/>
  <c r="BK26" i="7" s="1"/>
  <c r="Q26" i="7"/>
  <c r="BG26" i="7" s="1"/>
  <c r="R26" i="7"/>
  <c r="BH26" i="7" s="1"/>
  <c r="S22" i="7"/>
  <c r="BI22" i="7" s="1"/>
  <c r="BJ22" i="7"/>
  <c r="U22" i="7"/>
  <c r="BK22" i="7" s="1"/>
  <c r="Q22" i="7"/>
  <c r="BG22" i="7" s="1"/>
  <c r="R22" i="7"/>
  <c r="BH22" i="7" s="1"/>
  <c r="S27" i="7"/>
  <c r="BI27" i="7" s="1"/>
  <c r="BJ27" i="7"/>
  <c r="U27" i="7"/>
  <c r="BK27" i="7" s="1"/>
  <c r="Q27" i="7"/>
  <c r="BG27" i="7" s="1"/>
  <c r="R27" i="7"/>
  <c r="BH27" i="7" s="1"/>
  <c r="S23" i="7"/>
  <c r="BI23" i="7" s="1"/>
  <c r="BJ23" i="7"/>
  <c r="U23" i="7"/>
  <c r="BK23" i="7" s="1"/>
  <c r="Q23" i="7"/>
  <c r="BG23" i="7" s="1"/>
  <c r="R23" i="7"/>
  <c r="BH23" i="7" s="1"/>
  <c r="S28" i="7"/>
  <c r="BI28" i="7" s="1"/>
  <c r="BJ28" i="7"/>
  <c r="U28" i="7"/>
  <c r="BK28" i="7" s="1"/>
  <c r="Q28" i="7"/>
  <c r="BG28" i="7" s="1"/>
  <c r="R28" i="7"/>
  <c r="BH28" i="7" s="1"/>
  <c r="S24" i="7"/>
  <c r="BI24" i="7" s="1"/>
  <c r="BJ24" i="7"/>
  <c r="U24" i="7"/>
  <c r="BK24" i="7" s="1"/>
  <c r="Q24" i="7"/>
  <c r="BG24" i="7" s="1"/>
  <c r="R24" i="7"/>
  <c r="BH24" i="7" s="1"/>
  <c r="T41" i="6"/>
  <c r="BL41" i="6" s="1"/>
  <c r="BM41" i="6"/>
  <c r="V41" i="6"/>
  <c r="BN41" i="6" s="1"/>
  <c r="R41" i="6"/>
  <c r="BJ41" i="6" s="1"/>
  <c r="S41" i="6"/>
  <c r="BK41" i="6" s="1"/>
  <c r="T37" i="6"/>
  <c r="BL37" i="6" s="1"/>
  <c r="BM37" i="6"/>
  <c r="V37" i="6"/>
  <c r="BN37" i="6" s="1"/>
  <c r="R37" i="6"/>
  <c r="BJ37" i="6" s="1"/>
  <c r="S37" i="6"/>
  <c r="BK37" i="6" s="1"/>
  <c r="T27" i="6"/>
  <c r="BL27" i="6" s="1"/>
  <c r="BM27" i="6"/>
  <c r="V27" i="6"/>
  <c r="BN27" i="6" s="1"/>
  <c r="R27" i="6"/>
  <c r="BJ27" i="6" s="1"/>
  <c r="S27" i="6"/>
  <c r="BK27" i="6" s="1"/>
  <c r="T23" i="6"/>
  <c r="BL23" i="6" s="1"/>
  <c r="BM23" i="6"/>
  <c r="V23" i="6"/>
  <c r="BN23" i="6" s="1"/>
  <c r="R23" i="6"/>
  <c r="BJ23" i="6" s="1"/>
  <c r="S23" i="6"/>
  <c r="BK23" i="6" s="1"/>
  <c r="T13" i="6"/>
  <c r="BL13" i="6" s="1"/>
  <c r="BM13" i="6"/>
  <c r="V13" i="6"/>
  <c r="BN13" i="6" s="1"/>
  <c r="R13" i="6"/>
  <c r="BJ13" i="6" s="1"/>
  <c r="S13" i="6"/>
  <c r="BK13" i="6" s="1"/>
  <c r="T9" i="6"/>
  <c r="BL9" i="6" s="1"/>
  <c r="BM9" i="6"/>
  <c r="V9" i="6"/>
  <c r="BN9" i="6" s="1"/>
  <c r="R9" i="6"/>
  <c r="BJ9" i="6" s="1"/>
  <c r="S9" i="6"/>
  <c r="BK9" i="6" s="1"/>
  <c r="T42" i="6"/>
  <c r="BL42" i="6" s="1"/>
  <c r="BM42" i="6"/>
  <c r="V42" i="6"/>
  <c r="BN42" i="6" s="1"/>
  <c r="R42" i="6"/>
  <c r="BJ42" i="6" s="1"/>
  <c r="S42" i="6"/>
  <c r="BK42" i="6" s="1"/>
  <c r="T38" i="6"/>
  <c r="BL38" i="6" s="1"/>
  <c r="BM38" i="6"/>
  <c r="V38" i="6"/>
  <c r="BN38" i="6" s="1"/>
  <c r="R38" i="6"/>
  <c r="BJ38" i="6" s="1"/>
  <c r="S38" i="6"/>
  <c r="BK38" i="6" s="1"/>
  <c r="T28" i="6"/>
  <c r="BL28" i="6" s="1"/>
  <c r="BM28" i="6"/>
  <c r="V28" i="6"/>
  <c r="BN28" i="6" s="1"/>
  <c r="R28" i="6"/>
  <c r="BJ28" i="6" s="1"/>
  <c r="S28" i="6"/>
  <c r="BK28" i="6" s="1"/>
  <c r="T24" i="6"/>
  <c r="BL24" i="6" s="1"/>
  <c r="BM24" i="6"/>
  <c r="V24" i="6"/>
  <c r="BN24" i="6" s="1"/>
  <c r="R24" i="6"/>
  <c r="BJ24" i="6" s="1"/>
  <c r="S24" i="6"/>
  <c r="BK24" i="6" s="1"/>
  <c r="T14" i="6"/>
  <c r="BL14" i="6" s="1"/>
  <c r="BM14" i="6"/>
  <c r="V14" i="6"/>
  <c r="BN14" i="6" s="1"/>
  <c r="R14" i="6"/>
  <c r="BJ14" i="6" s="1"/>
  <c r="S14" i="6"/>
  <c r="BK14" i="6" s="1"/>
  <c r="T10" i="6"/>
  <c r="BL10" i="6" s="1"/>
  <c r="BM10" i="6"/>
  <c r="V10" i="6"/>
  <c r="BN10" i="6" s="1"/>
  <c r="R10" i="6"/>
  <c r="BJ10" i="6" s="1"/>
  <c r="S10" i="6"/>
  <c r="BK10" i="6" s="1"/>
  <c r="T39" i="6"/>
  <c r="BL39" i="6" s="1"/>
  <c r="BM39" i="6"/>
  <c r="V39" i="6"/>
  <c r="BN39" i="6" s="1"/>
  <c r="R39" i="6"/>
  <c r="BJ39" i="6" s="1"/>
  <c r="S39" i="6"/>
  <c r="BK39" i="6" s="1"/>
  <c r="T35" i="6"/>
  <c r="BL35" i="6" s="1"/>
  <c r="BM35" i="6"/>
  <c r="V35" i="6"/>
  <c r="BN35" i="6" s="1"/>
  <c r="R35" i="6"/>
  <c r="BJ35" i="6" s="1"/>
  <c r="S35" i="6"/>
  <c r="BK35" i="6" s="1"/>
  <c r="T25" i="6"/>
  <c r="BL25" i="6" s="1"/>
  <c r="BM25" i="6"/>
  <c r="V25" i="6"/>
  <c r="BN25" i="6" s="1"/>
  <c r="R25" i="6"/>
  <c r="BJ25" i="6" s="1"/>
  <c r="S25" i="6"/>
  <c r="BK25" i="6" s="1"/>
  <c r="T21" i="6"/>
  <c r="BL21" i="6" s="1"/>
  <c r="BM21" i="6"/>
  <c r="V21" i="6"/>
  <c r="BN21" i="6" s="1"/>
  <c r="R21" i="6"/>
  <c r="BJ21" i="6" s="1"/>
  <c r="S21" i="6"/>
  <c r="BK21" i="6" s="1"/>
  <c r="T11" i="6"/>
  <c r="BL11" i="6" s="1"/>
  <c r="BM11" i="6"/>
  <c r="V11" i="6"/>
  <c r="BN11" i="6" s="1"/>
  <c r="R11" i="6"/>
  <c r="BJ11" i="6" s="1"/>
  <c r="S11" i="6"/>
  <c r="BK11" i="6" s="1"/>
  <c r="T7" i="6"/>
  <c r="BL7" i="6" s="1"/>
  <c r="BM7" i="6"/>
  <c r="V7" i="6"/>
  <c r="BN7" i="6" s="1"/>
  <c r="R7" i="6"/>
  <c r="BJ7" i="6" s="1"/>
  <c r="S7" i="6"/>
  <c r="BK7" i="6" s="1"/>
  <c r="T40" i="6"/>
  <c r="BL40" i="6" s="1"/>
  <c r="BM40" i="6"/>
  <c r="V40" i="6"/>
  <c r="BN40" i="6" s="1"/>
  <c r="R40" i="6"/>
  <c r="BJ40" i="6" s="1"/>
  <c r="S40" i="6"/>
  <c r="BK40" i="6" s="1"/>
  <c r="T36" i="6"/>
  <c r="BL36" i="6" s="1"/>
  <c r="BM36" i="6"/>
  <c r="V36" i="6"/>
  <c r="BN36" i="6" s="1"/>
  <c r="R36" i="6"/>
  <c r="BJ36" i="6" s="1"/>
  <c r="S36" i="6"/>
  <c r="BK36" i="6" s="1"/>
  <c r="T26" i="6"/>
  <c r="BL26" i="6" s="1"/>
  <c r="BM26" i="6"/>
  <c r="V26" i="6"/>
  <c r="BN26" i="6" s="1"/>
  <c r="R26" i="6"/>
  <c r="BJ26" i="6" s="1"/>
  <c r="S26" i="6"/>
  <c r="BK26" i="6" s="1"/>
  <c r="T22" i="6"/>
  <c r="BL22" i="6" s="1"/>
  <c r="BM22" i="6"/>
  <c r="V22" i="6"/>
  <c r="BN22" i="6" s="1"/>
  <c r="R22" i="6"/>
  <c r="BJ22" i="6" s="1"/>
  <c r="S22" i="6"/>
  <c r="BK22" i="6" s="1"/>
  <c r="T12" i="6"/>
  <c r="BL12" i="6" s="1"/>
  <c r="BM12" i="6"/>
  <c r="V12" i="6"/>
  <c r="BN12" i="6" s="1"/>
  <c r="R12" i="6"/>
  <c r="BJ12" i="6" s="1"/>
  <c r="S12" i="6"/>
  <c r="BK12" i="6" s="1"/>
  <c r="T8" i="6"/>
  <c r="BL8" i="6" s="1"/>
  <c r="BM8" i="6"/>
  <c r="V8" i="6"/>
  <c r="BN8" i="6" s="1"/>
  <c r="R8" i="6"/>
  <c r="BJ8" i="6" s="1"/>
  <c r="S8" i="6"/>
  <c r="BK8" i="6" s="1"/>
  <c r="U28" i="3"/>
  <c r="BK28" i="3" s="1"/>
  <c r="BL28" i="3"/>
  <c r="W28" i="3"/>
  <c r="BM28" i="3" s="1"/>
  <c r="S28" i="3"/>
  <c r="BI28" i="3" s="1"/>
  <c r="T28" i="3"/>
  <c r="BJ28" i="3" s="1"/>
  <c r="U24" i="3"/>
  <c r="BK24" i="3" s="1"/>
  <c r="BL24" i="3"/>
  <c r="W24" i="3"/>
  <c r="BM24" i="3" s="1"/>
  <c r="S24" i="3"/>
  <c r="BI24" i="3" s="1"/>
  <c r="T24" i="3"/>
  <c r="BJ24" i="3" s="1"/>
  <c r="U27" i="3"/>
  <c r="BK27" i="3" s="1"/>
  <c r="BL27" i="3"/>
  <c r="W27" i="3"/>
  <c r="BM27" i="3" s="1"/>
  <c r="S27" i="3"/>
  <c r="BI27" i="3" s="1"/>
  <c r="T27" i="3"/>
  <c r="BJ27" i="3" s="1"/>
  <c r="U23" i="3"/>
  <c r="BK23" i="3" s="1"/>
  <c r="BL23" i="3"/>
  <c r="W23" i="3"/>
  <c r="BM23" i="3" s="1"/>
  <c r="S23" i="3"/>
  <c r="BI23" i="3" s="1"/>
  <c r="T23" i="3"/>
  <c r="BJ23" i="3" s="1"/>
  <c r="U9" i="3"/>
  <c r="BK9" i="3" s="1"/>
  <c r="T9" i="3"/>
  <c r="BJ9" i="3" s="1"/>
  <c r="BL9" i="3"/>
  <c r="W9" i="3"/>
  <c r="BM9" i="3" s="1"/>
  <c r="S9" i="3"/>
  <c r="BI9" i="3" s="1"/>
  <c r="U25" i="3"/>
  <c r="BK25" i="3" s="1"/>
  <c r="BL25" i="3"/>
  <c r="W25" i="3"/>
  <c r="BM25" i="3" s="1"/>
  <c r="S25" i="3"/>
  <c r="BI25" i="3" s="1"/>
  <c r="T25" i="3"/>
  <c r="BJ25" i="3" s="1"/>
  <c r="U11" i="3"/>
  <c r="BK11" i="3" s="1"/>
  <c r="T11" i="3"/>
  <c r="BJ11" i="3" s="1"/>
  <c r="BL11" i="3"/>
  <c r="W11" i="3"/>
  <c r="BM11" i="3" s="1"/>
  <c r="S11" i="3"/>
  <c r="BI11" i="3" s="1"/>
  <c r="U7" i="3"/>
  <c r="BK7" i="3" s="1"/>
  <c r="BL7" i="3"/>
  <c r="T7" i="3"/>
  <c r="BJ7" i="3" s="1"/>
  <c r="W7" i="3"/>
  <c r="BM7" i="3" s="1"/>
  <c r="S7" i="3"/>
  <c r="BI7" i="3" s="1"/>
  <c r="U10" i="3"/>
  <c r="BK10" i="3" s="1"/>
  <c r="T10" i="3"/>
  <c r="BJ10" i="3" s="1"/>
  <c r="BL10" i="3"/>
  <c r="W10" i="3"/>
  <c r="BM10" i="3" s="1"/>
  <c r="S10" i="3"/>
  <c r="BI10" i="3" s="1"/>
  <c r="U26" i="3"/>
  <c r="BK26" i="3" s="1"/>
  <c r="BL26" i="3"/>
  <c r="W26" i="3"/>
  <c r="BM26" i="3" s="1"/>
  <c r="S26" i="3"/>
  <c r="BI26" i="3" s="1"/>
  <c r="T26" i="3"/>
  <c r="BJ26" i="3" s="1"/>
  <c r="U22" i="3"/>
  <c r="BK22" i="3" s="1"/>
  <c r="BL22" i="3"/>
  <c r="W22" i="3"/>
  <c r="BM22" i="3" s="1"/>
  <c r="S22" i="3"/>
  <c r="BI22" i="3" s="1"/>
  <c r="T22" i="3"/>
  <c r="BJ22" i="3" s="1"/>
  <c r="U8" i="3"/>
  <c r="BK8" i="3" s="1"/>
  <c r="BL8" i="3"/>
  <c r="T8" i="3"/>
  <c r="BJ8" i="3" s="1"/>
  <c r="W8" i="3"/>
  <c r="BM8" i="3" s="1"/>
  <c r="S8" i="3"/>
  <c r="BI8" i="3" s="1"/>
  <c r="BO42" i="2"/>
  <c r="X42" i="2"/>
  <c r="BP42" i="2" s="1"/>
  <c r="T42" i="2"/>
  <c r="BL42" i="2" s="1"/>
  <c r="V42" i="2"/>
  <c r="BN42" i="2" s="1"/>
  <c r="U42" i="2"/>
  <c r="BM42" i="2" s="1"/>
  <c r="V37" i="2"/>
  <c r="BN37" i="2" s="1"/>
  <c r="BO37" i="2"/>
  <c r="X37" i="2"/>
  <c r="BP37" i="2" s="1"/>
  <c r="T37" i="2"/>
  <c r="BL37" i="2" s="1"/>
  <c r="U37" i="2"/>
  <c r="BM37" i="2" s="1"/>
  <c r="V38" i="2"/>
  <c r="BN38" i="2" s="1"/>
  <c r="BO38" i="2"/>
  <c r="X38" i="2"/>
  <c r="BP38" i="2" s="1"/>
  <c r="T38" i="2"/>
  <c r="BL38" i="2" s="1"/>
  <c r="U38" i="2"/>
  <c r="BM38" i="2" s="1"/>
  <c r="V40" i="2"/>
  <c r="BN40" i="2" s="1"/>
  <c r="BO40" i="2"/>
  <c r="X40" i="2"/>
  <c r="BP40" i="2" s="1"/>
  <c r="T40" i="2"/>
  <c r="BL40" i="2" s="1"/>
  <c r="U40" i="2"/>
  <c r="BM40" i="2" s="1"/>
  <c r="BO39" i="2"/>
  <c r="X39" i="2"/>
  <c r="BP39" i="2" s="1"/>
  <c r="T39" i="2"/>
  <c r="BL39" i="2" s="1"/>
  <c r="V39" i="2"/>
  <c r="BN39" i="2" s="1"/>
  <c r="U39" i="2"/>
  <c r="BM39" i="2" s="1"/>
  <c r="V41" i="2"/>
  <c r="BN41" i="2" s="1"/>
  <c r="BO41" i="2"/>
  <c r="X41" i="2"/>
  <c r="BP41" i="2" s="1"/>
  <c r="T41" i="2"/>
  <c r="BL41" i="2" s="1"/>
  <c r="U41" i="2"/>
  <c r="BM41" i="2" s="1"/>
  <c r="BO35" i="2"/>
  <c r="X35" i="2"/>
  <c r="BP35" i="2" s="1"/>
  <c r="T35" i="2"/>
  <c r="BL35" i="2" s="1"/>
  <c r="U35" i="2"/>
  <c r="BM35" i="2" s="1"/>
  <c r="V35" i="2"/>
  <c r="BN35" i="2" s="1"/>
  <c r="V28" i="2"/>
  <c r="BN28" i="2" s="1"/>
  <c r="BO28" i="2"/>
  <c r="X28" i="2"/>
  <c r="BP28" i="2" s="1"/>
  <c r="T28" i="2"/>
  <c r="BL28" i="2" s="1"/>
  <c r="U28" i="2"/>
  <c r="BM28" i="2" s="1"/>
  <c r="V27" i="2"/>
  <c r="BN27" i="2" s="1"/>
  <c r="BO27" i="2"/>
  <c r="X27" i="2"/>
  <c r="BP27" i="2" s="1"/>
  <c r="T27" i="2"/>
  <c r="BL27" i="2" s="1"/>
  <c r="U27" i="2"/>
  <c r="BM27" i="2" s="1"/>
  <c r="V23" i="2"/>
  <c r="BN23" i="2" s="1"/>
  <c r="X23" i="2"/>
  <c r="BP23" i="2" s="1"/>
  <c r="U23" i="2"/>
  <c r="BM23" i="2" s="1"/>
  <c r="BO23" i="2"/>
  <c r="T23" i="2"/>
  <c r="BL23" i="2" s="1"/>
  <c r="V24" i="2"/>
  <c r="BN24" i="2" s="1"/>
  <c r="T24" i="2"/>
  <c r="BL24" i="2" s="1"/>
  <c r="BO24" i="2"/>
  <c r="X24" i="2"/>
  <c r="BP24" i="2" s="1"/>
  <c r="U24" i="2"/>
  <c r="BM24" i="2" s="1"/>
  <c r="V25" i="2"/>
  <c r="BN25" i="2" s="1"/>
  <c r="T25" i="2"/>
  <c r="BL25" i="2" s="1"/>
  <c r="U25" i="2"/>
  <c r="BM25" i="2" s="1"/>
  <c r="BO25" i="2"/>
  <c r="X25" i="2"/>
  <c r="BP25" i="2" s="1"/>
  <c r="V21" i="2"/>
  <c r="BN21" i="2" s="1"/>
  <c r="T21" i="2"/>
  <c r="BL21" i="2" s="1"/>
  <c r="BO21" i="2"/>
  <c r="X21" i="2"/>
  <c r="BP21" i="2" s="1"/>
  <c r="U21" i="2"/>
  <c r="BM21" i="2" s="1"/>
  <c r="V26" i="2"/>
  <c r="BN26" i="2" s="1"/>
  <c r="U26" i="2"/>
  <c r="BM26" i="2" s="1"/>
  <c r="BO26" i="2"/>
  <c r="X26" i="2"/>
  <c r="BP26" i="2" s="1"/>
  <c r="T26" i="2"/>
  <c r="BL26" i="2" s="1"/>
  <c r="V22" i="2"/>
  <c r="BN22" i="2" s="1"/>
  <c r="X22" i="2"/>
  <c r="BP22" i="2" s="1"/>
  <c r="BO22" i="2"/>
  <c r="T22" i="2"/>
  <c r="BL22" i="2" s="1"/>
  <c r="U22" i="2"/>
  <c r="BM22" i="2" s="1"/>
  <c r="V14" i="2"/>
  <c r="BN14" i="2" s="1"/>
  <c r="BO14" i="2"/>
  <c r="X14" i="2"/>
  <c r="BP14" i="2" s="1"/>
  <c r="T14" i="2"/>
  <c r="BL14" i="2" s="1"/>
  <c r="U14" i="2"/>
  <c r="BM14" i="2" s="1"/>
  <c r="V11" i="2"/>
  <c r="BN11" i="2" s="1"/>
  <c r="BO11" i="2"/>
  <c r="X11" i="2"/>
  <c r="BP11" i="2" s="1"/>
  <c r="T11" i="2"/>
  <c r="BL11" i="2" s="1"/>
  <c r="U11" i="2"/>
  <c r="BM11" i="2" s="1"/>
  <c r="BO10" i="2"/>
  <c r="X10" i="2"/>
  <c r="BP10" i="2" s="1"/>
  <c r="T10" i="2"/>
  <c r="BL10" i="2" s="1"/>
  <c r="V10" i="2"/>
  <c r="BN10" i="2" s="1"/>
  <c r="U10" i="2"/>
  <c r="BM10" i="2" s="1"/>
  <c r="V12" i="2"/>
  <c r="BN12" i="2" s="1"/>
  <c r="BO12" i="2"/>
  <c r="X12" i="2"/>
  <c r="BP12" i="2" s="1"/>
  <c r="T12" i="2"/>
  <c r="BL12" i="2" s="1"/>
  <c r="U12" i="2"/>
  <c r="BM12" i="2" s="1"/>
  <c r="V13" i="2"/>
  <c r="BN13" i="2" s="1"/>
  <c r="BO13" i="2"/>
  <c r="X13" i="2"/>
  <c r="BP13" i="2" s="1"/>
  <c r="T13" i="2"/>
  <c r="BL13" i="2" s="1"/>
  <c r="U13" i="2"/>
  <c r="BM13" i="2" s="1"/>
  <c r="BO7" i="1"/>
  <c r="Q10" i="1"/>
  <c r="BE10" i="1" s="1"/>
  <c r="R10" i="1"/>
  <c r="BF10" i="1" s="1"/>
  <c r="S7" i="1"/>
  <c r="BG7" i="1" s="1"/>
  <c r="U7" i="1"/>
  <c r="BI7" i="1" s="1"/>
  <c r="AC10" i="1"/>
  <c r="BQ10" i="1" s="1"/>
  <c r="BO10" i="1"/>
  <c r="AD9" i="1"/>
  <c r="BR9" i="1" s="1"/>
  <c r="BO9" i="1"/>
  <c r="AC13" i="1"/>
  <c r="BO13" i="1"/>
  <c r="AD11" i="1"/>
  <c r="BR11" i="1" s="1"/>
  <c r="BO11" i="1"/>
  <c r="AD8" i="1"/>
  <c r="BR8" i="1" s="1"/>
  <c r="BO8" i="1"/>
  <c r="AD14" i="1"/>
  <c r="BO14" i="1"/>
  <c r="AD12" i="1"/>
  <c r="BR12" i="1" s="1"/>
  <c r="BO12" i="1"/>
  <c r="Q8" i="1"/>
  <c r="BE8" i="1" s="1"/>
  <c r="R8" i="1"/>
  <c r="BF8" i="1" s="1"/>
  <c r="S10" i="1"/>
  <c r="BG10" i="1" s="1"/>
  <c r="Q11" i="1"/>
  <c r="BE11" i="1" s="1"/>
  <c r="R11" i="1"/>
  <c r="BF11" i="1" s="1"/>
  <c r="U11" i="1"/>
  <c r="BI11" i="1" s="1"/>
  <c r="AC12" i="1"/>
  <c r="BQ12" i="1" s="1"/>
  <c r="AC14" i="1"/>
  <c r="BQ14" i="1" s="1"/>
  <c r="AC8" i="1"/>
  <c r="BQ8" i="1" s="1"/>
  <c r="K7" i="1"/>
  <c r="AY7" i="1" s="1"/>
  <c r="P7" i="1"/>
  <c r="BD7" i="1" s="1"/>
  <c r="N7" i="1"/>
  <c r="BB7" i="1" s="1"/>
  <c r="N14" i="1"/>
  <c r="BB14" i="1" s="1"/>
  <c r="P14" i="1"/>
  <c r="BD14" i="1" s="1"/>
  <c r="K14" i="1"/>
  <c r="AY14" i="1" s="1"/>
  <c r="N12" i="1"/>
  <c r="BB12" i="1" s="1"/>
  <c r="P12" i="1"/>
  <c r="BD12" i="1" s="1"/>
  <c r="K12" i="1"/>
  <c r="AY12" i="1" s="1"/>
  <c r="N10" i="1"/>
  <c r="BB10" i="1" s="1"/>
  <c r="P10" i="1"/>
  <c r="BD10" i="1" s="1"/>
  <c r="K10" i="1"/>
  <c r="AY10" i="1" s="1"/>
  <c r="N8" i="1"/>
  <c r="BB8" i="1" s="1"/>
  <c r="P8" i="1"/>
  <c r="BD8" i="1" s="1"/>
  <c r="K8" i="1"/>
  <c r="AY8" i="1" s="1"/>
  <c r="AB13" i="1"/>
  <c r="BP13" i="1" s="1"/>
  <c r="AB11" i="1"/>
  <c r="BP11" i="1" s="1"/>
  <c r="AB9" i="1"/>
  <c r="BP9" i="1" s="1"/>
  <c r="AD13" i="1"/>
  <c r="BR13" i="1" s="1"/>
  <c r="AB14" i="1"/>
  <c r="BP14" i="1" s="1"/>
  <c r="AB12" i="1"/>
  <c r="AB10" i="1"/>
  <c r="BP10" i="1" s="1"/>
  <c r="AB8" i="1"/>
  <c r="AC11" i="1"/>
  <c r="BQ11" i="1" s="1"/>
  <c r="AC9" i="1"/>
  <c r="AD10" i="1"/>
  <c r="P13" i="1"/>
  <c r="BD13" i="1" s="1"/>
  <c r="K13" i="1"/>
  <c r="AY13" i="1" s="1"/>
  <c r="N13" i="1"/>
  <c r="BB13" i="1" s="1"/>
  <c r="P11" i="1"/>
  <c r="BD11" i="1" s="1"/>
  <c r="K11" i="1"/>
  <c r="AY11" i="1" s="1"/>
  <c r="N11" i="1"/>
  <c r="BB11" i="1" s="1"/>
  <c r="P9" i="1"/>
  <c r="BD9" i="1" s="1"/>
  <c r="K9" i="1"/>
  <c r="AY9" i="1" s="1"/>
  <c r="N9" i="1"/>
  <c r="BB9" i="1" s="1"/>
  <c r="X27" i="8" l="1"/>
  <c r="BN27" i="8" s="1"/>
  <c r="BR27" i="8"/>
  <c r="W27" i="8"/>
  <c r="BM27" i="8" s="1"/>
  <c r="AD27" i="8"/>
  <c r="BT27" i="8" s="1"/>
  <c r="Y27" i="8"/>
  <c r="BO27" i="8" s="1"/>
  <c r="AE27" i="8"/>
  <c r="BU27" i="8" s="1"/>
  <c r="Z27" i="8"/>
  <c r="BP27" i="8" s="1"/>
  <c r="AA27" i="8"/>
  <c r="BQ27" i="8" s="1"/>
  <c r="AC27" i="8"/>
  <c r="BS27" i="8" s="1"/>
  <c r="X28" i="8"/>
  <c r="BN28" i="8" s="1"/>
  <c r="BR28" i="8"/>
  <c r="W28" i="8"/>
  <c r="BM28" i="8" s="1"/>
  <c r="Y28" i="8"/>
  <c r="BO28" i="8" s="1"/>
  <c r="AE28" i="8"/>
  <c r="BU28" i="8" s="1"/>
  <c r="AD28" i="8"/>
  <c r="BT28" i="8" s="1"/>
  <c r="AA28" i="8"/>
  <c r="BQ28" i="8" s="1"/>
  <c r="Z28" i="8"/>
  <c r="BP28" i="8" s="1"/>
  <c r="AC28" i="8"/>
  <c r="BS28" i="8" s="1"/>
  <c r="X25" i="8"/>
  <c r="BN25" i="8" s="1"/>
  <c r="BR25" i="8"/>
  <c r="AE25" i="8"/>
  <c r="BU25" i="8" s="1"/>
  <c r="AD25" i="8"/>
  <c r="BT25" i="8" s="1"/>
  <c r="Y25" i="8"/>
  <c r="BO25" i="8" s="1"/>
  <c r="AA25" i="8"/>
  <c r="BQ25" i="8" s="1"/>
  <c r="Z25" i="8"/>
  <c r="BP25" i="8" s="1"/>
  <c r="W25" i="8"/>
  <c r="BM25" i="8" s="1"/>
  <c r="AC25" i="8"/>
  <c r="BS25" i="8" s="1"/>
  <c r="V12" i="3"/>
  <c r="BG12" i="3"/>
  <c r="P12" i="3"/>
  <c r="BF12" i="3" s="1"/>
  <c r="O12" i="3"/>
  <c r="BE12" i="3" s="1"/>
  <c r="N12" i="3"/>
  <c r="BD12" i="3" s="1"/>
  <c r="M12" i="3"/>
  <c r="BC12" i="3" s="1"/>
  <c r="R12" i="3"/>
  <c r="BH12" i="3" s="1"/>
  <c r="V13" i="3"/>
  <c r="BG13" i="3"/>
  <c r="M13" i="3"/>
  <c r="BC13" i="3" s="1"/>
  <c r="O13" i="3"/>
  <c r="BE13" i="3" s="1"/>
  <c r="R13" i="3"/>
  <c r="BH13" i="3" s="1"/>
  <c r="P13" i="3"/>
  <c r="BF13" i="3" s="1"/>
  <c r="N13" i="3"/>
  <c r="BD13" i="3" s="1"/>
  <c r="V14" i="3"/>
  <c r="BG14" i="3"/>
  <c r="M14" i="3"/>
  <c r="BC14" i="3" s="1"/>
  <c r="R14" i="3"/>
  <c r="BH14" i="3" s="1"/>
  <c r="P14" i="3"/>
  <c r="BF14" i="3" s="1"/>
  <c r="O14" i="3"/>
  <c r="BE14" i="3" s="1"/>
  <c r="N14" i="3"/>
  <c r="BD14" i="3" s="1"/>
  <c r="BS13" i="3"/>
  <c r="AB13" i="3"/>
  <c r="BR13" i="3" s="1"/>
  <c r="AF13" i="3"/>
  <c r="BV13" i="3" s="1"/>
  <c r="AE13" i="3"/>
  <c r="BU13" i="3" s="1"/>
  <c r="AD13" i="3"/>
  <c r="BT13" i="3" s="1"/>
  <c r="Y13" i="3"/>
  <c r="BO13" i="3" s="1"/>
  <c r="X13" i="3"/>
  <c r="BN13" i="3" s="1"/>
  <c r="AA13" i="3"/>
  <c r="BQ13" i="3" s="1"/>
  <c r="Z13" i="3"/>
  <c r="BP13" i="3" s="1"/>
  <c r="BS14" i="3"/>
  <c r="Y14" i="3"/>
  <c r="BO14" i="3" s="1"/>
  <c r="AB14" i="3"/>
  <c r="BR14" i="3" s="1"/>
  <c r="AF14" i="3"/>
  <c r="BV14" i="3" s="1"/>
  <c r="AA14" i="3"/>
  <c r="BQ14" i="3" s="1"/>
  <c r="AD14" i="3"/>
  <c r="BT14" i="3" s="1"/>
  <c r="X14" i="3"/>
  <c r="BN14" i="3" s="1"/>
  <c r="AE14" i="3"/>
  <c r="BU14" i="3" s="1"/>
  <c r="Z14" i="3"/>
  <c r="BP14" i="3" s="1"/>
  <c r="BS12" i="3"/>
  <c r="AF12" i="3"/>
  <c r="BV12" i="3" s="1"/>
  <c r="AA12" i="3"/>
  <c r="BQ12" i="3" s="1"/>
  <c r="AD12" i="3"/>
  <c r="BT12" i="3" s="1"/>
  <c r="AB12" i="3"/>
  <c r="BR12" i="3" s="1"/>
  <c r="Y12" i="3"/>
  <c r="BO12" i="3" s="1"/>
  <c r="X12" i="3"/>
  <c r="BN12" i="3" s="1"/>
  <c r="AE12" i="3"/>
  <c r="BU12" i="3" s="1"/>
  <c r="Z12" i="3"/>
  <c r="BP12" i="3" s="1"/>
  <c r="BH10" i="8"/>
  <c r="BH9" i="8"/>
  <c r="BH8" i="8"/>
  <c r="BR26" i="8"/>
  <c r="X26" i="8"/>
  <c r="BN26" i="8" s="1"/>
  <c r="W26" i="8"/>
  <c r="BM26" i="8" s="1"/>
  <c r="AE26" i="8"/>
  <c r="BU26" i="8" s="1"/>
  <c r="AD26" i="8"/>
  <c r="BT26" i="8" s="1"/>
  <c r="AC26" i="8"/>
  <c r="BS26" i="8" s="1"/>
  <c r="AA26" i="8"/>
  <c r="BQ26" i="8" s="1"/>
  <c r="Z26" i="8"/>
  <c r="BP26" i="8" s="1"/>
  <c r="Y26" i="8"/>
  <c r="BO26" i="8" s="1"/>
  <c r="BR14" i="1"/>
  <c r="BQ9" i="1"/>
  <c r="BR10" i="1"/>
  <c r="BQ13" i="1"/>
  <c r="BP12" i="1"/>
  <c r="BP8" i="1"/>
  <c r="W13" i="1"/>
  <c r="BK13" i="1" s="1"/>
  <c r="Y9" i="1"/>
  <c r="BM9" i="1" s="1"/>
  <c r="W9" i="1"/>
  <c r="BK9" i="1" s="1"/>
  <c r="AC7" i="1"/>
  <c r="BQ7" i="1" s="1"/>
  <c r="W7" i="1"/>
  <c r="BK7" i="1" s="1"/>
  <c r="U12" i="3" l="1"/>
  <c r="BK12" i="3" s="1"/>
  <c r="BL12" i="3"/>
  <c r="S12" i="3"/>
  <c r="BI12" i="3" s="1"/>
  <c r="T12" i="3"/>
  <c r="BJ12" i="3" s="1"/>
  <c r="W12" i="3"/>
  <c r="BM12" i="3" s="1"/>
  <c r="U13" i="3"/>
  <c r="BK13" i="3" s="1"/>
  <c r="T13" i="3"/>
  <c r="BJ13" i="3" s="1"/>
  <c r="S13" i="3"/>
  <c r="BI13" i="3" s="1"/>
  <c r="BL13" i="3"/>
  <c r="W13" i="3"/>
  <c r="BM13" i="3" s="1"/>
  <c r="U14" i="3"/>
  <c r="BK14" i="3" s="1"/>
  <c r="W14" i="3"/>
  <c r="BM14" i="3" s="1"/>
  <c r="T14" i="3"/>
  <c r="BJ14" i="3" s="1"/>
  <c r="BL14" i="3"/>
  <c r="S14" i="3"/>
  <c r="BI14" i="3" s="1"/>
  <c r="BR14" i="8"/>
  <c r="X14" i="8"/>
  <c r="BN14" i="8" s="1"/>
  <c r="AA14" i="8"/>
  <c r="BQ14" i="8" s="1"/>
  <c r="AD14" i="8"/>
  <c r="BT14" i="8" s="1"/>
  <c r="AC14" i="8"/>
  <c r="BS14" i="8" s="1"/>
  <c r="W14" i="8"/>
  <c r="BM14" i="8" s="1"/>
  <c r="AE14" i="8"/>
  <c r="BU14" i="8" s="1"/>
  <c r="Z14" i="8"/>
  <c r="BP14" i="8" s="1"/>
  <c r="Y14" i="8"/>
  <c r="BO14" i="8" s="1"/>
  <c r="BR13" i="8"/>
  <c r="AA13" i="8"/>
  <c r="BQ13" i="8" s="1"/>
  <c r="Z13" i="8"/>
  <c r="BP13" i="8" s="1"/>
  <c r="AC13" i="8"/>
  <c r="BS13" i="8" s="1"/>
  <c r="X13" i="8"/>
  <c r="BN13" i="8" s="1"/>
  <c r="W13" i="8"/>
  <c r="BM13" i="8" s="1"/>
  <c r="AE13" i="8"/>
  <c r="BU13" i="8" s="1"/>
  <c r="AD13" i="8"/>
  <c r="BT13" i="8" s="1"/>
  <c r="Y13" i="8"/>
  <c r="BO13" i="8" s="1"/>
  <c r="BR12" i="8"/>
  <c r="AA12" i="8"/>
  <c r="BQ12" i="8" s="1"/>
  <c r="AD12" i="8"/>
  <c r="BT12" i="8" s="1"/>
  <c r="AC12" i="8"/>
  <c r="BS12" i="8" s="1"/>
  <c r="X12" i="8"/>
  <c r="BN12" i="8" s="1"/>
  <c r="W12" i="8"/>
  <c r="BM12" i="8" s="1"/>
  <c r="AE12" i="8"/>
  <c r="BU12" i="8" s="1"/>
  <c r="Z12" i="8"/>
  <c r="BP12" i="8" s="1"/>
  <c r="Y12" i="8"/>
  <c r="BO12" i="8" s="1"/>
  <c r="Y7" i="1"/>
  <c r="BM7" i="1" s="1"/>
  <c r="W8" i="1"/>
  <c r="BK8" i="1" s="1"/>
  <c r="V9" i="1"/>
  <c r="BJ9" i="1" s="1"/>
  <c r="X9" i="1"/>
  <c r="BL9" i="1" s="1"/>
  <c r="Z9" i="1"/>
  <c r="BN9" i="1" s="1"/>
  <c r="W11" i="1"/>
  <c r="BK11" i="1" s="1"/>
  <c r="Y13" i="1"/>
  <c r="BM13" i="1" s="1"/>
  <c r="Y11" i="1"/>
  <c r="BM11" i="1" s="1"/>
  <c r="W12" i="1"/>
  <c r="BK12" i="1" s="1"/>
  <c r="V13" i="1"/>
  <c r="BJ13" i="1" s="1"/>
  <c r="X13" i="1"/>
  <c r="BL13" i="1" s="1"/>
  <c r="Z13" i="1"/>
  <c r="BN13" i="1" s="1"/>
  <c r="W10" i="1"/>
  <c r="BK10" i="1" s="1"/>
  <c r="W14" i="1"/>
  <c r="BK14" i="1" s="1"/>
  <c r="V7" i="1"/>
  <c r="BJ7" i="1" s="1"/>
  <c r="X7" i="1"/>
  <c r="BL7" i="1" s="1"/>
  <c r="Z7" i="1"/>
  <c r="BN7" i="1" s="1"/>
  <c r="AB7" i="1"/>
  <c r="BP7" i="1" s="1"/>
  <c r="Y10" i="1"/>
  <c r="BM10" i="1" s="1"/>
  <c r="V11" i="1"/>
  <c r="BJ11" i="1" s="1"/>
  <c r="X11" i="1"/>
  <c r="BL11" i="1" s="1"/>
  <c r="Z11" i="1"/>
  <c r="BN11" i="1" s="1"/>
  <c r="Y14" i="1"/>
  <c r="BM14" i="1" s="1"/>
  <c r="AD7" i="1"/>
  <c r="BR7" i="1" s="1"/>
  <c r="Y8" i="1"/>
  <c r="BM8" i="1" s="1"/>
  <c r="Y12" i="1"/>
  <c r="BM12" i="1" s="1"/>
  <c r="V8" i="1"/>
  <c r="BJ8" i="1" s="1"/>
  <c r="X8" i="1"/>
  <c r="BL8" i="1" s="1"/>
  <c r="Z8" i="1"/>
  <c r="BN8" i="1" s="1"/>
  <c r="V10" i="1"/>
  <c r="BJ10" i="1" s="1"/>
  <c r="X10" i="1"/>
  <c r="BL10" i="1" s="1"/>
  <c r="Z10" i="1"/>
  <c r="BN10" i="1" s="1"/>
  <c r="V12" i="1"/>
  <c r="BJ12" i="1" s="1"/>
  <c r="X12" i="1"/>
  <c r="BL12" i="1" s="1"/>
  <c r="Z12" i="1"/>
  <c r="BN12" i="1" s="1"/>
  <c r="V14" i="1"/>
  <c r="BJ14" i="1" s="1"/>
  <c r="X14" i="1"/>
  <c r="BL14" i="1" s="1"/>
  <c r="Z14" i="1"/>
  <c r="BN14" i="1" s="1"/>
  <c r="AA21" i="3"/>
  <c r="BQ21" i="3" s="1"/>
  <c r="N21" i="3"/>
  <c r="BD21" i="3" s="1"/>
  <c r="BG21" i="3" l="1"/>
  <c r="BS21" i="3"/>
  <c r="V21" i="3"/>
  <c r="M21" i="3"/>
  <c r="BC21" i="3" s="1"/>
  <c r="Y21" i="3"/>
  <c r="BO21" i="3" s="1"/>
  <c r="AF21" i="3"/>
  <c r="BV21" i="3" s="1"/>
  <c r="R21" i="3"/>
  <c r="BH21" i="3" s="1"/>
  <c r="P21" i="3"/>
  <c r="BF21" i="3" s="1"/>
  <c r="AB21" i="3"/>
  <c r="BR21" i="3" s="1"/>
  <c r="O21" i="3"/>
  <c r="BE21" i="3" s="1"/>
  <c r="Z21" i="3"/>
  <c r="BP21" i="3" s="1"/>
  <c r="AE21" i="3"/>
  <c r="BU21" i="3" s="1"/>
  <c r="X21" i="3"/>
  <c r="BN21" i="3" s="1"/>
  <c r="AD21" i="3"/>
  <c r="BT21" i="3" s="1"/>
  <c r="U21" i="3" l="1"/>
  <c r="BK21" i="3" s="1"/>
  <c r="S21" i="3"/>
  <c r="BI21" i="3" s="1"/>
  <c r="W21" i="3"/>
  <c r="BM21" i="3" s="1"/>
  <c r="T21" i="3"/>
  <c r="BJ21" i="3" s="1"/>
  <c r="BL21" i="3"/>
  <c r="D21" i="4"/>
  <c r="AC21" i="4" l="1"/>
  <c r="BS21" i="4" s="1"/>
  <c r="AF21" i="4"/>
  <c r="BV21" i="4" s="1"/>
  <c r="AE21" i="4"/>
  <c r="BU21" i="4" s="1"/>
  <c r="AA21" i="4"/>
  <c r="BQ21" i="4" s="1"/>
  <c r="Z21" i="4"/>
  <c r="BP21" i="4" s="1"/>
  <c r="AD21" i="4" l="1"/>
  <c r="BT21" i="4" s="1"/>
  <c r="Y21" i="4"/>
  <c r="BO21" i="4" s="1"/>
  <c r="X21" i="4"/>
  <c r="BN21" i="4" s="1"/>
  <c r="AB21" i="4"/>
  <c r="BR21" i="4" s="1"/>
</calcChain>
</file>

<file path=xl/comments1.xml><?xml version="1.0" encoding="utf-8"?>
<comments xmlns="http://schemas.openxmlformats.org/spreadsheetml/2006/main">
  <authors>
    <author>Míra</author>
    <author>Kubinek</author>
    <author>Miroslav Hošek</author>
  </authors>
  <commentList>
    <comment ref="E3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4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K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Q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V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K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P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AY4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4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J4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</t>
        </r>
      </text>
    </comment>
    <comment ref="C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B</t>
        </r>
      </text>
    </comment>
    <comment ref="D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C</t>
        </r>
      </text>
    </comment>
    <comment ref="E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F5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K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F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G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H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J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K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L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M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Q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R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S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E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F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G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Míra</author>
    <author>Kubinek</author>
    <author>Miroslav Hošek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4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L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R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W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G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M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R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A4" authorId="0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B4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4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M4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horního poloměru</t>
        </r>
      </text>
    </comment>
    <comment ref="C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spodního poloměru</t>
        </r>
      </text>
    </comment>
    <comment ref="D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E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F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A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L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H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K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L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M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S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U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B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18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8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K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L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R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W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G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M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R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A18" authorId="0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B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M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horního poloměru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spodního poloměru</t>
        </r>
      </text>
    </comment>
    <comment ref="D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</t>
        </r>
      </text>
    </comment>
    <comment ref="E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F19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F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A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L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H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K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L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M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S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U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B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0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Miroslav Hošek</author>
    <author>Kubinek</author>
    <author>Míra</author>
  </authors>
  <commentList>
    <comment ref="G3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4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L4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různých stran délek vypočtené pomocí vzorce</t>
        </r>
      </text>
    </comment>
    <comment ref="N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T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Y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4" authorId="2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různých stran délek odečtené z programu VIKLAN Jednotky   </t>
        </r>
      </text>
    </comment>
    <comment ref="AJ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P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U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D4" authorId="2">
      <text>
        <r>
          <rPr>
            <b/>
            <sz val="9"/>
            <color indexed="81"/>
            <rFont val="Tahoma"/>
            <family val="2"/>
            <charset val="238"/>
          </rPr>
          <t>Hodnoty odchylky různých stran délek mezi odečteným a správným výsledkem v procentech</t>
        </r>
      </text>
    </comment>
    <comment ref="BF4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4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Q4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</t>
        </r>
      </text>
    </comment>
    <comment ref="C5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B</t>
        </r>
      </text>
    </comment>
    <comment ref="D5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C</t>
        </r>
      </text>
    </comment>
    <comment ref="E5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stěnové úhlopříčky</t>
        </r>
      </text>
    </comment>
    <comment ref="F5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tělesové úhlopříčky</t>
        </r>
      </text>
    </comment>
    <comment ref="G5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H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D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BE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H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I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J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K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E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K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O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P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T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U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X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F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6" authorId="2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O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P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Q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X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Y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18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L18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různých stran délek vypočtené pomocí vzorce</t>
        </r>
      </text>
    </comment>
    <comment ref="N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T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Y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18" authorId="2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různých stran délek odečtené z programu VIKLAN Jednotky   </t>
        </r>
      </text>
    </comment>
    <comment ref="AJ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P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U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D18" authorId="2">
      <text>
        <r>
          <rPr>
            <b/>
            <sz val="9"/>
            <color indexed="81"/>
            <rFont val="Tahoma"/>
            <family val="2"/>
            <charset val="238"/>
          </rPr>
          <t>Hodnoty odchylky různých stran délek mezi odečteným a správným výsledkem v procentech</t>
        </r>
      </text>
    </comment>
    <comment ref="BF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Q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</t>
        </r>
      </text>
    </comment>
    <comment ref="C19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B</t>
        </r>
      </text>
    </comment>
    <comment ref="D19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stěnové úhlopříčky</t>
        </r>
      </text>
    </comment>
    <comment ref="E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C</t>
        </r>
      </text>
    </comment>
    <comment ref="F19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tělesové úhlopříčky</t>
        </r>
      </text>
    </comment>
    <comment ref="G19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H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D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H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I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J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K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E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K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O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P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T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U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X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F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20" authorId="2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O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P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Q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X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Y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1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32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2" authorId="0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L32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různých stran délek vypočtené pomocí vzorce</t>
        </r>
      </text>
    </comment>
    <comment ref="N32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T32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Y32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32" authorId="2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různých stran délek odečtené z programu VIKLAN Jednotky   </t>
        </r>
      </text>
    </comment>
    <comment ref="AJ32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P32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U32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D32" authorId="2">
      <text>
        <r>
          <rPr>
            <b/>
            <sz val="9"/>
            <color indexed="81"/>
            <rFont val="Tahoma"/>
            <family val="2"/>
            <charset val="238"/>
          </rPr>
          <t>Hodnoty odchylky různých stran délek mezi odečteným a správným výsledkem v procentech</t>
        </r>
      </text>
    </comment>
    <comment ref="BF32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32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Q32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33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</t>
        </r>
      </text>
    </comment>
    <comment ref="C33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B</t>
        </r>
      </text>
    </comment>
    <comment ref="D33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tělesové úhlopříčky</t>
        </r>
      </text>
    </comment>
    <comment ref="E33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C</t>
        </r>
      </text>
    </comment>
    <comment ref="F33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stěnové úhlopříčky</t>
        </r>
      </text>
    </comment>
    <comment ref="G33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3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33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H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D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H34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I34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J34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K34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N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Y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E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K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N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O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P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T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U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X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B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C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F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34" authorId="2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O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P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Q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X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Y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Miroslav Hošek</author>
    <author>Kubinek</author>
    <author>Míra</author>
  </authors>
  <commentList>
    <comment ref="F3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4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J4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K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Q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V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4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F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L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Q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AZ4" authorId="2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A4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4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L4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</t>
        </r>
      </text>
    </comment>
    <comment ref="C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D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průměru</t>
        </r>
      </text>
    </comment>
    <comment ref="E5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E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Z5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F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G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H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I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K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G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J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K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L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M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R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6" authorId="2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G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7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18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J18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K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Q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V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8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F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L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Q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AZ18" authorId="2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A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L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průměru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D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</t>
        </r>
      </text>
    </comment>
    <comment ref="E19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E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Z19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F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G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H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I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K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G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J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K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L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M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R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0" authorId="2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G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Miroslav Hošek</author>
    <author>Kubinek</author>
    <author>Míra</author>
  </authors>
  <commentList>
    <comment ref="H3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4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L4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různých stran délek vypočtené pomocí vzorce</t>
        </r>
      </text>
    </comment>
    <comment ref="N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T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Y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4" authorId="2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různých stran délek odečtené z programu VIKLAN Jednotky   </t>
        </r>
      </text>
    </comment>
    <comment ref="AJ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P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U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D4" authorId="2">
      <text>
        <r>
          <rPr>
            <b/>
            <sz val="9"/>
            <color indexed="81"/>
            <rFont val="Tahoma"/>
            <family val="2"/>
            <charset val="238"/>
          </rPr>
          <t>Hodnoty odchylky různých stran délek mezi odečteným a správným výsledkem v procentech</t>
        </r>
      </text>
    </comment>
    <comment ref="BF4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4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Q4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</t>
        </r>
      </text>
    </comment>
    <comment ref="C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D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
poloměru kružnice opsané</t>
        </r>
      </text>
    </comment>
    <comment ref="E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 kružnice vepsané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počtu stran</t>
        </r>
      </text>
    </comment>
    <comment ref="L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H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D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H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I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J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K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E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K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O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P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T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U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X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F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6" authorId="2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O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P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Q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X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Y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18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L18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různých stran délek vypočtené pomocí vzorce</t>
        </r>
      </text>
    </comment>
    <comment ref="N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T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Y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18" authorId="2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různých stran délek odečtené z programu VIKLAN Jednotky   </t>
        </r>
      </text>
    </comment>
    <comment ref="AJ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P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U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D18" authorId="2">
      <text>
        <r>
          <rPr>
            <b/>
            <sz val="9"/>
            <color indexed="81"/>
            <rFont val="Tahoma"/>
            <family val="2"/>
            <charset val="238"/>
          </rPr>
          <t>Hodnoty odchylky různých stran délek mezi odečteným a správným výsledkem v procentech</t>
        </r>
      </text>
    </comment>
    <comment ref="BF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Q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 kružnice opsané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D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 kružnice vepsané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9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počtu stran</t>
        </r>
      </text>
    </comment>
    <comment ref="L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H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D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H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I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J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K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E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K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O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P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T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U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X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F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20" authorId="2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O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P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Q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X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Y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1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32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2" authorId="0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L32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různých stran délek vypočtené pomocí vzorce</t>
        </r>
      </text>
    </comment>
    <comment ref="N32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T32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Y32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32" authorId="2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různých stran délek odečtené z programu VIKLAN Jednotky   </t>
        </r>
      </text>
    </comment>
    <comment ref="AJ32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P32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U32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D32" authorId="2">
      <text>
        <r>
          <rPr>
            <b/>
            <sz val="9"/>
            <color indexed="81"/>
            <rFont val="Tahoma"/>
            <family val="2"/>
            <charset val="238"/>
          </rPr>
          <t>Hodnoty odchylky různých stran délek mezi odečteným a správným výsledkem v procentech</t>
        </r>
      </text>
    </comment>
    <comment ref="BF32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32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Q32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33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 kružnice vepsané</t>
        </r>
      </text>
    </comment>
    <comment ref="C33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D33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3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
poloměru kružnice opsané</t>
        </r>
      </text>
    </comment>
    <comment ref="F33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3" authorId="2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počtu stran</t>
        </r>
      </text>
    </comment>
    <comment ref="L33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33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H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BD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H34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I34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J34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K34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N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Y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E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K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N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O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P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T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U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X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B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C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F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34" authorId="2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O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P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Q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X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Y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Míra</author>
    <author>Kubinek</author>
    <author>Miroslav Hošek</author>
  </authors>
  <commentList>
    <comment ref="F3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4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L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M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S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X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H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N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S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B4" authorId="0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C4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4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N4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</t>
        </r>
      </text>
    </comment>
    <comment ref="C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B</t>
        </r>
      </text>
    </comment>
    <comment ref="D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A2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B2</t>
        </r>
      </text>
    </comment>
    <comment ref="F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G5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G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B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M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D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L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M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N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C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7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18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8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L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M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S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X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H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N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S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B18" authorId="0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C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N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B</t>
        </r>
      </text>
    </comment>
    <comment ref="D19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A2</t>
        </r>
      </text>
    </comment>
    <comment ref="E19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B2</t>
        </r>
      </text>
    </comment>
    <comment ref="F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G19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G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B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K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M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D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L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M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N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C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0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Míra</author>
    <author>Kubinek</author>
    <author>Miroslav Hošek</author>
  </authors>
  <commentList>
    <comment ref="F3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4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L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M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S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X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H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N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S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B4" authorId="0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C4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4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N4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</t>
        </r>
      </text>
    </comment>
    <comment ref="C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D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
výšky odříznuté části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A2</t>
        </r>
      </text>
    </comment>
    <comment ref="F5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počtu stran</t>
        </r>
      </text>
    </comment>
    <comment ref="L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G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B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M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D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L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M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N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C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7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18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8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L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M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S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X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H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N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S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B18" authorId="0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C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N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D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
výšky odříznuté části</t>
        </r>
      </text>
    </comment>
    <comment ref="E19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A2</t>
        </r>
      </text>
    </comment>
    <comment ref="F19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počtu stran</t>
        </r>
      </text>
    </comment>
    <comment ref="L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G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B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K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M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D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L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M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N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C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0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Míra</author>
    <author>Kubinek</author>
    <author>Miroslav Hošek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4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4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J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P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U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E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K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P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AY4" authorId="0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AZ4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4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K4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</t>
        </r>
      </text>
    </comment>
    <comment ref="C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průměru</t>
        </r>
      </text>
    </comment>
    <comment ref="D5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D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Y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J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L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F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I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J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K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L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M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Q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S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F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G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18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I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J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P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U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E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K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P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AY18" authorId="0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AZ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K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průměru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</t>
        </r>
      </text>
    </comment>
    <comment ref="D19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D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Y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E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J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L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F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I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J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K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L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M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Q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S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0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F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G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Míra</author>
    <author>Kubinek</author>
    <author>Miroslav Hošek</author>
  </authors>
  <commentList>
    <comment ref="E3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4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různých stran délek vypočtené pomocí vzorce</t>
        </r>
      </text>
    </comment>
    <comment ref="L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R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W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různých stran délek odečtené z programu VIKLAN Jednotky   </t>
        </r>
      </text>
    </comment>
    <comment ref="AH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N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S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B4" authorId="0">
      <text>
        <r>
          <rPr>
            <b/>
            <sz val="9"/>
            <color indexed="81"/>
            <rFont val="Tahoma"/>
            <family val="2"/>
            <charset val="238"/>
          </rPr>
          <t>Hodnoty odchylky různých stran délek mezi odečteným a správným výsledkem v procentech</t>
        </r>
      </text>
    </comment>
    <comment ref="BD4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4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O4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</t>
        </r>
      </text>
    </comment>
    <comment ref="C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stěnové úhlopříčky</t>
        </r>
      </text>
    </comment>
    <comment ref="D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tělesové úhlopříčky</t>
        </r>
      </text>
    </comment>
    <comment ref="E5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K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F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G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B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BC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L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L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M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N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D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O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18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8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různých stran délek vypočtené pomocí vzorce</t>
        </r>
      </text>
    </comment>
    <comment ref="L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R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W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různých stran délek odečtené z programu VIKLAN Jednotky   </t>
        </r>
      </text>
    </comment>
    <comment ref="AH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N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S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B18" authorId="0">
      <text>
        <r>
          <rPr>
            <b/>
            <sz val="9"/>
            <color indexed="81"/>
            <rFont val="Tahoma"/>
            <family val="2"/>
            <charset val="238"/>
          </rPr>
          <t>Hodnoty odchylky různých stran délek mezi odečteným a správným výsledkem v procentech</t>
        </r>
      </text>
    </comment>
    <comment ref="BD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O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stěnové úhlopříčky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</t>
        </r>
      </text>
    </comment>
    <comment ref="D19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tělesové úhlopříčky</t>
        </r>
      </text>
    </comment>
    <comment ref="E19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K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F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G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B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L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L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M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N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D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20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O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32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2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J32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různých stran délek vypočtené pomocí vzorce</t>
        </r>
      </text>
    </comment>
    <comment ref="L32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R32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W32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různých stran délek odečtené z programu VIKLAN Jednotky   </t>
        </r>
      </text>
    </comment>
    <comment ref="AH32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N32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S32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B32" authorId="0">
      <text>
        <r>
          <rPr>
            <b/>
            <sz val="9"/>
            <color indexed="81"/>
            <rFont val="Tahoma"/>
            <family val="2"/>
            <charset val="238"/>
          </rPr>
          <t>Hodnoty odchylky různých stran délek mezi odečteným a správným výsledkem v procentech</t>
        </r>
      </text>
    </comment>
    <comment ref="BD32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32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O32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tělesové úhlopříčky</t>
        </r>
      </text>
    </comment>
    <comment ref="C33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strany A</t>
        </r>
      </text>
    </comment>
    <comment ref="D33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stěnové úhlopříčky</t>
        </r>
      </text>
    </comment>
    <comment ref="E33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3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K33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F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G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B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</text>
    </comment>
    <comment ref="F34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H34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I34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L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C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I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L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M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N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S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V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34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D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3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3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N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O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34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Míra</author>
    <author>Kubinek</author>
    <author>Miroslav Hošek</author>
  </authors>
  <commentList>
    <comment ref="E3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4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K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Q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V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F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L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Q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AZ4" authorId="0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A4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4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L4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</t>
        </r>
      </text>
    </comment>
    <comment ref="C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D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průměru</t>
        </r>
      </text>
    </comment>
    <comment ref="E5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E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Z5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K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G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J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K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L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M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R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G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18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8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K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Q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V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F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L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Q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AZ18" authorId="0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A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L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průměru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D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</t>
        </r>
      </text>
    </comment>
    <comment ref="E19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E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Z19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K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G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J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K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L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M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R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0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G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Míra</author>
    <author>Kubinek</author>
    <author>Miroslav Hošek</author>
  </authors>
  <commentList>
    <comment ref="F3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4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L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R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W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G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M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R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A4" authorId="0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B4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4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M4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</t>
        </r>
      </text>
    </comment>
    <comment ref="C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D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 odříznuté části</t>
        </r>
      </text>
    </comment>
    <comment ref="E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průměru</t>
        </r>
      </text>
    </comment>
    <comment ref="F5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F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A5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L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H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K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L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M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S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U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B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7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18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8" authorId="2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K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L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R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W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8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G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M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R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BA18" authorId="0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B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M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průměru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</t>
        </r>
      </text>
    </comment>
    <comment ref="D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 odříznuté části</t>
        </r>
      </text>
    </comment>
    <comment ref="E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</t>
        </r>
      </text>
    </comment>
    <comment ref="F19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F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BA19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L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H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K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L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M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R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S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U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B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0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M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Miroslav Hošek</author>
    <author>Kubinek</author>
    <author>Míra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4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J4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K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Q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V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4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F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L4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Q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AZ4" authorId="2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A4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4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L4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 úseče</t>
        </r>
      </text>
    </comment>
    <comment ref="C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</t>
        </r>
      </text>
    </comment>
    <comment ref="D5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průměru</t>
        </r>
      </text>
    </comment>
    <comment ref="E5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E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Z5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F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G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H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I6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K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B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G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J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K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L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M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R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W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6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6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6" authorId="2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G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6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  <charset val="238"/>
          </rPr>
          <t>Těleso</t>
        </r>
      </text>
    </comment>
    <comment ref="B18" authorId="1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238"/>
          </rPr>
          <t>V těchto sloupcích hodnoty Hustoty v různých jednotkách</t>
        </r>
      </text>
    </comment>
    <comment ref="J18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vypočtené pomocí vzorce</t>
        </r>
      </text>
    </comment>
    <comment ref="K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Objemu vypočtené pomocí vzorce</t>
        </r>
      </text>
    </comment>
    <comment ref="Q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vypočtené pomocí vzorce</t>
        </r>
      </text>
    </comment>
    <comment ref="V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Povrchu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8" authorId="2">
      <text>
        <r>
          <rPr>
            <b/>
            <sz val="9"/>
            <color indexed="81"/>
            <rFont val="Tahoma"/>
            <family val="2"/>
            <charset val="238"/>
          </rPr>
          <t>Výsledné hodnoty této strany odečtené z programu VIKLAN Jednotky</t>
        </r>
      </text>
    </comment>
    <comment ref="AF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Objemu odečtené z programu VIKLAN Jednotky
</t>
        </r>
      </text>
    </comment>
    <comment ref="AL18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Hmotnosti odečtené z programu VIKLAN Jednotky</t>
        </r>
      </text>
    </comment>
    <comment ref="AQ18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Výsledné hodnoty Povrchu odečtené z programu VIKLAN Jednotky
</t>
        </r>
      </text>
    </comment>
    <comment ref="AZ18" authorId="2">
      <text>
        <r>
          <rPr>
            <b/>
            <sz val="9"/>
            <color indexed="81"/>
            <rFont val="Tahoma"/>
            <family val="2"/>
            <charset val="238"/>
          </rPr>
          <t>Hodnoty odchylky této strany mezi odečteným a správným výsledkem v procentech</t>
        </r>
      </text>
    </comment>
    <comment ref="BA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Objemu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Hmotnosti mezi odečteným a správným výsledkem v procentech</t>
        </r>
      </text>
    </comment>
    <comment ref="BL18" authorId="1">
      <text>
        <r>
          <rPr>
            <b/>
            <sz val="9"/>
            <color indexed="81"/>
            <rFont val="Tahoma"/>
            <family val="2"/>
            <charset val="238"/>
          </rPr>
          <t>Hodnoty odchylky Povrchu mezi odečteným a správným výsledkem v procentech</t>
        </r>
      </text>
    </comment>
    <comment ref="B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výšky úseče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průměru</t>
        </r>
      </text>
    </comment>
    <comment ref="D19" authorId="1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 poloměru</t>
        </r>
      </text>
    </comment>
    <comment ref="E19" authorId="1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9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E1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Z19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F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G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kg/l</t>
        </r>
      </text>
    </comment>
    <comment ref="H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lb/cu ft</t>
        </r>
      </text>
    </comment>
    <comment ref="I20" authorId="2">
      <text>
        <r>
          <rPr>
            <b/>
            <sz val="9"/>
            <color indexed="81"/>
            <rFont val="Tahoma"/>
            <family val="2"/>
            <charset val="238"/>
          </rPr>
          <t>Sloupec obsahuje hmotnost v g/cm</t>
        </r>
        <r>
          <rPr>
            <b/>
            <vertAlign val="superscript"/>
            <sz val="9"/>
            <color indexed="81"/>
            <rFont val="Tahoma"/>
            <family val="2"/>
            <charset val="238"/>
          </rPr>
          <t>3</t>
        </r>
      </text>
    </comment>
    <comment ref="K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M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N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O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P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Q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R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S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T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B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G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
</t>
        </r>
      </text>
    </comment>
    <comment ref="AJ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K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L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M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N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O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P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AQ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R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AT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W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X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Y20" authorId="1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BA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0" authorId="2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G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H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I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J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K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BL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20" authorId="1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<sst xmlns="http://schemas.openxmlformats.org/spreadsheetml/2006/main" count="2599" uniqueCount="102">
  <si>
    <t>Strana A</t>
  </si>
  <si>
    <t>Jednotky délky</t>
  </si>
  <si>
    <t>cm</t>
  </si>
  <si>
    <t>ft</t>
  </si>
  <si>
    <t>in</t>
  </si>
  <si>
    <t>m</t>
  </si>
  <si>
    <t>mi</t>
  </si>
  <si>
    <t>mm</t>
  </si>
  <si>
    <t>yd</t>
  </si>
  <si>
    <t>sq in</t>
  </si>
  <si>
    <t>sq ft</t>
  </si>
  <si>
    <t>a</t>
  </si>
  <si>
    <t>ha</t>
  </si>
  <si>
    <t>ac</t>
  </si>
  <si>
    <t>Kontroloval:</t>
  </si>
  <si>
    <t>Miroslav Hošek</t>
  </si>
  <si>
    <t>Dne</t>
  </si>
  <si>
    <t>Metoda SSSV</t>
  </si>
  <si>
    <t>Strana B</t>
  </si>
  <si>
    <t>Strana C</t>
  </si>
  <si>
    <t>Výška</t>
  </si>
  <si>
    <t>Objem</t>
  </si>
  <si>
    <t>Hmotnost</t>
  </si>
  <si>
    <r>
      <t>cm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</si>
  <si>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dm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</si>
  <si>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</si>
  <si>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mm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</si>
  <si>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g/cm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</si>
  <si>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kg/l</t>
  </si>
  <si>
    <r>
      <t>kg/m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</si>
  <si>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lb/cu ft</t>
  </si>
  <si>
    <t>Hustota</t>
  </si>
  <si>
    <t>cl</t>
  </si>
  <si>
    <t>hl</t>
  </si>
  <si>
    <t>dl</t>
  </si>
  <si>
    <t>ml</t>
  </si>
  <si>
    <t>l</t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</si>
  <si>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</si>
  <si>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lb</t>
  </si>
  <si>
    <t>tr oz</t>
  </si>
  <si>
    <t>t</t>
  </si>
  <si>
    <t>kg</t>
  </si>
  <si>
    <t>g</t>
  </si>
  <si>
    <r>
      <rPr>
        <sz val="11"/>
        <color theme="1"/>
        <rFont val="Calibri"/>
        <family val="2"/>
        <charset val="238"/>
      </rPr>
      <t>µ</t>
    </r>
    <r>
      <rPr>
        <sz val="9.35"/>
        <color theme="1"/>
        <rFont val="Calibri"/>
        <family val="2"/>
        <charset val="238"/>
      </rPr>
      <t>m</t>
    </r>
  </si>
  <si>
    <t xml:space="preserve">Povrch   </t>
  </si>
  <si>
    <t>Povrch</t>
  </si>
  <si>
    <t>Těleso</t>
  </si>
  <si>
    <t>Hranol 3-boký</t>
  </si>
  <si>
    <t>Metoda Avn</t>
  </si>
  <si>
    <t>Metoda RoVn</t>
  </si>
  <si>
    <t>Metoda RvVn</t>
  </si>
  <si>
    <t>Hranol kolmý</t>
  </si>
  <si>
    <t>Jehlan 4-boký</t>
  </si>
  <si>
    <t>Metoda SSVSa</t>
  </si>
  <si>
    <t>Metoda SSVSb</t>
  </si>
  <si>
    <t>Jehlan pravidelný</t>
  </si>
  <si>
    <t>Metoda SVVn</t>
  </si>
  <si>
    <t>Metoda SVSn</t>
  </si>
  <si>
    <t>Koule</t>
  </si>
  <si>
    <t>Metoda R</t>
  </si>
  <si>
    <t>Metoda D</t>
  </si>
  <si>
    <t>Krychle</t>
  </si>
  <si>
    <t>Metoda A</t>
  </si>
  <si>
    <t>Metoda Us</t>
  </si>
  <si>
    <t>Metoda Ut</t>
  </si>
  <si>
    <t>Kulová úseč</t>
  </si>
  <si>
    <t>Metoda RV</t>
  </si>
  <si>
    <t>Metoda DV</t>
  </si>
  <si>
    <t>Kulová vrstva</t>
  </si>
  <si>
    <t>Metoda RVV2</t>
  </si>
  <si>
    <t>Metoda DVV2</t>
  </si>
  <si>
    <t>Kulová výseč</t>
  </si>
  <si>
    <t>Kužel rotační</t>
  </si>
  <si>
    <t>Metoda VRR</t>
  </si>
  <si>
    <t>Metoda SRR</t>
  </si>
  <si>
    <t>Kvádr</t>
  </si>
  <si>
    <t>Metoda ABC</t>
  </si>
  <si>
    <t>Metoda ABUs</t>
  </si>
  <si>
    <t>Metoda ABUt</t>
  </si>
  <si>
    <t>Válec</t>
  </si>
  <si>
    <t>Poloměr</t>
  </si>
  <si>
    <t>Průměr</t>
  </si>
  <si>
    <t>Stěnová úhlopříčka</t>
  </si>
  <si>
    <t>Tělesová úhlopříčka</t>
  </si>
  <si>
    <t>Počet stran</t>
  </si>
  <si>
    <t>Poloměr kružnice opsané</t>
  </si>
  <si>
    <t>Poloměr kružnice vepsané</t>
  </si>
  <si>
    <t>Poloměr horní</t>
  </si>
  <si>
    <t>Poloměr spodní</t>
  </si>
  <si>
    <t>Strana</t>
  </si>
  <si>
    <t>Výška odříznuté části</t>
  </si>
  <si>
    <t>Poloměr kr. opsaná</t>
  </si>
  <si>
    <t>Poloměr kr. vepsané</t>
  </si>
  <si>
    <t>Strany různých délek</t>
  </si>
  <si>
    <t>Výška úseče</t>
  </si>
  <si>
    <t>Strana A2</t>
  </si>
  <si>
    <t>Strana B2</t>
  </si>
  <si>
    <t>2,70378519664014E-</t>
  </si>
  <si>
    <t>Hodnoty v programu VIKLAN Jednotky</t>
  </si>
  <si>
    <t>Výsledné hodnoty vypočtené pomocí vzorce</t>
  </si>
  <si>
    <t>Výsledné hodnoty odečtené z programu VIKLAN Jednotky</t>
  </si>
  <si>
    <t>Odchylky mezi odečteným a správným výsledkem v procentech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</si>
</sst>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000"/>
    <numFmt numFmtId="165" formatCode="0.0000"/>
    <numFmt numFmtId="166" formatCode="0.00000"/>
    <numFmt numFmtId="167" formatCode="0.000"/>
    <numFmt numFmtId="168" formatCode="0.0000000000%"/>
    <numFmt numFmtId="169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.35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vertAlign val="superscript"/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ashed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auto="1"/>
      </diagonal>
    </border>
    <border diagonalUp="1">
      <left/>
      <right style="thick">
        <color auto="1"/>
      </right>
      <top style="medium">
        <color indexed="64"/>
      </top>
      <bottom/>
      <diagonal style="thin">
        <color auto="1"/>
      </diagonal>
    </border>
    <border diagonalUp="1">
      <left/>
      <right style="thick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auto="1"/>
      </diagonal>
    </border>
    <border diagonalUp="1">
      <left/>
      <right style="thick">
        <color indexed="64"/>
      </right>
      <top/>
      <bottom style="thick">
        <color indexed="64"/>
      </bottom>
      <diagonal style="thin">
        <color auto="1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Up="1">
      <left style="medium">
        <color indexed="64"/>
      </left>
      <right/>
      <top/>
      <bottom style="thick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/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/>
      <diagonal style="thin">
        <color auto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/>
      <top/>
      <bottom style="thick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44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11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2" borderId="9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34" xfId="0" applyFont="1" applyFill="1" applyBorder="1" applyAlignment="1">
      <alignment horizontal="center"/>
    </xf>
    <xf numFmtId="0" fontId="0" fillId="2" borderId="47" xfId="0" applyFont="1" applyFill="1" applyBorder="1" applyAlignment="1">
      <alignment horizontal="center"/>
    </xf>
    <xf numFmtId="0" fontId="0" fillId="2" borderId="48" xfId="0" applyFont="1" applyFill="1" applyBorder="1" applyAlignment="1">
      <alignment horizontal="center"/>
    </xf>
    <xf numFmtId="0" fontId="0" fillId="0" borderId="0" xfId="0" applyAlignment="1"/>
    <xf numFmtId="0" fontId="0" fillId="2" borderId="47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50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168" fontId="0" fillId="6" borderId="1" xfId="0" applyNumberFormat="1" applyFill="1" applyBorder="1"/>
    <xf numFmtId="168" fontId="0" fillId="6" borderId="9" xfId="0" applyNumberFormat="1" applyFill="1" applyBorder="1"/>
    <xf numFmtId="168" fontId="0" fillId="6" borderId="2" xfId="0" applyNumberFormat="1" applyFill="1" applyBorder="1"/>
    <xf numFmtId="168" fontId="0" fillId="6" borderId="32" xfId="0" applyNumberFormat="1" applyFill="1" applyBorder="1"/>
    <xf numFmtId="168" fontId="0" fillId="6" borderId="34" xfId="0" applyNumberFormat="1" applyFill="1" applyBorder="1"/>
    <xf numFmtId="168" fontId="0" fillId="6" borderId="18" xfId="0" applyNumberFormat="1" applyFill="1" applyBorder="1"/>
    <xf numFmtId="168" fontId="0" fillId="6" borderId="11" xfId="0" applyNumberFormat="1" applyFill="1" applyBorder="1"/>
    <xf numFmtId="168" fontId="0" fillId="6" borderId="23" xfId="0" applyNumberFormat="1" applyFill="1" applyBorder="1"/>
    <xf numFmtId="168" fontId="0" fillId="6" borderId="12" xfId="0" applyNumberFormat="1" applyFill="1" applyBorder="1"/>
    <xf numFmtId="168" fontId="0" fillId="6" borderId="47" xfId="0" applyNumberFormat="1" applyFill="1" applyBorder="1"/>
    <xf numFmtId="168" fontId="0" fillId="6" borderId="19" xfId="0" applyNumberFormat="1" applyFill="1" applyBorder="1"/>
    <xf numFmtId="168" fontId="0" fillId="6" borderId="20" xfId="0" applyNumberFormat="1" applyFill="1" applyBorder="1"/>
    <xf numFmtId="168" fontId="0" fillId="6" borderId="29" xfId="0" applyNumberFormat="1" applyFill="1" applyBorder="1"/>
    <xf numFmtId="168" fontId="0" fillId="6" borderId="28" xfId="0" applyNumberFormat="1" applyFill="1" applyBorder="1"/>
    <xf numFmtId="168" fontId="0" fillId="6" borderId="48" xfId="0" applyNumberFormat="1" applyFill="1" applyBorder="1"/>
    <xf numFmtId="0" fontId="0" fillId="2" borderId="56" xfId="0" applyFont="1" applyFill="1" applyBorder="1" applyAlignment="1">
      <alignment horizontal="center"/>
    </xf>
    <xf numFmtId="0" fontId="0" fillId="2" borderId="57" xfId="0" applyFont="1" applyFill="1" applyBorder="1" applyAlignment="1">
      <alignment horizontal="center"/>
    </xf>
    <xf numFmtId="0" fontId="0" fillId="2" borderId="58" xfId="0" applyFont="1" applyFill="1" applyBorder="1" applyAlignment="1">
      <alignment horizontal="center"/>
    </xf>
    <xf numFmtId="0" fontId="0" fillId="2" borderId="59" xfId="0" applyFont="1" applyFill="1" applyBorder="1" applyAlignment="1">
      <alignment horizontal="center"/>
    </xf>
    <xf numFmtId="0" fontId="0" fillId="2" borderId="60" xfId="0" applyFont="1" applyFill="1" applyBorder="1" applyAlignment="1">
      <alignment horizontal="center"/>
    </xf>
    <xf numFmtId="0" fontId="0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/>
    </xf>
    <xf numFmtId="0" fontId="0" fillId="2" borderId="61" xfId="0" applyFont="1" applyFill="1" applyBorder="1" applyAlignment="1">
      <alignment horizontal="center"/>
    </xf>
    <xf numFmtId="0" fontId="0" fillId="2" borderId="62" xfId="0" applyFont="1" applyFill="1" applyBorder="1" applyAlignment="1">
      <alignment horizontal="center"/>
    </xf>
    <xf numFmtId="0" fontId="0" fillId="2" borderId="63" xfId="0" applyFont="1" applyFill="1" applyBorder="1" applyAlignment="1">
      <alignment horizontal="center"/>
    </xf>
    <xf numFmtId="0" fontId="0" fillId="2" borderId="64" xfId="0" applyFont="1" applyFill="1" applyBorder="1" applyAlignment="1">
      <alignment horizontal="center"/>
    </xf>
    <xf numFmtId="0" fontId="0" fillId="2" borderId="65" xfId="0" applyFont="1" applyFill="1" applyBorder="1" applyAlignment="1">
      <alignment horizontal="center"/>
    </xf>
    <xf numFmtId="0" fontId="0" fillId="2" borderId="66" xfId="0" applyFont="1" applyFill="1" applyBorder="1" applyAlignment="1">
      <alignment horizontal="center"/>
    </xf>
    <xf numFmtId="2" fontId="0" fillId="2" borderId="47" xfId="0" applyNumberFormat="1" applyFill="1" applyBorder="1" applyAlignment="1">
      <alignment horizontal="center"/>
    </xf>
    <xf numFmtId="0" fontId="0" fillId="3" borderId="9" xfId="0" applyNumberFormat="1" applyFill="1" applyBorder="1"/>
    <xf numFmtId="0" fontId="0" fillId="3" borderId="36" xfId="0" applyNumberFormat="1" applyFill="1" applyBorder="1"/>
    <xf numFmtId="0" fontId="0" fillId="4" borderId="9" xfId="0" applyNumberFormat="1" applyFill="1" applyBorder="1"/>
    <xf numFmtId="0" fontId="0" fillId="5" borderId="9" xfId="0" applyNumberFormat="1" applyFill="1" applyBorder="1"/>
    <xf numFmtId="0" fontId="0" fillId="3" borderId="12" xfId="0" applyNumberFormat="1" applyFill="1" applyBorder="1"/>
    <xf numFmtId="0" fontId="0" fillId="3" borderId="11" xfId="0" applyNumberFormat="1" applyFill="1" applyBorder="1"/>
    <xf numFmtId="0" fontId="0" fillId="3" borderId="13" xfId="0" applyNumberFormat="1" applyFill="1" applyBorder="1"/>
    <xf numFmtId="0" fontId="0" fillId="4" borderId="11" xfId="0" applyNumberFormat="1" applyFill="1" applyBorder="1"/>
    <xf numFmtId="0" fontId="0" fillId="5" borderId="11" xfId="0" applyNumberFormat="1" applyFill="1" applyBorder="1"/>
    <xf numFmtId="0" fontId="0" fillId="3" borderId="20" xfId="0" applyNumberFormat="1" applyFill="1" applyBorder="1"/>
    <xf numFmtId="0" fontId="0" fillId="3" borderId="38" xfId="0" applyNumberFormat="1" applyFill="1" applyBorder="1"/>
    <xf numFmtId="0" fontId="0" fillId="4" borderId="20" xfId="0" applyNumberFormat="1" applyFill="1" applyBorder="1"/>
    <xf numFmtId="0" fontId="0" fillId="5" borderId="20" xfId="0" applyNumberFormat="1" applyFill="1" applyBorder="1"/>
    <xf numFmtId="0" fontId="0" fillId="3" borderId="32" xfId="0" applyNumberFormat="1" applyFill="1" applyBorder="1"/>
    <xf numFmtId="0" fontId="0" fillId="3" borderId="28" xfId="0" applyNumberFormat="1" applyFill="1" applyBorder="1"/>
    <xf numFmtId="0" fontId="0" fillId="5" borderId="2" xfId="0" applyNumberFormat="1" applyFill="1" applyBorder="1"/>
    <xf numFmtId="0" fontId="0" fillId="5" borderId="23" xfId="0" applyNumberFormat="1" applyFill="1" applyBorder="1"/>
    <xf numFmtId="0" fontId="0" fillId="5" borderId="29" xfId="0" applyNumberFormat="1" applyFill="1" applyBorder="1"/>
    <xf numFmtId="0" fontId="2" fillId="2" borderId="40" xfId="0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1" fontId="0" fillId="2" borderId="39" xfId="0" applyNumberForma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" fontId="0" fillId="2" borderId="27" xfId="0" applyNumberFormat="1" applyFill="1" applyBorder="1" applyAlignment="1">
      <alignment horizontal="center"/>
    </xf>
    <xf numFmtId="1" fontId="0" fillId="2" borderId="28" xfId="0" applyNumberFormat="1" applyFill="1" applyBorder="1" applyAlignment="1">
      <alignment horizontal="center"/>
    </xf>
    <xf numFmtId="2" fontId="0" fillId="2" borderId="39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69" fontId="0" fillId="2" borderId="11" xfId="0" applyNumberFormat="1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166" fontId="0" fillId="2" borderId="39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4" fontId="0" fillId="0" borderId="0" xfId="0" applyNumberFormat="1"/>
    <xf numFmtId="0" fontId="1" fillId="6" borderId="8" xfId="0" applyFont="1" applyFill="1" applyBorder="1" applyAlignment="1">
      <alignment horizontal="center" vertical="center"/>
    </xf>
    <xf numFmtId="0" fontId="1" fillId="6" borderId="69" xfId="0" applyFont="1" applyFill="1" applyBorder="1" applyAlignment="1">
      <alignment horizontal="center" vertical="center"/>
    </xf>
    <xf numFmtId="168" fontId="0" fillId="6" borderId="8" xfId="0" applyNumberFormat="1" applyFill="1" applyBorder="1"/>
    <xf numFmtId="168" fontId="0" fillId="6" borderId="76" xfId="0" applyNumberFormat="1" applyFill="1" applyBorder="1"/>
    <xf numFmtId="168" fontId="0" fillId="6" borderId="10" xfId="0" applyNumberFormat="1" applyFill="1" applyBorder="1"/>
    <xf numFmtId="168" fontId="0" fillId="6" borderId="77" xfId="0" applyNumberFormat="1" applyFill="1" applyBorder="1"/>
    <xf numFmtId="168" fontId="0" fillId="6" borderId="37" xfId="0" applyNumberFormat="1" applyFill="1" applyBorder="1"/>
    <xf numFmtId="168" fontId="0" fillId="6" borderId="78" xfId="0" applyNumberFormat="1" applyFill="1" applyBorder="1"/>
    <xf numFmtId="0" fontId="1" fillId="4" borderId="8" xfId="0" applyFont="1" applyFill="1" applyBorder="1" applyAlignment="1">
      <alignment horizontal="center" vertical="center"/>
    </xf>
    <xf numFmtId="0" fontId="1" fillId="4" borderId="69" xfId="0" applyFont="1" applyFill="1" applyBorder="1" applyAlignment="1">
      <alignment horizontal="center" vertical="center"/>
    </xf>
    <xf numFmtId="0" fontId="0" fillId="4" borderId="8" xfId="0" applyNumberFormat="1" applyFill="1" applyBorder="1"/>
    <xf numFmtId="0" fontId="0" fillId="4" borderId="69" xfId="0" applyNumberFormat="1" applyFill="1" applyBorder="1"/>
    <xf numFmtId="0" fontId="0" fillId="4" borderId="10" xfId="0" applyNumberFormat="1" applyFill="1" applyBorder="1"/>
    <xf numFmtId="0" fontId="0" fillId="4" borderId="74" xfId="0" applyNumberFormat="1" applyFill="1" applyBorder="1"/>
    <xf numFmtId="0" fontId="0" fillId="4" borderId="37" xfId="0" applyNumberFormat="1" applyFill="1" applyBorder="1"/>
    <xf numFmtId="0" fontId="0" fillId="4" borderId="75" xfId="0" applyNumberFormat="1" applyFill="1" applyBorder="1"/>
    <xf numFmtId="0" fontId="1" fillId="3" borderId="35" xfId="0" applyFont="1" applyFill="1" applyBorder="1" applyAlignment="1">
      <alignment horizontal="center" vertical="center"/>
    </xf>
    <xf numFmtId="0" fontId="1" fillId="5" borderId="80" xfId="0" applyFont="1" applyFill="1" applyBorder="1" applyAlignment="1">
      <alignment horizontal="center" vertical="center"/>
    </xf>
    <xf numFmtId="0" fontId="0" fillId="5" borderId="32" xfId="0" applyNumberFormat="1" applyFill="1" applyBorder="1"/>
    <xf numFmtId="0" fontId="0" fillId="5" borderId="53" xfId="0" applyNumberFormat="1" applyFill="1" applyBorder="1"/>
    <xf numFmtId="0" fontId="0" fillId="5" borderId="12" xfId="0" applyNumberFormat="1" applyFill="1" applyBorder="1"/>
    <xf numFmtId="0" fontId="0" fillId="5" borderId="54" xfId="0" applyNumberFormat="1" applyFill="1" applyBorder="1"/>
    <xf numFmtId="0" fontId="0" fillId="5" borderId="28" xfId="0" applyNumberFormat="1" applyFill="1" applyBorder="1"/>
    <xf numFmtId="0" fontId="0" fillId="5" borderId="55" xfId="0" applyNumberFormat="1" applyFill="1" applyBorder="1"/>
    <xf numFmtId="1" fontId="0" fillId="2" borderId="2" xfId="0" applyNumberFormat="1" applyFill="1" applyBorder="1" applyAlignment="1">
      <alignment horizontal="center"/>
    </xf>
    <xf numFmtId="1" fontId="0" fillId="2" borderId="23" xfId="0" applyNumberFormat="1" applyFill="1" applyBorder="1" applyAlignment="1">
      <alignment horizontal="center"/>
    </xf>
    <xf numFmtId="1" fontId="0" fillId="2" borderId="81" xfId="0" applyNumberFormat="1" applyFill="1" applyBorder="1" applyAlignment="1">
      <alignment horizontal="center"/>
    </xf>
    <xf numFmtId="1" fontId="0" fillId="2" borderId="83" xfId="0" applyNumberFormat="1" applyFill="1" applyBorder="1" applyAlignment="1">
      <alignment horizontal="center"/>
    </xf>
    <xf numFmtId="1" fontId="0" fillId="2" borderId="84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2" fillId="2" borderId="41" xfId="0" applyFont="1" applyFill="1" applyBorder="1" applyAlignment="1">
      <alignment horizontal="center" vertical="center"/>
    </xf>
    <xf numFmtId="169" fontId="0" fillId="2" borderId="2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7" borderId="0" xfId="0" applyFill="1" applyBorder="1" applyAlignment="1">
      <alignment horizontal="left" vertical="center" indent="5"/>
    </xf>
    <xf numFmtId="0" fontId="0" fillId="3" borderId="69" xfId="0" applyNumberFormat="1" applyFill="1" applyBorder="1"/>
    <xf numFmtId="0" fontId="0" fillId="3" borderId="74" xfId="0" applyNumberFormat="1" applyFill="1" applyBorder="1"/>
    <xf numFmtId="0" fontId="0" fillId="3" borderId="75" xfId="0" applyNumberFormat="1" applyFill="1" applyBorder="1"/>
    <xf numFmtId="0" fontId="0" fillId="2" borderId="29" xfId="0" applyFill="1" applyBorder="1" applyAlignment="1">
      <alignment horizontal="center"/>
    </xf>
    <xf numFmtId="1" fontId="0" fillId="2" borderId="29" xfId="0" applyNumberFormat="1" applyFill="1" applyBorder="1" applyAlignment="1">
      <alignment horizontal="center"/>
    </xf>
    <xf numFmtId="0" fontId="0" fillId="8" borderId="35" xfId="0" applyFont="1" applyFill="1" applyBorder="1" applyAlignment="1">
      <alignment horizontal="center"/>
    </xf>
    <xf numFmtId="0" fontId="0" fillId="8" borderId="39" xfId="0" applyFont="1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8" borderId="27" xfId="0" applyFont="1" applyFill="1" applyBorder="1" applyAlignment="1">
      <alignment horizontal="center"/>
    </xf>
    <xf numFmtId="0" fontId="0" fillId="2" borderId="41" xfId="0" applyFill="1" applyBorder="1" applyAlignment="1">
      <alignment vertical="center"/>
    </xf>
    <xf numFmtId="166" fontId="0" fillId="2" borderId="2" xfId="0" applyNumberFormat="1" applyFill="1" applyBorder="1" applyAlignment="1">
      <alignment horizontal="center"/>
    </xf>
    <xf numFmtId="166" fontId="0" fillId="2" borderId="23" xfId="0" applyNumberFormat="1" applyFill="1" applyBorder="1" applyAlignment="1">
      <alignment horizontal="center"/>
    </xf>
    <xf numFmtId="166" fontId="0" fillId="2" borderId="29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81" xfId="0" applyFill="1" applyBorder="1" applyAlignment="1">
      <alignment horizontal="left"/>
    </xf>
    <xf numFmtId="0" fontId="0" fillId="2" borderId="83" xfId="0" applyFill="1" applyBorder="1" applyAlignment="1">
      <alignment horizontal="left"/>
    </xf>
    <xf numFmtId="0" fontId="8" fillId="2" borderId="84" xfId="0" applyFont="1" applyFill="1" applyBorder="1" applyAlignment="1">
      <alignment horizontal="left"/>
    </xf>
    <xf numFmtId="1" fontId="0" fillId="2" borderId="85" xfId="0" applyNumberFormat="1" applyFill="1" applyBorder="1" applyAlignment="1">
      <alignment horizontal="center"/>
    </xf>
    <xf numFmtId="1" fontId="0" fillId="2" borderId="86" xfId="0" applyNumberFormat="1" applyFill="1" applyBorder="1" applyAlignment="1">
      <alignment horizontal="center"/>
    </xf>
    <xf numFmtId="2" fontId="0" fillId="2" borderId="86" xfId="0" applyNumberFormat="1" applyFill="1" applyBorder="1" applyAlignment="1">
      <alignment horizontal="center"/>
    </xf>
    <xf numFmtId="1" fontId="0" fillId="2" borderId="87" xfId="0" applyNumberFormat="1" applyFill="1" applyBorder="1" applyAlignment="1">
      <alignment horizontal="center"/>
    </xf>
    <xf numFmtId="1" fontId="0" fillId="2" borderId="69" xfId="0" applyNumberFormat="1" applyFill="1" applyBorder="1" applyAlignment="1">
      <alignment horizontal="center"/>
    </xf>
    <xf numFmtId="1" fontId="0" fillId="2" borderId="74" xfId="0" applyNumberFormat="1" applyFill="1" applyBorder="1" applyAlignment="1">
      <alignment horizontal="center"/>
    </xf>
    <xf numFmtId="2" fontId="0" fillId="2" borderId="74" xfId="0" applyNumberFormat="1" applyFill="1" applyBorder="1" applyAlignment="1">
      <alignment horizontal="center"/>
    </xf>
    <xf numFmtId="0" fontId="12" fillId="8" borderId="94" xfId="0" applyFont="1" applyFill="1" applyBorder="1" applyAlignment="1">
      <alignment horizontal="center"/>
    </xf>
    <xf numFmtId="0" fontId="0" fillId="8" borderId="99" xfId="0" applyNumberFormat="1" applyFill="1" applyBorder="1"/>
    <xf numFmtId="0" fontId="0" fillId="8" borderId="97" xfId="0" applyNumberFormat="1" applyFill="1" applyBorder="1"/>
    <xf numFmtId="0" fontId="0" fillId="8" borderId="98" xfId="0" applyNumberFormat="1" applyFill="1" applyBorder="1"/>
    <xf numFmtId="0" fontId="0" fillId="8" borderId="95" xfId="0" applyNumberFormat="1" applyFill="1" applyBorder="1"/>
    <xf numFmtId="1" fontId="0" fillId="2" borderId="75" xfId="0" applyNumberFormat="1" applyFill="1" applyBorder="1" applyAlignment="1">
      <alignment horizontal="center"/>
    </xf>
    <xf numFmtId="169" fontId="0" fillId="2" borderId="74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102" xfId="0" applyFont="1" applyFill="1" applyBorder="1" applyAlignment="1">
      <alignment horizontal="center"/>
    </xf>
    <xf numFmtId="0" fontId="0" fillId="2" borderId="103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03" xfId="0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0" fillId="2" borderId="104" xfId="0" applyFont="1" applyFill="1" applyBorder="1" applyAlignment="1">
      <alignment horizontal="center"/>
    </xf>
    <xf numFmtId="169" fontId="0" fillId="2" borderId="23" xfId="0" applyNumberFormat="1" applyFill="1" applyBorder="1" applyAlignment="1">
      <alignment horizontal="center"/>
    </xf>
    <xf numFmtId="0" fontId="0" fillId="8" borderId="69" xfId="0" applyFont="1" applyFill="1" applyBorder="1" applyAlignment="1">
      <alignment horizontal="center"/>
    </xf>
    <xf numFmtId="0" fontId="0" fillId="8" borderId="74" xfId="0" applyFont="1" applyFill="1" applyBorder="1" applyAlignment="1">
      <alignment horizontal="center"/>
    </xf>
    <xf numFmtId="0" fontId="0" fillId="8" borderId="74" xfId="0" applyFill="1" applyBorder="1" applyAlignment="1">
      <alignment horizontal="center"/>
    </xf>
    <xf numFmtId="0" fontId="0" fillId="8" borderId="75" xfId="0" applyFont="1" applyFill="1" applyBorder="1" applyAlignment="1">
      <alignment horizontal="center"/>
    </xf>
    <xf numFmtId="167" fontId="0" fillId="2" borderId="2" xfId="0" applyNumberForma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7" fontId="0" fillId="2" borderId="23" xfId="0" applyNumberFormat="1" applyFill="1" applyBorder="1" applyAlignment="1">
      <alignment horizontal="center"/>
    </xf>
    <xf numFmtId="165" fontId="0" fillId="2" borderId="23" xfId="0" applyNumberFormat="1" applyFill="1" applyBorder="1" applyAlignment="1">
      <alignment horizontal="center"/>
    </xf>
    <xf numFmtId="165" fontId="0" fillId="2" borderId="29" xfId="0" applyNumberFormat="1" applyFill="1" applyBorder="1" applyAlignment="1">
      <alignment horizontal="center"/>
    </xf>
    <xf numFmtId="167" fontId="0" fillId="2" borderId="29" xfId="0" applyNumberFormat="1" applyFill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7" fontId="0" fillId="2" borderId="9" xfId="0" applyNumberFormat="1" applyFill="1" applyBorder="1" applyAlignment="1">
      <alignment horizontal="center"/>
    </xf>
    <xf numFmtId="165" fontId="0" fillId="2" borderId="20" xfId="0" applyNumberFormat="1" applyFill="1" applyBorder="1" applyAlignment="1">
      <alignment horizontal="center"/>
    </xf>
    <xf numFmtId="167" fontId="0" fillId="2" borderId="20" xfId="0" applyNumberFormat="1" applyFill="1" applyBorder="1" applyAlignment="1">
      <alignment horizontal="center"/>
    </xf>
    <xf numFmtId="167" fontId="0" fillId="2" borderId="11" xfId="0" applyNumberFormat="1" applyFill="1" applyBorder="1" applyAlignment="1">
      <alignment horizontal="center"/>
    </xf>
    <xf numFmtId="166" fontId="0" fillId="2" borderId="74" xfId="0" applyNumberFormat="1" applyFill="1" applyBorder="1" applyAlignment="1">
      <alignment horizontal="center"/>
    </xf>
    <xf numFmtId="169" fontId="0" fillId="2" borderId="75" xfId="0" applyNumberFormat="1" applyFill="1" applyBorder="1" applyAlignment="1">
      <alignment horizontal="center"/>
    </xf>
    <xf numFmtId="165" fontId="0" fillId="2" borderId="32" xfId="0" applyNumberFormat="1" applyFill="1" applyBorder="1" applyAlignment="1">
      <alignment horizontal="center"/>
    </xf>
    <xf numFmtId="0" fontId="0" fillId="0" borderId="107" xfId="0" applyBorder="1"/>
    <xf numFmtId="0" fontId="0" fillId="5" borderId="108" xfId="0" applyNumberFormat="1" applyFill="1" applyBorder="1"/>
    <xf numFmtId="14" fontId="0" fillId="0" borderId="0" xfId="0" applyNumberFormat="1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7" fontId="0" fillId="2" borderId="32" xfId="0" applyNumberFormat="1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7" fontId="0" fillId="2" borderId="12" xfId="0" applyNumberFormat="1" applyFill="1" applyBorder="1" applyAlignment="1">
      <alignment horizontal="center"/>
    </xf>
    <xf numFmtId="165" fontId="0" fillId="2" borderId="28" xfId="0" applyNumberFormat="1" applyFill="1" applyBorder="1" applyAlignment="1">
      <alignment horizontal="center"/>
    </xf>
    <xf numFmtId="167" fontId="0" fillId="2" borderId="28" xfId="0" applyNumberFormat="1" applyFill="1" applyBorder="1" applyAlignment="1">
      <alignment horizontal="center"/>
    </xf>
    <xf numFmtId="0" fontId="14" fillId="0" borderId="0" xfId="0" applyFont="1"/>
    <xf numFmtId="0" fontId="0" fillId="3" borderId="8" xfId="0" applyNumberFormat="1" applyFill="1" applyBorder="1"/>
    <xf numFmtId="0" fontId="0" fillId="5" borderId="36" xfId="0" applyNumberFormat="1" applyFill="1" applyBorder="1"/>
    <xf numFmtId="0" fontId="0" fillId="3" borderId="10" xfId="0" applyNumberFormat="1" applyFill="1" applyBorder="1"/>
    <xf numFmtId="0" fontId="0" fillId="5" borderId="13" xfId="0" applyNumberFormat="1" applyFill="1" applyBorder="1"/>
    <xf numFmtId="0" fontId="0" fillId="3" borderId="37" xfId="0" applyNumberFormat="1" applyFill="1" applyBorder="1"/>
    <xf numFmtId="0" fontId="0" fillId="5" borderId="38" xfId="0" applyNumberFormat="1" applyFill="1" applyBorder="1"/>
    <xf numFmtId="0" fontId="0" fillId="2" borderId="109" xfId="0" applyFon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0" fillId="8" borderId="110" xfId="0" applyNumberFormat="1" applyFill="1" applyBorder="1"/>
    <xf numFmtId="0" fontId="0" fillId="3" borderId="27" xfId="0" applyNumberFormat="1" applyFill="1" applyBorder="1"/>
    <xf numFmtId="1" fontId="0" fillId="2" borderId="85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86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1" fontId="0" fillId="2" borderId="23" xfId="0" applyNumberFormat="1" applyFill="1" applyBorder="1" applyAlignment="1">
      <alignment horizontal="center" vertical="center"/>
    </xf>
    <xf numFmtId="1" fontId="0" fillId="2" borderId="87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169" fontId="0" fillId="2" borderId="2" xfId="0" applyNumberFormat="1" applyFill="1" applyBorder="1" applyAlignment="1">
      <alignment horizontal="center" vertical="center"/>
    </xf>
    <xf numFmtId="169" fontId="0" fillId="2" borderId="23" xfId="0" applyNumberFormat="1" applyFill="1" applyBorder="1" applyAlignment="1">
      <alignment horizontal="center" vertical="center"/>
    </xf>
    <xf numFmtId="169" fontId="0" fillId="2" borderId="29" xfId="0" applyNumberFormat="1" applyFill="1" applyBorder="1" applyAlignment="1">
      <alignment horizontal="center" vertical="center"/>
    </xf>
    <xf numFmtId="0" fontId="0" fillId="8" borderId="35" xfId="0" applyNumberFormat="1" applyFont="1" applyFill="1" applyBorder="1" applyAlignment="1">
      <alignment horizontal="center"/>
    </xf>
    <xf numFmtId="0" fontId="0" fillId="8" borderId="69" xfId="0" applyNumberFormat="1" applyFont="1" applyFill="1" applyBorder="1" applyAlignment="1">
      <alignment horizontal="center"/>
    </xf>
    <xf numFmtId="0" fontId="0" fillId="8" borderId="39" xfId="0" applyNumberFormat="1" applyFont="1" applyFill="1" applyBorder="1" applyAlignment="1">
      <alignment horizontal="center"/>
    </xf>
    <xf numFmtId="0" fontId="0" fillId="8" borderId="74" xfId="0" applyNumberFormat="1" applyFont="1" applyFill="1" applyBorder="1" applyAlignment="1">
      <alignment horizontal="center"/>
    </xf>
    <xf numFmtId="0" fontId="0" fillId="8" borderId="39" xfId="0" applyNumberFormat="1" applyFill="1" applyBorder="1" applyAlignment="1">
      <alignment horizontal="center"/>
    </xf>
    <xf numFmtId="0" fontId="0" fillId="8" borderId="74" xfId="0" applyNumberFormat="1" applyFill="1" applyBorder="1" applyAlignment="1">
      <alignment horizontal="center"/>
    </xf>
    <xf numFmtId="0" fontId="0" fillId="8" borderId="27" xfId="0" applyNumberFormat="1" applyFont="1" applyFill="1" applyBorder="1" applyAlignment="1">
      <alignment horizontal="center"/>
    </xf>
    <xf numFmtId="0" fontId="0" fillId="8" borderId="75" xfId="0" applyNumberFormat="1" applyFont="1" applyFill="1" applyBorder="1" applyAlignment="1">
      <alignment horizontal="center"/>
    </xf>
    <xf numFmtId="0" fontId="12" fillId="6" borderId="94" xfId="0" applyFont="1" applyFill="1" applyBorder="1" applyAlignment="1">
      <alignment horizontal="center"/>
    </xf>
    <xf numFmtId="168" fontId="0" fillId="6" borderId="95" xfId="0" applyNumberFormat="1" applyFill="1" applyBorder="1"/>
    <xf numFmtId="168" fontId="0" fillId="6" borderId="97" xfId="0" applyNumberFormat="1" applyFill="1" applyBorder="1"/>
    <xf numFmtId="168" fontId="0" fillId="6" borderId="98" xfId="0" applyNumberFormat="1" applyFill="1" applyBorder="1"/>
    <xf numFmtId="168" fontId="0" fillId="6" borderId="35" xfId="0" applyNumberFormat="1" applyFont="1" applyFill="1" applyBorder="1" applyAlignment="1">
      <alignment horizontal="center"/>
    </xf>
    <xf numFmtId="168" fontId="0" fillId="6" borderId="69" xfId="0" applyNumberFormat="1" applyFont="1" applyFill="1" applyBorder="1" applyAlignment="1">
      <alignment horizontal="center"/>
    </xf>
    <xf numFmtId="168" fontId="0" fillId="6" borderId="39" xfId="0" applyNumberFormat="1" applyFont="1" applyFill="1" applyBorder="1" applyAlignment="1">
      <alignment horizontal="center"/>
    </xf>
    <xf numFmtId="168" fontId="0" fillId="6" borderId="74" xfId="0" applyNumberFormat="1" applyFont="1" applyFill="1" applyBorder="1" applyAlignment="1">
      <alignment horizontal="center"/>
    </xf>
    <xf numFmtId="168" fontId="0" fillId="6" borderId="27" xfId="0" applyNumberFormat="1" applyFont="1" applyFill="1" applyBorder="1" applyAlignment="1">
      <alignment horizontal="center"/>
    </xf>
    <xf numFmtId="168" fontId="0" fillId="6" borderId="75" xfId="0" applyNumberFormat="1" applyFont="1" applyFill="1" applyBorder="1" applyAlignment="1">
      <alignment horizontal="center"/>
    </xf>
    <xf numFmtId="168" fontId="0" fillId="6" borderId="35" xfId="0" applyNumberFormat="1" applyFill="1" applyBorder="1"/>
    <xf numFmtId="168" fontId="0" fillId="6" borderId="69" xfId="0" applyNumberFormat="1" applyFill="1" applyBorder="1"/>
    <xf numFmtId="168" fontId="0" fillId="6" borderId="39" xfId="0" applyNumberFormat="1" applyFill="1" applyBorder="1"/>
    <xf numFmtId="168" fontId="0" fillId="6" borderId="74" xfId="0" applyNumberFormat="1" applyFill="1" applyBorder="1"/>
    <xf numFmtId="168" fontId="0" fillId="6" borderId="27" xfId="0" applyNumberFormat="1" applyFill="1" applyBorder="1"/>
    <xf numFmtId="168" fontId="0" fillId="6" borderId="75" xfId="0" applyNumberFormat="1" applyFill="1" applyBorder="1"/>
    <xf numFmtId="0" fontId="2" fillId="0" borderId="0" xfId="0" applyFont="1"/>
    <xf numFmtId="0" fontId="2" fillId="0" borderId="0" xfId="0" applyFont="1" applyAlignment="1"/>
    <xf numFmtId="0" fontId="0" fillId="0" borderId="0" xfId="0" applyBorder="1" applyAlignment="1">
      <alignment horizontal="left" indent="15"/>
    </xf>
    <xf numFmtId="0" fontId="0" fillId="3" borderId="121" xfId="0" applyFill="1" applyBorder="1"/>
    <xf numFmtId="0" fontId="0" fillId="3" borderId="122" xfId="0" applyFill="1" applyBorder="1" applyAlignment="1">
      <alignment horizontal="right"/>
    </xf>
    <xf numFmtId="11" fontId="0" fillId="4" borderId="74" xfId="0" applyNumberFormat="1" applyFill="1" applyBorder="1"/>
    <xf numFmtId="11" fontId="0" fillId="3" borderId="10" xfId="0" applyNumberFormat="1" applyFill="1" applyBorder="1"/>
    <xf numFmtId="11" fontId="0" fillId="3" borderId="11" xfId="0" applyNumberFormat="1" applyFill="1" applyBorder="1"/>
    <xf numFmtId="11" fontId="0" fillId="3" borderId="13" xfId="0" applyNumberFormat="1" applyFill="1" applyBorder="1"/>
    <xf numFmtId="11" fontId="0" fillId="4" borderId="10" xfId="0" applyNumberFormat="1" applyFill="1" applyBorder="1"/>
    <xf numFmtId="11" fontId="0" fillId="4" borderId="11" xfId="0" applyNumberFormat="1" applyFill="1" applyBorder="1"/>
    <xf numFmtId="11" fontId="0" fillId="5" borderId="11" xfId="0" applyNumberFormat="1" applyFill="1" applyBorder="1"/>
    <xf numFmtId="11" fontId="0" fillId="5" borderId="12" xfId="0" applyNumberFormat="1" applyFill="1" applyBorder="1"/>
    <xf numFmtId="11" fontId="0" fillId="3" borderId="37" xfId="0" applyNumberFormat="1" applyFill="1" applyBorder="1"/>
    <xf numFmtId="11" fontId="0" fillId="3" borderId="20" xfId="0" applyNumberFormat="1" applyFill="1" applyBorder="1"/>
    <xf numFmtId="11" fontId="0" fillId="3" borderId="38" xfId="0" applyNumberFormat="1" applyFill="1" applyBorder="1"/>
    <xf numFmtId="11" fontId="0" fillId="4" borderId="37" xfId="0" applyNumberFormat="1" applyFill="1" applyBorder="1"/>
    <xf numFmtId="11" fontId="0" fillId="4" borderId="20" xfId="0" applyNumberFormat="1" applyFill="1" applyBorder="1"/>
    <xf numFmtId="11" fontId="0" fillId="5" borderId="28" xfId="0" applyNumberFormat="1" applyFill="1" applyBorder="1"/>
    <xf numFmtId="11" fontId="0" fillId="5" borderId="20" xfId="0" applyNumberFormat="1" applyFill="1" applyBorder="1"/>
    <xf numFmtId="0" fontId="0" fillId="3" borderId="108" xfId="0" applyNumberFormat="1" applyFill="1" applyBorder="1"/>
    <xf numFmtId="0" fontId="1" fillId="3" borderId="85" xfId="0" applyFont="1" applyFill="1" applyBorder="1" applyAlignment="1">
      <alignment horizontal="center" vertical="center"/>
    </xf>
    <xf numFmtId="0" fontId="0" fillId="3" borderId="85" xfId="0" applyNumberFormat="1" applyFill="1" applyBorder="1"/>
    <xf numFmtId="0" fontId="0" fillId="3" borderId="86" xfId="0" applyNumberFormat="1" applyFill="1" applyBorder="1"/>
    <xf numFmtId="0" fontId="0" fillId="3" borderId="2" xfId="0" applyNumberFormat="1" applyFill="1" applyBorder="1"/>
    <xf numFmtId="0" fontId="0" fillId="3" borderId="23" xfId="0" applyNumberFormat="1" applyFill="1" applyBorder="1"/>
    <xf numFmtId="0" fontId="0" fillId="8" borderId="35" xfId="0" applyNumberFormat="1" applyFill="1" applyBorder="1"/>
    <xf numFmtId="0" fontId="0" fillId="8" borderId="69" xfId="0" applyNumberFormat="1" applyFill="1" applyBorder="1"/>
    <xf numFmtId="0" fontId="0" fillId="8" borderId="39" xfId="0" applyNumberFormat="1" applyFill="1" applyBorder="1"/>
    <xf numFmtId="0" fontId="0" fillId="8" borderId="74" xfId="0" applyNumberFormat="1" applyFill="1" applyBorder="1"/>
    <xf numFmtId="0" fontId="0" fillId="8" borderId="27" xfId="0" applyNumberFormat="1" applyFill="1" applyBorder="1"/>
    <xf numFmtId="0" fontId="0" fillId="8" borderId="75" xfId="0" applyNumberFormat="1" applyFill="1" applyBorder="1"/>
    <xf numFmtId="11" fontId="0" fillId="4" borderId="75" xfId="0" applyNumberFormat="1" applyFill="1" applyBorder="1"/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/>
    </xf>
    <xf numFmtId="0" fontId="3" fillId="3" borderId="7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3" borderId="118" xfId="0" applyFill="1" applyBorder="1" applyAlignment="1">
      <alignment horizontal="right"/>
    </xf>
    <xf numFmtId="0" fontId="0" fillId="3" borderId="119" xfId="0" applyFill="1" applyBorder="1" applyAlignment="1"/>
    <xf numFmtId="0" fontId="2" fillId="8" borderId="115" xfId="0" applyFont="1" applyFill="1" applyBorder="1" applyAlignment="1">
      <alignment horizontal="left" indent="15"/>
    </xf>
    <xf numFmtId="0" fontId="2" fillId="8" borderId="116" xfId="0" applyFont="1" applyFill="1" applyBorder="1" applyAlignment="1">
      <alignment horizontal="left" indent="15"/>
    </xf>
    <xf numFmtId="0" fontId="2" fillId="8" borderId="117" xfId="0" applyFont="1" applyFill="1" applyBorder="1" applyAlignment="1">
      <alignment horizontal="left" indent="15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49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0" fillId="2" borderId="41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2" fillId="2" borderId="44" xfId="0" applyFont="1" applyFill="1" applyBorder="1" applyAlignment="1">
      <alignment horizontal="left" vertical="center" indent="5"/>
    </xf>
    <xf numFmtId="0" fontId="0" fillId="2" borderId="41" xfId="0" applyFill="1" applyBorder="1" applyAlignment="1">
      <alignment horizontal="left" vertical="center" indent="5"/>
    </xf>
    <xf numFmtId="0" fontId="0" fillId="2" borderId="42" xfId="0" applyFill="1" applyBorder="1" applyAlignment="1">
      <alignment horizontal="left" vertical="center" indent="5"/>
    </xf>
    <xf numFmtId="0" fontId="0" fillId="3" borderId="119" xfId="0" applyFill="1" applyBorder="1" applyAlignment="1">
      <alignment horizontal="left"/>
    </xf>
    <xf numFmtId="0" fontId="0" fillId="3" borderId="120" xfId="0" applyFill="1" applyBorder="1" applyAlignment="1"/>
    <xf numFmtId="14" fontId="0" fillId="3" borderId="122" xfId="0" applyNumberFormat="1" applyFill="1" applyBorder="1" applyAlignment="1">
      <alignment horizontal="left"/>
    </xf>
    <xf numFmtId="0" fontId="0" fillId="3" borderId="122" xfId="0" applyFill="1" applyBorder="1" applyAlignment="1"/>
    <xf numFmtId="0" fontId="0" fillId="3" borderId="123" xfId="0" applyFill="1" applyBorder="1" applyAlignment="1"/>
    <xf numFmtId="0" fontId="0" fillId="0" borderId="116" xfId="0" applyBorder="1" applyAlignment="1">
      <alignment horizontal="left" indent="15"/>
    </xf>
    <xf numFmtId="0" fontId="0" fillId="0" borderId="117" xfId="0" applyBorder="1" applyAlignment="1">
      <alignment horizontal="left" indent="15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41" xfId="0" applyBorder="1" applyAlignment="1">
      <alignment horizontal="left" vertical="center" indent="5"/>
    </xf>
    <xf numFmtId="0" fontId="0" fillId="0" borderId="42" xfId="0" applyBorder="1" applyAlignment="1">
      <alignment horizontal="left" vertical="center" indent="5"/>
    </xf>
    <xf numFmtId="0" fontId="1" fillId="2" borderId="89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/>
    </xf>
    <xf numFmtId="0" fontId="12" fillId="8" borderId="100" xfId="0" applyFont="1" applyFill="1" applyBorder="1" applyAlignment="1">
      <alignment horizontal="center" vertical="center"/>
    </xf>
    <xf numFmtId="0" fontId="13" fillId="8" borderId="101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 wrapText="1"/>
    </xf>
    <xf numFmtId="0" fontId="1" fillId="8" borderId="68" xfId="0" applyFont="1" applyFill="1" applyBorder="1" applyAlignment="1">
      <alignment horizontal="center" vertical="center" wrapText="1"/>
    </xf>
    <xf numFmtId="0" fontId="1" fillId="8" borderId="69" xfId="0" applyFont="1" applyFill="1" applyBorder="1" applyAlignment="1">
      <alignment horizontal="center" vertical="center" wrapText="1"/>
    </xf>
    <xf numFmtId="0" fontId="1" fillId="8" borderId="70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2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 wrapText="1"/>
    </xf>
    <xf numFmtId="0" fontId="1" fillId="2" borderId="7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81" xfId="0" applyFont="1" applyFill="1" applyBorder="1" applyAlignment="1">
      <alignment horizontal="center" vertical="center" wrapText="1"/>
    </xf>
    <xf numFmtId="0" fontId="0" fillId="2" borderId="82" xfId="0" applyFill="1" applyBorder="1" applyAlignment="1">
      <alignment horizontal="center" vertical="center" wrapText="1"/>
    </xf>
    <xf numFmtId="0" fontId="1" fillId="6" borderId="69" xfId="0" applyFont="1" applyFill="1" applyBorder="1" applyAlignment="1">
      <alignment horizontal="center" vertical="center" wrapText="1"/>
    </xf>
    <xf numFmtId="0" fontId="1" fillId="6" borderId="70" xfId="0" applyFont="1" applyFill="1" applyBorder="1" applyAlignment="1">
      <alignment horizontal="center" vertical="center" wrapText="1"/>
    </xf>
    <xf numFmtId="0" fontId="12" fillId="6" borderId="100" xfId="0" applyFont="1" applyFill="1" applyBorder="1" applyAlignment="1">
      <alignment horizontal="center" vertical="center"/>
    </xf>
    <xf numFmtId="0" fontId="13" fillId="6" borderId="101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 wrapText="1"/>
    </xf>
    <xf numFmtId="0" fontId="1" fillId="6" borderId="6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9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0" fillId="2" borderId="71" xfId="0" applyFill="1" applyBorder="1" applyAlignment="1">
      <alignment horizontal="center" vertical="center" wrapText="1"/>
    </xf>
    <xf numFmtId="0" fontId="2" fillId="0" borderId="116" xfId="0" applyFont="1" applyBorder="1" applyAlignment="1">
      <alignment horizontal="left" indent="15"/>
    </xf>
    <xf numFmtId="0" fontId="2" fillId="0" borderId="117" xfId="0" applyFont="1" applyBorder="1" applyAlignment="1">
      <alignment horizontal="left" indent="15"/>
    </xf>
    <xf numFmtId="0" fontId="1" fillId="2" borderId="9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8" borderId="95" xfId="0" applyFont="1" applyFill="1" applyBorder="1" applyAlignment="1">
      <alignment horizontal="center" vertical="center" wrapText="1"/>
    </xf>
    <xf numFmtId="0" fontId="1" fillId="8" borderId="96" xfId="0" applyFont="1" applyFill="1" applyBorder="1" applyAlignment="1">
      <alignment horizontal="center" vertical="center" wrapText="1"/>
    </xf>
    <xf numFmtId="0" fontId="1" fillId="6" borderId="95" xfId="0" applyFont="1" applyFill="1" applyBorder="1" applyAlignment="1">
      <alignment horizontal="center" vertical="center" wrapText="1"/>
    </xf>
    <xf numFmtId="0" fontId="1" fillId="6" borderId="9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1" fillId="2" borderId="7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8" borderId="115" xfId="0" applyFont="1" applyFill="1" applyBorder="1" applyAlignment="1">
      <alignment horizontal="left" indent="5"/>
    </xf>
    <xf numFmtId="0" fontId="2" fillId="8" borderId="116" xfId="0" applyFont="1" applyFill="1" applyBorder="1" applyAlignment="1">
      <alignment horizontal="left" indent="5"/>
    </xf>
    <xf numFmtId="0" fontId="2" fillId="8" borderId="117" xfId="0" applyFont="1" applyFill="1" applyBorder="1" applyAlignment="1">
      <alignment horizontal="left" indent="5"/>
    </xf>
    <xf numFmtId="0" fontId="1" fillId="2" borderId="92" xfId="0" applyFont="1" applyFill="1" applyBorder="1" applyAlignment="1">
      <alignment horizontal="center" vertical="center" wrapText="1"/>
    </xf>
    <xf numFmtId="0" fontId="1" fillId="2" borderId="9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 wrapText="1"/>
    </xf>
    <xf numFmtId="0" fontId="1" fillId="2" borderId="85" xfId="0" applyFont="1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1" fillId="2" borderId="82" xfId="0" applyFont="1" applyFill="1" applyBorder="1" applyAlignment="1">
      <alignment horizontal="center" vertical="center" wrapText="1"/>
    </xf>
    <xf numFmtId="0" fontId="0" fillId="2" borderId="7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52" xfId="0" applyBorder="1" applyAlignment="1">
      <alignment wrapText="1"/>
    </xf>
    <xf numFmtId="0" fontId="0" fillId="2" borderId="6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67" xfId="0" applyBorder="1" applyAlignment="1">
      <alignment wrapText="1"/>
    </xf>
    <xf numFmtId="0" fontId="1" fillId="2" borderId="113" xfId="0" applyFont="1" applyFill="1" applyBorder="1" applyAlignment="1">
      <alignment horizontal="center" vertical="center" wrapText="1"/>
    </xf>
    <xf numFmtId="0" fontId="1" fillId="2" borderId="114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1" fillId="2" borderId="112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left" vertical="center" indent="5"/>
    </xf>
    <xf numFmtId="0" fontId="1" fillId="2" borderId="105" xfId="0" applyFont="1" applyFill="1" applyBorder="1" applyAlignment="1">
      <alignment horizontal="center" vertical="center" wrapText="1"/>
    </xf>
    <xf numFmtId="0" fontId="1" fillId="2" borderId="106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 indent="5"/>
    </xf>
  </cellXfs>
  <cellStyles count="1">
    <cellStyle name="Normální" xfId="0" builtinId="0"/>
  </cellStyles>
  <dxfs count="4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R1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.7109375" customWidth="1"/>
    <col min="2" max="5" width="6.85546875" customWidth="1"/>
    <col min="6" max="6" width="9" customWidth="1"/>
    <col min="7" max="10" width="9.140625" customWidth="1"/>
    <col min="11" max="48" width="12" bestFit="1" customWidth="1"/>
    <col min="49" max="49" width="10" bestFit="1" customWidth="1"/>
    <col min="50" max="50" width="12" bestFit="1" customWidth="1"/>
    <col min="51" max="70" width="15" bestFit="1" customWidth="1"/>
  </cols>
  <sheetData>
    <row r="1" spans="2:70" s="261" customFormat="1" ht="21.95" customHeight="1" thickBot="1" x14ac:dyDescent="0.4">
      <c r="B1" s="319" t="s">
        <v>98</v>
      </c>
      <c r="C1" s="320"/>
      <c r="D1" s="320"/>
      <c r="E1" s="320"/>
      <c r="F1" s="320"/>
      <c r="G1" s="320"/>
      <c r="H1" s="320"/>
      <c r="I1" s="320"/>
      <c r="J1" s="321"/>
      <c r="K1" s="319" t="s">
        <v>99</v>
      </c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1"/>
      <c r="AE1" s="319" t="s">
        <v>100</v>
      </c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1"/>
      <c r="AY1" s="319" t="s">
        <v>101</v>
      </c>
      <c r="AZ1" s="320"/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1"/>
    </row>
    <row r="2" spans="2:70" ht="15" customHeight="1" thickBot="1" x14ac:dyDescent="0.3">
      <c r="E2" s="3"/>
    </row>
    <row r="3" spans="2:70" ht="30.75" customHeight="1" thickTop="1" thickBot="1" x14ac:dyDescent="0.3">
      <c r="B3" s="343" t="s">
        <v>46</v>
      </c>
      <c r="C3" s="344"/>
      <c r="D3" s="345"/>
      <c r="E3" s="346" t="s">
        <v>47</v>
      </c>
      <c r="F3" s="347"/>
      <c r="G3" s="347"/>
      <c r="H3" s="347"/>
      <c r="I3" s="347"/>
      <c r="J3" s="348"/>
    </row>
    <row r="4" spans="2:70" ht="16.5" customHeight="1" thickTop="1" thickBot="1" x14ac:dyDescent="0.3">
      <c r="B4" s="337" t="s">
        <v>17</v>
      </c>
      <c r="C4" s="338"/>
      <c r="D4" s="338"/>
      <c r="E4" s="338"/>
      <c r="F4" s="339"/>
      <c r="G4" s="311" t="s">
        <v>31</v>
      </c>
      <c r="H4" s="312"/>
      <c r="I4" s="312"/>
      <c r="J4" s="313"/>
      <c r="K4" s="340" t="s">
        <v>21</v>
      </c>
      <c r="L4" s="341"/>
      <c r="M4" s="341"/>
      <c r="N4" s="341"/>
      <c r="O4" s="341"/>
      <c r="P4" s="341"/>
      <c r="Q4" s="294" t="s">
        <v>22</v>
      </c>
      <c r="R4" s="295"/>
      <c r="S4" s="295"/>
      <c r="T4" s="295"/>
      <c r="U4" s="296"/>
      <c r="V4" s="304" t="s">
        <v>44</v>
      </c>
      <c r="W4" s="305"/>
      <c r="X4" s="305"/>
      <c r="Y4" s="305"/>
      <c r="Z4" s="305"/>
      <c r="AA4" s="305"/>
      <c r="AB4" s="305"/>
      <c r="AC4" s="305"/>
      <c r="AD4" s="305"/>
      <c r="AE4" s="300" t="s">
        <v>21</v>
      </c>
      <c r="AF4" s="301"/>
      <c r="AG4" s="301"/>
      <c r="AH4" s="301"/>
      <c r="AI4" s="301"/>
      <c r="AJ4" s="301"/>
      <c r="AK4" s="294" t="s">
        <v>22</v>
      </c>
      <c r="AL4" s="295"/>
      <c r="AM4" s="295"/>
      <c r="AN4" s="295"/>
      <c r="AO4" s="296"/>
      <c r="AP4" s="304" t="s">
        <v>45</v>
      </c>
      <c r="AQ4" s="305"/>
      <c r="AR4" s="305"/>
      <c r="AS4" s="305"/>
      <c r="AT4" s="305"/>
      <c r="AU4" s="305"/>
      <c r="AV4" s="305"/>
      <c r="AW4" s="305"/>
      <c r="AX4" s="306"/>
      <c r="AY4" s="328" t="s">
        <v>21</v>
      </c>
      <c r="AZ4" s="323"/>
      <c r="BA4" s="323"/>
      <c r="BB4" s="323"/>
      <c r="BC4" s="323"/>
      <c r="BD4" s="323"/>
      <c r="BE4" s="322" t="s">
        <v>22</v>
      </c>
      <c r="BF4" s="323"/>
      <c r="BG4" s="323"/>
      <c r="BH4" s="323"/>
      <c r="BI4" s="324"/>
      <c r="BJ4" s="328" t="s">
        <v>45</v>
      </c>
      <c r="BK4" s="323"/>
      <c r="BL4" s="323"/>
      <c r="BM4" s="323"/>
      <c r="BN4" s="323"/>
      <c r="BO4" s="323"/>
      <c r="BP4" s="323"/>
      <c r="BQ4" s="323"/>
      <c r="BR4" s="329"/>
    </row>
    <row r="5" spans="2:70" s="18" customFormat="1" ht="15" customHeight="1" thickBot="1" x14ac:dyDescent="0.3">
      <c r="B5" s="331" t="s">
        <v>0</v>
      </c>
      <c r="C5" s="309" t="s">
        <v>18</v>
      </c>
      <c r="D5" s="309" t="s">
        <v>19</v>
      </c>
      <c r="E5" s="333" t="s">
        <v>20</v>
      </c>
      <c r="F5" s="335" t="s">
        <v>1</v>
      </c>
      <c r="G5" s="314"/>
      <c r="H5" s="315"/>
      <c r="I5" s="315"/>
      <c r="J5" s="316"/>
      <c r="K5" s="342"/>
      <c r="L5" s="342"/>
      <c r="M5" s="342"/>
      <c r="N5" s="342"/>
      <c r="O5" s="342"/>
      <c r="P5" s="342"/>
      <c r="Q5" s="297"/>
      <c r="R5" s="298"/>
      <c r="S5" s="298"/>
      <c r="T5" s="298"/>
      <c r="U5" s="299"/>
      <c r="V5" s="307"/>
      <c r="W5" s="307"/>
      <c r="X5" s="307"/>
      <c r="Y5" s="307"/>
      <c r="Z5" s="307"/>
      <c r="AA5" s="307"/>
      <c r="AB5" s="307"/>
      <c r="AC5" s="307"/>
      <c r="AD5" s="307"/>
      <c r="AE5" s="302"/>
      <c r="AF5" s="303"/>
      <c r="AG5" s="303"/>
      <c r="AH5" s="303"/>
      <c r="AI5" s="303"/>
      <c r="AJ5" s="303"/>
      <c r="AK5" s="297"/>
      <c r="AL5" s="298"/>
      <c r="AM5" s="298"/>
      <c r="AN5" s="298"/>
      <c r="AO5" s="299"/>
      <c r="AP5" s="307"/>
      <c r="AQ5" s="307"/>
      <c r="AR5" s="307"/>
      <c r="AS5" s="307"/>
      <c r="AT5" s="307"/>
      <c r="AU5" s="307"/>
      <c r="AV5" s="307"/>
      <c r="AW5" s="307"/>
      <c r="AX5" s="308"/>
      <c r="AY5" s="326"/>
      <c r="AZ5" s="326"/>
      <c r="BA5" s="326"/>
      <c r="BB5" s="326"/>
      <c r="BC5" s="326"/>
      <c r="BD5" s="326"/>
      <c r="BE5" s="325"/>
      <c r="BF5" s="326"/>
      <c r="BG5" s="326"/>
      <c r="BH5" s="326"/>
      <c r="BI5" s="327"/>
      <c r="BJ5" s="326"/>
      <c r="BK5" s="326"/>
      <c r="BL5" s="326"/>
      <c r="BM5" s="326"/>
      <c r="BN5" s="326"/>
      <c r="BO5" s="326"/>
      <c r="BP5" s="326"/>
      <c r="BQ5" s="326"/>
      <c r="BR5" s="330"/>
    </row>
    <row r="6" spans="2:70" s="18" customFormat="1" ht="18" thickBot="1" x14ac:dyDescent="0.3">
      <c r="B6" s="332"/>
      <c r="C6" s="310"/>
      <c r="D6" s="310"/>
      <c r="E6" s="334"/>
      <c r="F6" s="336"/>
      <c r="G6" s="19" t="s">
        <v>29</v>
      </c>
      <c r="H6" s="20" t="s">
        <v>28</v>
      </c>
      <c r="I6" s="20" t="s">
        <v>30</v>
      </c>
      <c r="J6" s="21" t="s">
        <v>27</v>
      </c>
      <c r="K6" s="29" t="s">
        <v>32</v>
      </c>
      <c r="L6" s="24" t="s">
        <v>34</v>
      </c>
      <c r="M6" s="24" t="s">
        <v>33</v>
      </c>
      <c r="N6" s="24" t="s">
        <v>35</v>
      </c>
      <c r="O6" s="24" t="s">
        <v>37</v>
      </c>
      <c r="P6" s="30" t="s">
        <v>36</v>
      </c>
      <c r="Q6" s="111" t="s">
        <v>38</v>
      </c>
      <c r="R6" s="22" t="s">
        <v>39</v>
      </c>
      <c r="S6" s="22" t="s">
        <v>40</v>
      </c>
      <c r="T6" s="22" t="s">
        <v>41</v>
      </c>
      <c r="U6" s="112" t="s">
        <v>42</v>
      </c>
      <c r="V6" s="25" t="s">
        <v>11</v>
      </c>
      <c r="W6" s="23" t="s">
        <v>13</v>
      </c>
      <c r="X6" s="23" t="s">
        <v>23</v>
      </c>
      <c r="Y6" s="23" t="s">
        <v>24</v>
      </c>
      <c r="Z6" s="23" t="s">
        <v>12</v>
      </c>
      <c r="AA6" s="23" t="s">
        <v>25</v>
      </c>
      <c r="AB6" s="23" t="s">
        <v>26</v>
      </c>
      <c r="AC6" s="23" t="s">
        <v>10</v>
      </c>
      <c r="AD6" s="25" t="s">
        <v>9</v>
      </c>
      <c r="AE6" s="282" t="s">
        <v>32</v>
      </c>
      <c r="AF6" s="24" t="s">
        <v>34</v>
      </c>
      <c r="AG6" s="24" t="s">
        <v>33</v>
      </c>
      <c r="AH6" s="24" t="s">
        <v>35</v>
      </c>
      <c r="AI6" s="24" t="s">
        <v>37</v>
      </c>
      <c r="AJ6" s="29" t="s">
        <v>36</v>
      </c>
      <c r="AK6" s="111" t="s">
        <v>38</v>
      </c>
      <c r="AL6" s="22" t="s">
        <v>39</v>
      </c>
      <c r="AM6" s="22" t="s">
        <v>40</v>
      </c>
      <c r="AN6" s="22" t="s">
        <v>41</v>
      </c>
      <c r="AO6" s="112" t="s">
        <v>42</v>
      </c>
      <c r="AP6" s="26" t="s">
        <v>11</v>
      </c>
      <c r="AQ6" s="26" t="s">
        <v>13</v>
      </c>
      <c r="AR6" s="27" t="s">
        <v>23</v>
      </c>
      <c r="AS6" s="27" t="s">
        <v>24</v>
      </c>
      <c r="AT6" s="27" t="s">
        <v>12</v>
      </c>
      <c r="AU6" s="27" t="s">
        <v>25</v>
      </c>
      <c r="AV6" s="27" t="s">
        <v>26</v>
      </c>
      <c r="AW6" s="27" t="s">
        <v>10</v>
      </c>
      <c r="AX6" s="120" t="s">
        <v>9</v>
      </c>
      <c r="AY6" s="34" t="s">
        <v>32</v>
      </c>
      <c r="AZ6" s="33" t="s">
        <v>34</v>
      </c>
      <c r="BA6" s="33" t="s">
        <v>33</v>
      </c>
      <c r="BB6" s="33" t="s">
        <v>35</v>
      </c>
      <c r="BC6" s="33" t="s">
        <v>37</v>
      </c>
      <c r="BD6" s="34" t="s">
        <v>36</v>
      </c>
      <c r="BE6" s="103" t="s">
        <v>38</v>
      </c>
      <c r="BF6" s="33" t="s">
        <v>39</v>
      </c>
      <c r="BG6" s="33" t="s">
        <v>40</v>
      </c>
      <c r="BH6" s="33" t="s">
        <v>41</v>
      </c>
      <c r="BI6" s="104" t="s">
        <v>42</v>
      </c>
      <c r="BJ6" s="34" t="s">
        <v>11</v>
      </c>
      <c r="BK6" s="33" t="s">
        <v>13</v>
      </c>
      <c r="BL6" s="33" t="s">
        <v>23</v>
      </c>
      <c r="BM6" s="33" t="s">
        <v>24</v>
      </c>
      <c r="BN6" s="33" t="s">
        <v>12</v>
      </c>
      <c r="BO6" s="33" t="s">
        <v>25</v>
      </c>
      <c r="BP6" s="33" t="s">
        <v>26</v>
      </c>
      <c r="BQ6" s="33" t="s">
        <v>10</v>
      </c>
      <c r="BR6" s="35" t="s">
        <v>9</v>
      </c>
    </row>
    <row r="7" spans="2:70" x14ac:dyDescent="0.25">
      <c r="B7" s="84">
        <v>99</v>
      </c>
      <c r="C7" s="85">
        <v>50</v>
      </c>
      <c r="D7" s="85">
        <v>100</v>
      </c>
      <c r="E7" s="92">
        <v>112</v>
      </c>
      <c r="F7" s="96" t="s">
        <v>2</v>
      </c>
      <c r="G7" s="10">
        <v>983</v>
      </c>
      <c r="H7" s="53"/>
      <c r="I7" s="53"/>
      <c r="J7" s="54"/>
      <c r="K7" s="78">
        <f>O7*100000</f>
        <v>26960.874024408036</v>
      </c>
      <c r="L7" s="65">
        <f>O7*10000</f>
        <v>2696.087402440804</v>
      </c>
      <c r="M7" s="65">
        <f>O7*10</f>
        <v>2.6960874024408037</v>
      </c>
      <c r="N7" s="65">
        <f>O7*1000000</f>
        <v>269608.74024408037</v>
      </c>
      <c r="O7" s="65">
        <f>(((SQRT((0.5*(B7+C7+D7))*((0.5*(B7+C7+D7))-B7)*((0.5*(B7+C7+D7))-C7)*((0.5*(B7+C7+D7))-D7))*E7)))/100^3</f>
        <v>0.26960874024408038</v>
      </c>
      <c r="P7" s="66">
        <f>O7*1000</f>
        <v>269.60874024408037</v>
      </c>
      <c r="Q7" s="113">
        <f>T7/0.45359237</f>
        <v>584.28097381781572</v>
      </c>
      <c r="R7" s="67">
        <f>T7*1000/31.1034768</f>
        <v>8520.7642015098136</v>
      </c>
      <c r="S7" s="67">
        <f>T7/1000</f>
        <v>0.265025391659931</v>
      </c>
      <c r="T7" s="67">
        <f>O7*G7</f>
        <v>265.02539165993102</v>
      </c>
      <c r="U7" s="114">
        <f>T7*1000</f>
        <v>265025.39165993099</v>
      </c>
      <c r="V7" s="80">
        <f>AA7/100</f>
        <v>3.2702441790072867E-2</v>
      </c>
      <c r="W7" s="68">
        <f>AA7/4046.8564224</f>
        <v>8.0809493534437246E-4</v>
      </c>
      <c r="X7" s="68">
        <f>AA7*10000</f>
        <v>32702.441790072866</v>
      </c>
      <c r="Y7" s="68">
        <f>AA7*100</f>
        <v>327.02441790072868</v>
      </c>
      <c r="Z7" s="68">
        <f>AA7/10000</f>
        <v>3.2702441790072865E-4</v>
      </c>
      <c r="AA7" s="68">
        <f>(2*SQRT((0.5*(B7+C7+D7))*((0.5*(B7+C7+D7))-B7)*((0.5*(B7+C7+D7))-C7)*((0.5*(B7+C7+D7))-D7))+B7*E7+C7*E7+D7*E7)/100^2</f>
        <v>3.2702441790072867</v>
      </c>
      <c r="AB7" s="68">
        <f>AA7*1000000</f>
        <v>3270244.1790072867</v>
      </c>
      <c r="AC7" s="68">
        <f>AA7/144*10000/(2.54*2.54)</f>
        <v>35.200615383600869</v>
      </c>
      <c r="AD7" s="80">
        <f>AA7*10000/(2.54 *2.54)</f>
        <v>5068.8886152385248</v>
      </c>
      <c r="AE7" s="283">
        <v>26960.9</v>
      </c>
      <c r="AF7" s="65">
        <v>2696.09</v>
      </c>
      <c r="AG7" s="65">
        <v>2.6960899999999999</v>
      </c>
      <c r="AH7" s="65">
        <v>269609</v>
      </c>
      <c r="AI7" s="65">
        <v>0.26960899999999999</v>
      </c>
      <c r="AJ7" s="285">
        <v>269.60899999999998</v>
      </c>
      <c r="AK7" s="113">
        <v>584.28099999999995</v>
      </c>
      <c r="AL7" s="67">
        <v>8520.76</v>
      </c>
      <c r="AM7" s="67">
        <v>0.26502500000000001</v>
      </c>
      <c r="AN7" s="67">
        <v>265.02499999999998</v>
      </c>
      <c r="AO7" s="114">
        <v>265025</v>
      </c>
      <c r="AP7" s="121">
        <v>3.27024E-2</v>
      </c>
      <c r="AQ7" s="121">
        <v>8.0809499999999999E-4</v>
      </c>
      <c r="AR7" s="68">
        <v>32702.400000000001</v>
      </c>
      <c r="AS7" s="68">
        <v>327.024</v>
      </c>
      <c r="AT7" s="68">
        <v>3.2702399999999998E-4</v>
      </c>
      <c r="AU7" s="68">
        <v>3.2702399999999998</v>
      </c>
      <c r="AV7" s="68">
        <v>3270244</v>
      </c>
      <c r="AW7" s="68">
        <v>35.200600000000001</v>
      </c>
      <c r="AX7" s="122">
        <v>5068.8900000000003</v>
      </c>
      <c r="AY7" s="38">
        <f t="shared" ref="AY7:BE7" si="0">(K7-AE7)/K7</f>
        <v>-9.6345511431087018E-7</v>
      </c>
      <c r="AZ7" s="37">
        <f t="shared" si="0"/>
        <v>-9.6345511417593444E-7</v>
      </c>
      <c r="BA7" s="37">
        <f t="shared" si="0"/>
        <v>-9.6345511418911195E-7</v>
      </c>
      <c r="BB7" s="37">
        <f t="shared" si="0"/>
        <v>-9.6345511422990887E-7</v>
      </c>
      <c r="BC7" s="37">
        <f t="shared" si="0"/>
        <v>-9.6345511414793281E-7</v>
      </c>
      <c r="BD7" s="38">
        <f t="shared" si="0"/>
        <v>-9.6345511417593466E-7</v>
      </c>
      <c r="BE7" s="105">
        <f t="shared" si="0"/>
        <v>-4.4810947817783003E-8</v>
      </c>
      <c r="BF7" s="39">
        <f>(R7-AL7)/R7</f>
        <v>4.9309072684016088E-7</v>
      </c>
      <c r="BG7" s="39">
        <f>(S7-AM7)/S7</f>
        <v>1.4778204025438487E-6</v>
      </c>
      <c r="BH7" s="39">
        <f>(T7-AN7)/T7</f>
        <v>1.4778204027432508E-6</v>
      </c>
      <c r="BI7" s="106">
        <f>(U7-AO7)/U7</f>
        <v>1.4778204025493584E-6</v>
      </c>
      <c r="BJ7" s="38">
        <f t="shared" ref="BJ7:BR14" si="1">(V7-AP7)/V7</f>
        <v>1.2778884566400051E-6</v>
      </c>
      <c r="BK7" s="37">
        <f t="shared" si="1"/>
        <v>-8.0009940297446479E-8</v>
      </c>
      <c r="BL7" s="37">
        <f t="shared" si="1"/>
        <v>1.2778884565455584E-6</v>
      </c>
      <c r="BM7" s="37">
        <f t="shared" si="1"/>
        <v>1.2778884566498504E-6</v>
      </c>
      <c r="BN7" s="37">
        <f t="shared" si="1"/>
        <v>1.277888456626744E-6</v>
      </c>
      <c r="BO7" s="37">
        <f t="shared" si="1"/>
        <v>1.2778884566824417E-6</v>
      </c>
      <c r="BP7" s="37">
        <f t="shared" si="1"/>
        <v>5.4738202064742588E-8</v>
      </c>
      <c r="BQ7" s="37">
        <f t="shared" si="1"/>
        <v>4.3702647525310781E-7</v>
      </c>
      <c r="BR7" s="40">
        <f t="shared" si="1"/>
        <v>-2.7318838124185266E-7</v>
      </c>
    </row>
    <row r="8" spans="2:70" x14ac:dyDescent="0.25">
      <c r="B8" s="86">
        <v>5</v>
      </c>
      <c r="C8" s="87">
        <v>7</v>
      </c>
      <c r="D8" s="87">
        <v>6</v>
      </c>
      <c r="E8" s="93">
        <v>88</v>
      </c>
      <c r="F8" s="97" t="s">
        <v>3</v>
      </c>
      <c r="G8" s="59"/>
      <c r="H8" s="4">
        <v>12.6</v>
      </c>
      <c r="I8" s="58"/>
      <c r="J8" s="55"/>
      <c r="K8" s="69">
        <f t="shared" ref="K8:K14" si="2">O8*100000</f>
        <v>3662304.3745236332</v>
      </c>
      <c r="L8" s="70">
        <f t="shared" ref="L8:L14" si="3">O8*10000</f>
        <v>366230.43745236332</v>
      </c>
      <c r="M8" s="70">
        <f t="shared" ref="M8:M14" si="4">O8*10</f>
        <v>366.23043745236328</v>
      </c>
      <c r="N8" s="70">
        <f t="shared" ref="N8:N14" si="5">O8*1000000</f>
        <v>36623043.74523633</v>
      </c>
      <c r="O8" s="70">
        <f>(((SQRT((0.5*(B8+C8+D8))*((0.5*(B8+C8+D8))-B8)*((0.5*(B8+C8+D8))-C8)*((0.5*(B8+C8+D8))-D8))*E8)))*0.3048^3</f>
        <v>36.62304374523633</v>
      </c>
      <c r="P8" s="71">
        <f t="shared" ref="P8:P14" si="6">O8*1000</f>
        <v>36623.043745236333</v>
      </c>
      <c r="Q8" s="115">
        <f t="shared" ref="Q8:Q14" si="7">T8/0.45359237</f>
        <v>1017323.8830934871</v>
      </c>
      <c r="R8" s="72">
        <f t="shared" ref="R8:R14" si="8">T8*1000/31.1034768</f>
        <v>14835973.295113355</v>
      </c>
      <c r="S8" s="72">
        <f t="shared" ref="S8:S14" si="9">T8/1000</f>
        <v>461.45035118997777</v>
      </c>
      <c r="T8" s="72">
        <f>O8*1000*H8</f>
        <v>461450.35118997778</v>
      </c>
      <c r="U8" s="116">
        <f t="shared" ref="U8:U14" si="10">T8*1000</f>
        <v>461450351.18997777</v>
      </c>
      <c r="V8" s="81">
        <f t="shared" ref="V8:V14" si="11">AA8/100</f>
        <v>1.4988919588264051</v>
      </c>
      <c r="W8" s="73">
        <f t="shared" ref="W8:W14" si="12">AA8/4046.8564224</f>
        <v>3.703842692638655E-2</v>
      </c>
      <c r="X8" s="73">
        <f t="shared" ref="X8:X14" si="13">AA8*10000</f>
        <v>1498891.958826405</v>
      </c>
      <c r="Y8" s="73">
        <f t="shared" ref="Y8:Y14" si="14">AA8*100</f>
        <v>14988.919588264051</v>
      </c>
      <c r="Z8" s="73">
        <f t="shared" ref="Z8:Z14" si="15">AA8/10000</f>
        <v>1.498891958826405E-2</v>
      </c>
      <c r="AA8" s="73">
        <f>(2*SQRT((0.5*(B8+C8+D8))*((0.5*(B8+C8+D8))-B8)*((0.5*(B8+C8+D8))-C8)*((0.5*(B8+C8+D8))-D8))+B8*E8+C8*E8+D8*E8)*0.3048^2</f>
        <v>149.88919588264051</v>
      </c>
      <c r="AB8" s="73">
        <f t="shared" ref="AB8:AB14" si="16">AA8*1000000</f>
        <v>149889195.88264051</v>
      </c>
      <c r="AC8" s="73">
        <f t="shared" ref="AC8:AC14" si="17">AA8/144*10000/(2.54*2.54)</f>
        <v>1613.3938769133981</v>
      </c>
      <c r="AD8" s="81">
        <f t="shared" ref="AD8:AD14" si="18">AA8*10000/(2.54 *2.54)</f>
        <v>232328.71827552933</v>
      </c>
      <c r="AE8" s="284">
        <v>3662304</v>
      </c>
      <c r="AF8" s="70">
        <v>366230</v>
      </c>
      <c r="AG8" s="70">
        <v>366.23</v>
      </c>
      <c r="AH8" s="70">
        <v>36623044</v>
      </c>
      <c r="AI8" s="70">
        <v>36.622999999999998</v>
      </c>
      <c r="AJ8" s="286">
        <v>36623</v>
      </c>
      <c r="AK8" s="115">
        <v>1017324</v>
      </c>
      <c r="AL8" s="72">
        <v>14835973</v>
      </c>
      <c r="AM8" s="72">
        <v>461.45</v>
      </c>
      <c r="AN8" s="72">
        <v>461450</v>
      </c>
      <c r="AO8" s="116">
        <v>461450351</v>
      </c>
      <c r="AP8" s="123">
        <v>1.4988900000000001</v>
      </c>
      <c r="AQ8" s="123">
        <v>3.7038399999999999E-2</v>
      </c>
      <c r="AR8" s="73">
        <v>1498892</v>
      </c>
      <c r="AS8" s="73">
        <v>14988.9</v>
      </c>
      <c r="AT8" s="73">
        <v>1.4988899999999999E-2</v>
      </c>
      <c r="AU8" s="73">
        <v>149.88900000000001</v>
      </c>
      <c r="AV8" s="73">
        <v>149889196</v>
      </c>
      <c r="AW8" s="73">
        <v>1613.39</v>
      </c>
      <c r="AX8" s="124">
        <v>232329</v>
      </c>
      <c r="AY8" s="43">
        <f t="shared" ref="AY8:BD14" si="19">(K8-AE8)/K8</f>
        <v>1.0226447472936011E-7</v>
      </c>
      <c r="AZ8" s="42">
        <f t="shared" si="19"/>
        <v>1.1944729836194198E-6</v>
      </c>
      <c r="BA8" s="42">
        <f t="shared" si="19"/>
        <v>1.1944729834604826E-6</v>
      </c>
      <c r="BB8" s="42">
        <f t="shared" si="19"/>
        <v>-6.9563762105057823E-9</v>
      </c>
      <c r="BC8" s="42">
        <f t="shared" si="19"/>
        <v>1.1944729836544978E-6</v>
      </c>
      <c r="BD8" s="43">
        <f t="shared" si="19"/>
        <v>1.1944729836591539E-6</v>
      </c>
      <c r="BE8" s="107">
        <f t="shared" ref="BE8:BE14" si="20">(Q8-AK8)/Q8</f>
        <v>-1.1491572627039243E-7</v>
      </c>
      <c r="BF8" s="44">
        <f t="shared" ref="BF8:BF14" si="21">(R8-AL8)/R8</f>
        <v>1.9891742122408971E-8</v>
      </c>
      <c r="BG8" s="44">
        <f t="shared" ref="BG8:BG14" si="22">(S8-AM8)/S8</f>
        <v>7.6105690866217973E-7</v>
      </c>
      <c r="BH8" s="44">
        <f t="shared" ref="BH8:BH14" si="23">(T8-AN8)/T8</f>
        <v>7.6105690866809255E-7</v>
      </c>
      <c r="BI8" s="108">
        <f t="shared" ref="BI8:BI14" si="24">(U8-AO8)/U8</f>
        <v>4.1169708635696692E-10</v>
      </c>
      <c r="BJ8" s="43">
        <f t="shared" si="1"/>
        <v>1.3068496321865103E-6</v>
      </c>
      <c r="BK8" s="42">
        <f t="shared" si="1"/>
        <v>7.2698515529593068E-7</v>
      </c>
      <c r="BL8" s="42">
        <f t="shared" si="1"/>
        <v>-2.7469354786599562E-8</v>
      </c>
      <c r="BM8" s="42">
        <f t="shared" si="1"/>
        <v>1.3068496321988357E-6</v>
      </c>
      <c r="BN8" s="42">
        <f t="shared" si="1"/>
        <v>1.306849632181881E-6</v>
      </c>
      <c r="BO8" s="42">
        <f t="shared" si="1"/>
        <v>1.3068496321154035E-6</v>
      </c>
      <c r="BP8" s="42">
        <f t="shared" si="1"/>
        <v>-7.8297497368915724E-10</v>
      </c>
      <c r="BQ8" s="42">
        <f t="shared" si="1"/>
        <v>2.4029553189043547E-6</v>
      </c>
      <c r="BR8" s="45">
        <f t="shared" si="1"/>
        <v>-1.2126114789366289E-6</v>
      </c>
    </row>
    <row r="9" spans="2:70" x14ac:dyDescent="0.25">
      <c r="B9" s="86">
        <v>19</v>
      </c>
      <c r="C9" s="87">
        <v>16</v>
      </c>
      <c r="D9" s="87">
        <v>23</v>
      </c>
      <c r="E9" s="93">
        <v>35</v>
      </c>
      <c r="F9" s="97" t="s">
        <v>4</v>
      </c>
      <c r="G9" s="59"/>
      <c r="H9" s="56"/>
      <c r="I9" s="5">
        <v>62.865000000000002</v>
      </c>
      <c r="J9" s="55"/>
      <c r="K9" s="69">
        <f t="shared" si="2"/>
        <v>8626.1199817141369</v>
      </c>
      <c r="L9" s="70">
        <f t="shared" si="3"/>
        <v>862.61199817141369</v>
      </c>
      <c r="M9" s="70">
        <f t="shared" si="4"/>
        <v>0.86261199817141365</v>
      </c>
      <c r="N9" s="70">
        <f t="shared" si="5"/>
        <v>86261.199817141372</v>
      </c>
      <c r="O9" s="70">
        <f>(((SQRT((0.5*(B9+C9+D9))*((0.5*(B9+C9+D9))-B9)*((0.5*(B9+C9+D9))-C9)*((0.5*(B9+C9+D9))-D9))*E9)))*(2.54/100)^3</f>
        <v>8.6261199817141365E-2</v>
      </c>
      <c r="P9" s="71">
        <f t="shared" si="6"/>
        <v>86.26119981714136</v>
      </c>
      <c r="Q9" s="115">
        <f t="shared" si="7"/>
        <v>191.50473937435638</v>
      </c>
      <c r="R9" s="72">
        <f t="shared" si="8"/>
        <v>2792.777449209364</v>
      </c>
      <c r="S9" s="72">
        <f t="shared" si="9"/>
        <v>8.6865088599046625E-2</v>
      </c>
      <c r="T9" s="72">
        <f>O9*(0.45359237/0.3048^3)*I9</f>
        <v>86.865088599046629</v>
      </c>
      <c r="U9" s="116">
        <f t="shared" si="10"/>
        <v>86865.088599046634</v>
      </c>
      <c r="V9" s="81">
        <f t="shared" si="11"/>
        <v>1.503738241658361E-2</v>
      </c>
      <c r="W9" s="73">
        <f t="shared" si="12"/>
        <v>3.7158181183175374E-4</v>
      </c>
      <c r="X9" s="73">
        <f t="shared" si="13"/>
        <v>15037.382416583609</v>
      </c>
      <c r="Y9" s="73">
        <f t="shared" si="14"/>
        <v>150.37382416583608</v>
      </c>
      <c r="Z9" s="73">
        <f t="shared" si="15"/>
        <v>1.5037382416583609E-4</v>
      </c>
      <c r="AA9" s="73">
        <f>(2*SQRT((0.5*(B9+C9+D9))*((0.5*(B9+C9+D9))-B9)*((0.5*(B9+C9+D9))-C9)*((0.5*(B9+C9+D9))-D9))+B9*E9+C9*E9+D9*E9)*(2.54/100)^2</f>
        <v>1.5037382416583609</v>
      </c>
      <c r="AB9" s="73">
        <f t="shared" si="16"/>
        <v>1503738.2416583609</v>
      </c>
      <c r="AC9" s="73">
        <f t="shared" si="17"/>
        <v>16.186103723391192</v>
      </c>
      <c r="AD9" s="81">
        <f t="shared" si="18"/>
        <v>2330.7989361683317</v>
      </c>
      <c r="AE9" s="284">
        <v>8626.1200000000008</v>
      </c>
      <c r="AF9" s="70">
        <v>862.61199999999997</v>
      </c>
      <c r="AG9" s="70">
        <v>0.86261200000000005</v>
      </c>
      <c r="AH9" s="70">
        <v>86261.2</v>
      </c>
      <c r="AI9" s="70">
        <v>8.6261199999999996E-2</v>
      </c>
      <c r="AJ9" s="286">
        <v>86.261200000000002</v>
      </c>
      <c r="AK9" s="115">
        <v>191.505</v>
      </c>
      <c r="AL9" s="72">
        <v>2792.78</v>
      </c>
      <c r="AM9" s="72">
        <v>8.6865100000000001E-2</v>
      </c>
      <c r="AN9" s="72">
        <v>86.865099999999998</v>
      </c>
      <c r="AO9" s="116">
        <v>86865.1</v>
      </c>
      <c r="AP9" s="123">
        <v>1.5037399999999999E-2</v>
      </c>
      <c r="AQ9" s="123">
        <v>3.7158200000000002E-4</v>
      </c>
      <c r="AR9" s="73">
        <v>15037.4</v>
      </c>
      <c r="AS9" s="73">
        <v>150.374</v>
      </c>
      <c r="AT9" s="73">
        <v>1.5037399999999999E-4</v>
      </c>
      <c r="AU9" s="73">
        <v>1.5037400000000001</v>
      </c>
      <c r="AV9" s="73">
        <v>1503738</v>
      </c>
      <c r="AW9" s="73">
        <v>16.1861</v>
      </c>
      <c r="AX9" s="124">
        <v>2330.8000000000002</v>
      </c>
      <c r="AY9" s="43">
        <f t="shared" si="19"/>
        <v>-2.1198248986974992E-9</v>
      </c>
      <c r="AZ9" s="42">
        <f t="shared" si="19"/>
        <v>-2.1198247669037866E-9</v>
      </c>
      <c r="BA9" s="42">
        <f t="shared" si="19"/>
        <v>-2.1198249007567761E-9</v>
      </c>
      <c r="BB9" s="42">
        <f t="shared" si="19"/>
        <v>-2.1198247300015472E-9</v>
      </c>
      <c r="BC9" s="42">
        <f t="shared" si="19"/>
        <v>-2.1198248042281781E-9</v>
      </c>
      <c r="BD9" s="43">
        <f t="shared" si="19"/>
        <v>-2.1198249316459278E-9</v>
      </c>
      <c r="BE9" s="107">
        <f t="shared" si="20"/>
        <v>-1.3609357370003798E-6</v>
      </c>
      <c r="BF9" s="44">
        <f t="shared" si="21"/>
        <v>-9.1335263284235725E-7</v>
      </c>
      <c r="BG9" s="44">
        <f t="shared" si="22"/>
        <v>-1.3124896963430494E-7</v>
      </c>
      <c r="BH9" s="44">
        <f t="shared" si="23"/>
        <v>-1.3124896955506271E-7</v>
      </c>
      <c r="BI9" s="108">
        <f t="shared" si="24"/>
        <v>-1.3124896958778208E-7</v>
      </c>
      <c r="BJ9" s="43">
        <f t="shared" si="1"/>
        <v>-1.1693136413280097E-6</v>
      </c>
      <c r="BK9" s="42">
        <f t="shared" si="1"/>
        <v>-5.0639789217997577E-7</v>
      </c>
      <c r="BL9" s="42">
        <f t="shared" si="1"/>
        <v>-1.1693136414267659E-6</v>
      </c>
      <c r="BM9" s="42">
        <f t="shared" si="1"/>
        <v>-1.1693136414343263E-6</v>
      </c>
      <c r="BN9" s="42">
        <f t="shared" si="1"/>
        <v>-1.1693136414001102E-6</v>
      </c>
      <c r="BO9" s="42">
        <f t="shared" si="1"/>
        <v>-1.1693136414756715E-6</v>
      </c>
      <c r="BP9" s="42">
        <f t="shared" si="1"/>
        <v>1.607050710259604E-7</v>
      </c>
      <c r="BQ9" s="42">
        <f t="shared" si="1"/>
        <v>2.3003628639988107E-7</v>
      </c>
      <c r="BR9" s="45">
        <f t="shared" si="1"/>
        <v>-4.5642361165560909E-7</v>
      </c>
    </row>
    <row r="10" spans="2:70" x14ac:dyDescent="0.25">
      <c r="B10" s="86">
        <v>45</v>
      </c>
      <c r="C10" s="87">
        <v>77</v>
      </c>
      <c r="D10" s="87">
        <v>34</v>
      </c>
      <c r="E10" s="93">
        <v>67</v>
      </c>
      <c r="F10" s="97" t="s">
        <v>5</v>
      </c>
      <c r="G10" s="59"/>
      <c r="H10" s="56"/>
      <c r="I10" s="56"/>
      <c r="J10" s="64">
        <v>5.43</v>
      </c>
      <c r="K10" s="69">
        <f t="shared" si="2"/>
        <v>2254786428.9107294</v>
      </c>
      <c r="L10" s="70">
        <f t="shared" si="3"/>
        <v>225478642.89107296</v>
      </c>
      <c r="M10" s="70">
        <f t="shared" si="4"/>
        <v>225478.64289107296</v>
      </c>
      <c r="N10" s="70">
        <f t="shared" si="5"/>
        <v>22547864289.107296</v>
      </c>
      <c r="O10" s="70">
        <f>(((SQRT((0.5*(B10+C10+D10))*((0.5*(B10+C10+D10))-B10)*((0.5*(B10+C10+D10))-C10)*((0.5*(B10+C10+D10))-D10))*E10)))</f>
        <v>22547.864289107296</v>
      </c>
      <c r="P10" s="71">
        <f t="shared" si="6"/>
        <v>22547864.289107297</v>
      </c>
      <c r="Q10" s="115">
        <f t="shared" si="7"/>
        <v>269922757.05575162</v>
      </c>
      <c r="R10" s="72">
        <f t="shared" si="8"/>
        <v>3936373540.3963785</v>
      </c>
      <c r="S10" s="72">
        <f t="shared" si="9"/>
        <v>122434.90308985261</v>
      </c>
      <c r="T10" s="72">
        <f>O10*1000*J10</f>
        <v>122434903.08985262</v>
      </c>
      <c r="U10" s="116">
        <f t="shared" si="10"/>
        <v>122434903089.85262</v>
      </c>
      <c r="V10" s="81">
        <f t="shared" si="11"/>
        <v>111.25070575794248</v>
      </c>
      <c r="W10" s="73">
        <f t="shared" si="12"/>
        <v>2.7490648084807745</v>
      </c>
      <c r="X10" s="73">
        <f t="shared" si="13"/>
        <v>111250705.75794248</v>
      </c>
      <c r="Y10" s="73">
        <f t="shared" si="14"/>
        <v>1112507.0575794249</v>
      </c>
      <c r="Z10" s="73">
        <f t="shared" si="15"/>
        <v>1.1125070575794249</v>
      </c>
      <c r="AA10" s="73">
        <f>2*SQRT((0.5*(B10+C10+D10))*((0.5*(B10+C10+D10))-B10)*((0.5*(B10+C10+D10))-C10)*((0.5*(B10+C10+D10))-D10))+B10*E10+C10*E10+D10*E10</f>
        <v>11125.070575794249</v>
      </c>
      <c r="AB10" s="73">
        <f t="shared" si="16"/>
        <v>11125070575.794249</v>
      </c>
      <c r="AC10" s="73">
        <f t="shared" si="17"/>
        <v>119749.26305742255</v>
      </c>
      <c r="AD10" s="81">
        <f t="shared" si="18"/>
        <v>17243893.880268846</v>
      </c>
      <c r="AE10" s="284">
        <v>2254786429</v>
      </c>
      <c r="AF10" s="70">
        <v>225478643</v>
      </c>
      <c r="AG10" s="70">
        <v>225479</v>
      </c>
      <c r="AH10" s="70">
        <v>22547864289</v>
      </c>
      <c r="AI10" s="70">
        <v>22547.9</v>
      </c>
      <c r="AJ10" s="286">
        <v>22547864</v>
      </c>
      <c r="AK10" s="115">
        <v>269922757</v>
      </c>
      <c r="AL10" s="72">
        <v>3936373540</v>
      </c>
      <c r="AM10" s="72">
        <v>122435</v>
      </c>
      <c r="AN10" s="72">
        <v>122434903</v>
      </c>
      <c r="AO10" s="116">
        <v>122434903090</v>
      </c>
      <c r="AP10" s="123">
        <v>111.251</v>
      </c>
      <c r="AQ10" s="123">
        <v>2.7490600000000001</v>
      </c>
      <c r="AR10" s="73">
        <v>111250706</v>
      </c>
      <c r="AS10" s="73">
        <v>1112507</v>
      </c>
      <c r="AT10" s="73">
        <v>1.1125100000000001</v>
      </c>
      <c r="AU10" s="73">
        <v>11125.1</v>
      </c>
      <c r="AV10" s="73">
        <v>11125070576</v>
      </c>
      <c r="AW10" s="73">
        <v>119749</v>
      </c>
      <c r="AX10" s="124">
        <v>17243894</v>
      </c>
      <c r="AY10" s="43">
        <f t="shared" si="19"/>
        <v>-3.9591595279809183E-11</v>
      </c>
      <c r="AZ10" s="42">
        <f t="shared" si="19"/>
        <v>-4.8309250000592024E-10</v>
      </c>
      <c r="BA10" s="42">
        <f t="shared" si="19"/>
        <v>-1.5837816054859935E-6</v>
      </c>
      <c r="BB10" s="42">
        <f t="shared" si="19"/>
        <v>4.7585877143170615E-12</v>
      </c>
      <c r="BC10" s="42">
        <f t="shared" si="19"/>
        <v>-1.5837816055505315E-6</v>
      </c>
      <c r="BD10" s="43">
        <f t="shared" si="19"/>
        <v>1.2821937053945484E-8</v>
      </c>
      <c r="BE10" s="107">
        <f t="shared" si="20"/>
        <v>2.0654657773690324E-10</v>
      </c>
      <c r="BF10" s="44">
        <f t="shared" si="21"/>
        <v>1.0069636762952254E-10</v>
      </c>
      <c r="BG10" s="44">
        <f t="shared" si="22"/>
        <v>-7.9152386242475422E-7</v>
      </c>
      <c r="BH10" s="44">
        <f t="shared" si="23"/>
        <v>7.3388073109323436E-10</v>
      </c>
      <c r="BI10" s="108">
        <f t="shared" si="24"/>
        <v>-1.2037796399162807E-12</v>
      </c>
      <c r="BJ10" s="43">
        <f t="shared" si="1"/>
        <v>-2.6448556484768714E-6</v>
      </c>
      <c r="BK10" s="42">
        <f t="shared" si="1"/>
        <v>1.7491332905681467E-6</v>
      </c>
      <c r="BL10" s="42">
        <f t="shared" si="1"/>
        <v>-2.1757841042156707E-9</v>
      </c>
      <c r="BM10" s="42">
        <f t="shared" si="1"/>
        <v>5.1756458117233712E-8</v>
      </c>
      <c r="BN10" s="42">
        <f t="shared" si="1"/>
        <v>-2.644855648460904E-6</v>
      </c>
      <c r="BO10" s="42">
        <f t="shared" si="1"/>
        <v>-2.6448556484359953E-6</v>
      </c>
      <c r="BP10" s="42">
        <f t="shared" si="1"/>
        <v>-1.8494392252670601E-11</v>
      </c>
      <c r="BQ10" s="42">
        <f t="shared" si="1"/>
        <v>2.1967352101496895E-6</v>
      </c>
      <c r="BR10" s="45">
        <f t="shared" si="1"/>
        <v>-6.9433942892575481E-9</v>
      </c>
    </row>
    <row r="11" spans="2:70" x14ac:dyDescent="0.25">
      <c r="B11" s="90">
        <v>0.34</v>
      </c>
      <c r="C11" s="91">
        <v>0.44</v>
      </c>
      <c r="D11" s="91">
        <v>0.34</v>
      </c>
      <c r="E11" s="94">
        <v>2.2000000000000002</v>
      </c>
      <c r="F11" s="97" t="s">
        <v>6</v>
      </c>
      <c r="G11" s="11">
        <v>23</v>
      </c>
      <c r="H11" s="58"/>
      <c r="I11" s="58"/>
      <c r="J11" s="55"/>
      <c r="K11" s="69">
        <f t="shared" si="2"/>
        <v>52296985230945.703</v>
      </c>
      <c r="L11" s="70">
        <f t="shared" si="3"/>
        <v>5229698523094.5703</v>
      </c>
      <c r="M11" s="70">
        <f t="shared" si="4"/>
        <v>5229698523.0945702</v>
      </c>
      <c r="N11" s="70">
        <f t="shared" si="5"/>
        <v>522969852309457.06</v>
      </c>
      <c r="O11" s="70">
        <f>(((SQRT((0.5*(B11+C11+D11))*((0.5*(B11+C11+D11))-B11)*((0.5*(B11+C11+D11))-C11)*((0.5*(B11+C11+D11))-D11))*E11)))*(63360*2.54/100)^3</f>
        <v>522969852.30945706</v>
      </c>
      <c r="P11" s="71">
        <f t="shared" si="6"/>
        <v>522969852309.45709</v>
      </c>
      <c r="Q11" s="115">
        <f t="shared" si="7"/>
        <v>26517876839.765869</v>
      </c>
      <c r="R11" s="72">
        <f t="shared" si="8"/>
        <v>386719037246.58563</v>
      </c>
      <c r="S11" s="72">
        <f t="shared" si="9"/>
        <v>12028306.603117513</v>
      </c>
      <c r="T11" s="72">
        <f>O11*G11</f>
        <v>12028306603.117512</v>
      </c>
      <c r="U11" s="116">
        <f t="shared" si="10"/>
        <v>12028306603117.512</v>
      </c>
      <c r="V11" s="81">
        <f t="shared" si="11"/>
        <v>66771.474317167318</v>
      </c>
      <c r="W11" s="73">
        <f t="shared" si="12"/>
        <v>1649.9590632268662</v>
      </c>
      <c r="X11" s="73">
        <f t="shared" si="13"/>
        <v>66771474317.16732</v>
      </c>
      <c r="Y11" s="73">
        <f t="shared" si="14"/>
        <v>667714743.17167318</v>
      </c>
      <c r="Z11" s="73">
        <f t="shared" si="15"/>
        <v>667.71474317167315</v>
      </c>
      <c r="AA11" s="73">
        <f>(2*SQRT((0.5*(B11+C11+D11))*((0.5*(B11+C11+D11))-B11)*((0.5*(B11+C11+D11))-C11)*((0.5*(B11+C11+D11))-D11))+B11*E11+C11*E11+D11*E11)*(63360*2.54/100)^2</f>
        <v>6677147.4317167317</v>
      </c>
      <c r="AB11" s="73">
        <f t="shared" si="16"/>
        <v>6677147431716.7314</v>
      </c>
      <c r="AC11" s="73">
        <f t="shared" si="17"/>
        <v>71872216.794162288</v>
      </c>
      <c r="AD11" s="81">
        <f t="shared" si="18"/>
        <v>10349599218.359371</v>
      </c>
      <c r="AE11" s="284">
        <v>52296985230946</v>
      </c>
      <c r="AF11" s="70">
        <v>5229698523095</v>
      </c>
      <c r="AG11" s="70">
        <v>5229698523</v>
      </c>
      <c r="AH11" s="70">
        <v>522969852309457</v>
      </c>
      <c r="AI11" s="70">
        <v>522969852</v>
      </c>
      <c r="AJ11" s="286">
        <v>522969852309</v>
      </c>
      <c r="AK11" s="115">
        <v>26517876840</v>
      </c>
      <c r="AL11" s="72">
        <v>386719037247</v>
      </c>
      <c r="AM11" s="72">
        <v>12028307</v>
      </c>
      <c r="AN11" s="72">
        <v>12028306603</v>
      </c>
      <c r="AO11" s="116">
        <v>12028306603118</v>
      </c>
      <c r="AP11" s="123">
        <v>66771.5</v>
      </c>
      <c r="AQ11" s="123">
        <v>1649.96</v>
      </c>
      <c r="AR11" s="73">
        <v>66771474317</v>
      </c>
      <c r="AS11" s="73">
        <v>667714743</v>
      </c>
      <c r="AT11" s="73">
        <v>667.71500000000003</v>
      </c>
      <c r="AU11" s="73">
        <v>6677147</v>
      </c>
      <c r="AV11" s="73">
        <v>6677147431717</v>
      </c>
      <c r="AW11" s="73">
        <v>71872217</v>
      </c>
      <c r="AX11" s="124">
        <v>10349599218</v>
      </c>
      <c r="AY11" s="43">
        <f t="shared" si="19"/>
        <v>-5.6767134604219996E-15</v>
      </c>
      <c r="AZ11" s="42">
        <f t="shared" si="19"/>
        <v>-8.2162957979792108E-14</v>
      </c>
      <c r="BA11" s="42">
        <f t="shared" si="19"/>
        <v>1.8083290938183824E-11</v>
      </c>
      <c r="BB11" s="42">
        <f t="shared" si="19"/>
        <v>1.1950975706151577E-16</v>
      </c>
      <c r="BC11" s="42">
        <f t="shared" si="19"/>
        <v>5.917302160121683E-10</v>
      </c>
      <c r="BD11" s="43">
        <f t="shared" si="19"/>
        <v>8.7403180725946448E-13</v>
      </c>
      <c r="BE11" s="107">
        <f t="shared" si="20"/>
        <v>-8.8291706304292181E-12</v>
      </c>
      <c r="BF11" s="44">
        <f t="shared" si="21"/>
        <v>-1.0714954162368652E-12</v>
      </c>
      <c r="BG11" s="44">
        <f t="shared" si="22"/>
        <v>-3.2995707588473535E-8</v>
      </c>
      <c r="BH11" s="44">
        <f t="shared" si="23"/>
        <v>9.7696004221509688E-12</v>
      </c>
      <c r="BI11" s="108">
        <f t="shared" si="24"/>
        <v>-4.0594346827960525E-14</v>
      </c>
      <c r="BJ11" s="43">
        <f t="shared" si="1"/>
        <v>-3.8463779547428644E-7</v>
      </c>
      <c r="BK11" s="42">
        <f t="shared" si="1"/>
        <v>-5.6775537934393097E-7</v>
      </c>
      <c r="BL11" s="42">
        <f t="shared" si="1"/>
        <v>2.5058642657801068E-12</v>
      </c>
      <c r="BM11" s="42">
        <f t="shared" si="1"/>
        <v>2.571055685506294E-10</v>
      </c>
      <c r="BN11" s="42">
        <f t="shared" si="1"/>
        <v>-3.846377955696335E-7</v>
      </c>
      <c r="BO11" s="42">
        <f t="shared" si="1"/>
        <v>6.4655863325527652E-8</v>
      </c>
      <c r="BP11" s="42">
        <f t="shared" si="1"/>
        <v>-4.0219972712352274E-14</v>
      </c>
      <c r="BQ11" s="42">
        <f t="shared" si="1"/>
        <v>-2.8639399321905325E-9</v>
      </c>
      <c r="BR11" s="45">
        <f t="shared" si="1"/>
        <v>3.4723198234115024E-11</v>
      </c>
    </row>
    <row r="12" spans="2:70" x14ac:dyDescent="0.25">
      <c r="B12" s="86">
        <v>59</v>
      </c>
      <c r="C12" s="87">
        <v>45</v>
      </c>
      <c r="D12" s="87">
        <v>99</v>
      </c>
      <c r="E12" s="93">
        <v>45</v>
      </c>
      <c r="F12" s="97" t="s">
        <v>7</v>
      </c>
      <c r="G12" s="59"/>
      <c r="H12" s="4">
        <v>1998</v>
      </c>
      <c r="I12" s="58"/>
      <c r="J12" s="55"/>
      <c r="K12" s="69">
        <f t="shared" si="2"/>
        <v>3.5126447367866569</v>
      </c>
      <c r="L12" s="70">
        <f t="shared" si="3"/>
        <v>0.3512644736786657</v>
      </c>
      <c r="M12" s="70">
        <f t="shared" si="4"/>
        <v>3.5126447367866568E-4</v>
      </c>
      <c r="N12" s="70">
        <f t="shared" si="5"/>
        <v>35.126447367866568</v>
      </c>
      <c r="O12" s="70">
        <f>(((SQRT((0.5*(B12+C12+D12))*((0.5*(B12+C12+D12))-B12)*((0.5*(B12+C12+D12))-C12)*((0.5*(B12+C12+D12))-D12))*E12)))/1000^3</f>
        <v>3.512644736786657E-5</v>
      </c>
      <c r="P12" s="71">
        <f t="shared" si="6"/>
        <v>3.5126447367866569E-2</v>
      </c>
      <c r="Q12" s="115">
        <f t="shared" si="7"/>
        <v>154.72623986377329</v>
      </c>
      <c r="R12" s="72">
        <f t="shared" si="8"/>
        <v>2256.4243313466936</v>
      </c>
      <c r="S12" s="72">
        <f t="shared" si="9"/>
        <v>7.0182641840997401E-2</v>
      </c>
      <c r="T12" s="72">
        <f>O12*1000*H12</f>
        <v>70.182641840997405</v>
      </c>
      <c r="U12" s="116">
        <f t="shared" si="10"/>
        <v>70182.641840997399</v>
      </c>
      <c r="V12" s="81">
        <f t="shared" si="11"/>
        <v>1.0696175438571847E-4</v>
      </c>
      <c r="W12" s="73">
        <f t="shared" si="12"/>
        <v>2.6430825119880207E-6</v>
      </c>
      <c r="X12" s="73">
        <f t="shared" si="13"/>
        <v>106.96175438571846</v>
      </c>
      <c r="Y12" s="73">
        <f t="shared" si="14"/>
        <v>1.0696175438571847</v>
      </c>
      <c r="Z12" s="73">
        <f t="shared" si="15"/>
        <v>1.0696175438571845E-6</v>
      </c>
      <c r="AA12" s="73">
        <f>(2*SQRT((0.5*(B12+C12+D12))*((0.5*(B12+C12+D12))-B12)*((0.5*(B12+C12+D12))-C12)*((0.5*(B12+C12+D12))-D12))+B12*E12+C12*E12+D12*E12)/1000^2</f>
        <v>1.0696175438571846E-2</v>
      </c>
      <c r="AB12" s="73">
        <f t="shared" si="16"/>
        <v>10696.175438571847</v>
      </c>
      <c r="AC12" s="73">
        <f t="shared" si="17"/>
        <v>0.11513267422219817</v>
      </c>
      <c r="AD12" s="81">
        <f t="shared" si="18"/>
        <v>16.579105087996538</v>
      </c>
      <c r="AE12" s="284">
        <v>3.5126400000000002</v>
      </c>
      <c r="AF12" s="70">
        <v>0.35126400000000002</v>
      </c>
      <c r="AG12" s="70">
        <v>3.51264E-4</v>
      </c>
      <c r="AH12" s="70">
        <v>35.126399999999997</v>
      </c>
      <c r="AI12" s="70">
        <v>3.5126447367866597E-5</v>
      </c>
      <c r="AJ12" s="286">
        <v>3.5126400000000002E-2</v>
      </c>
      <c r="AK12" s="115">
        <v>154.726</v>
      </c>
      <c r="AL12" s="72">
        <v>2256.42</v>
      </c>
      <c r="AM12" s="72">
        <v>7.0182599999999998E-2</v>
      </c>
      <c r="AN12" s="72">
        <v>70.182599999999994</v>
      </c>
      <c r="AO12" s="116">
        <v>70182.600000000006</v>
      </c>
      <c r="AP12" s="123">
        <v>1.06962E-4</v>
      </c>
      <c r="AQ12" s="123">
        <v>2.6430825119880198E-6</v>
      </c>
      <c r="AR12" s="73">
        <v>106.962</v>
      </c>
      <c r="AS12" s="73">
        <v>1.06962</v>
      </c>
      <c r="AT12" s="73">
        <v>1.0696175438571801E-6</v>
      </c>
      <c r="AU12" s="73">
        <v>1.0696199999999999E-2</v>
      </c>
      <c r="AV12" s="73">
        <v>10696.2</v>
      </c>
      <c r="AW12" s="73">
        <v>0.115133</v>
      </c>
      <c r="AX12" s="124">
        <v>16.5791</v>
      </c>
      <c r="AY12" s="43">
        <f t="shared" si="19"/>
        <v>1.3484957949441246E-6</v>
      </c>
      <c r="AZ12" s="42">
        <f t="shared" si="19"/>
        <v>1.348495794975731E-6</v>
      </c>
      <c r="BA12" s="42">
        <f t="shared" si="19"/>
        <v>1.3484957949794349E-6</v>
      </c>
      <c r="BB12" s="42">
        <f t="shared" si="19"/>
        <v>1.3484957950705504E-6</v>
      </c>
      <c r="BC12" s="42">
        <f t="shared" si="19"/>
        <v>-7.7164234766687872E-16</v>
      </c>
      <c r="BD12" s="43">
        <f t="shared" si="19"/>
        <v>1.3484957949362228E-6</v>
      </c>
      <c r="BE12" s="107">
        <f t="shared" si="20"/>
        <v>1.5502462510514828E-6</v>
      </c>
      <c r="BF12" s="44">
        <f t="shared" si="21"/>
        <v>1.9195621290683555E-6</v>
      </c>
      <c r="BG12" s="44">
        <f t="shared" si="22"/>
        <v>5.9617301807604743E-7</v>
      </c>
      <c r="BH12" s="44">
        <f t="shared" si="23"/>
        <v>5.9617301820101793E-7</v>
      </c>
      <c r="BI12" s="108">
        <f t="shared" si="24"/>
        <v>5.961730179434585E-7</v>
      </c>
      <c r="BJ12" s="43">
        <f t="shared" si="1"/>
        <v>-2.2962813478662662E-6</v>
      </c>
      <c r="BK12" s="42">
        <f t="shared" si="1"/>
        <v>3.2047162485941317E-16</v>
      </c>
      <c r="BL12" s="42">
        <f t="shared" si="1"/>
        <v>-2.2962813479414455E-6</v>
      </c>
      <c r="BM12" s="42">
        <f t="shared" si="1"/>
        <v>-2.2962813479082308E-6</v>
      </c>
      <c r="BN12" s="42">
        <f t="shared" si="1"/>
        <v>4.1574888132900989E-15</v>
      </c>
      <c r="BO12" s="42">
        <f t="shared" si="1"/>
        <v>-2.2962813479017438E-6</v>
      </c>
      <c r="BP12" s="42">
        <f t="shared" si="1"/>
        <v>-2.2962813479414455E-6</v>
      </c>
      <c r="BQ12" s="42">
        <f t="shared" si="1"/>
        <v>-2.8295859888007595E-6</v>
      </c>
      <c r="BR12" s="45">
        <f t="shared" si="1"/>
        <v>3.0689210972857178E-7</v>
      </c>
    </row>
    <row r="13" spans="2:70" x14ac:dyDescent="0.25">
      <c r="B13" s="86">
        <v>177</v>
      </c>
      <c r="C13" s="87">
        <v>124</v>
      </c>
      <c r="D13" s="87">
        <v>167</v>
      </c>
      <c r="E13" s="94">
        <v>4.5</v>
      </c>
      <c r="F13" s="97" t="s">
        <v>8</v>
      </c>
      <c r="G13" s="59"/>
      <c r="H13" s="58"/>
      <c r="I13" s="4">
        <v>135.69999999999999</v>
      </c>
      <c r="J13" s="55"/>
      <c r="K13" s="69">
        <f t="shared" si="2"/>
        <v>3411145673.4361506</v>
      </c>
      <c r="L13" s="70">
        <f t="shared" si="3"/>
        <v>341114567.34361506</v>
      </c>
      <c r="M13" s="70">
        <f t="shared" si="4"/>
        <v>341114.56734361505</v>
      </c>
      <c r="N13" s="70">
        <f t="shared" si="5"/>
        <v>34111456734.361504</v>
      </c>
      <c r="O13" s="70">
        <f>(((SQRT((0.5*(B13+C13+D13))*((0.5*(B13+C13+D13))-B13)*((0.5*(B13+C13+D13))-C13)*((0.5*(B13+C13+D13))-D13))*E13)))*0.9144^3</f>
        <v>34111.456734361505</v>
      </c>
      <c r="P13" s="71">
        <f t="shared" si="6"/>
        <v>34111456.734361507</v>
      </c>
      <c r="Q13" s="115">
        <f t="shared" si="7"/>
        <v>163468932.3125622</v>
      </c>
      <c r="R13" s="72">
        <f t="shared" si="8"/>
        <v>2383921929.5581989</v>
      </c>
      <c r="S13" s="72">
        <f t="shared" si="9"/>
        <v>74148.260429024667</v>
      </c>
      <c r="T13" s="72">
        <f>O13*(0.45359237/0.3048^3)*I13</f>
        <v>74148260.429024667</v>
      </c>
      <c r="U13" s="116">
        <f t="shared" si="10"/>
        <v>74148260429.024673</v>
      </c>
      <c r="V13" s="81">
        <f t="shared" si="11"/>
        <v>183.40769869212934</v>
      </c>
      <c r="W13" s="73">
        <f t="shared" si="12"/>
        <v>4.5321029349333539</v>
      </c>
      <c r="X13" s="73">
        <f t="shared" si="13"/>
        <v>183407698.69212934</v>
      </c>
      <c r="Y13" s="73">
        <f t="shared" si="14"/>
        <v>1834076.9869212934</v>
      </c>
      <c r="Z13" s="73">
        <f t="shared" si="15"/>
        <v>1.8340769869212934</v>
      </c>
      <c r="AA13" s="73">
        <f>(2*SQRT((0.5*(B13+C13+D13))*((0.5*(B13+C13+D13))-B13)*((0.5*(B13+C13+D13))-C13)*((0.5*(B13+C13+D13))-D13))+B13*E13+C13*E13+D13*E13)*0.9144^2</f>
        <v>18340.769869212934</v>
      </c>
      <c r="AB13" s="73">
        <f t="shared" si="16"/>
        <v>18340769869.212933</v>
      </c>
      <c r="AC13" s="73">
        <f t="shared" si="17"/>
        <v>197418.40384569688</v>
      </c>
      <c r="AD13" s="81">
        <f t="shared" si="18"/>
        <v>28428250.153780356</v>
      </c>
      <c r="AE13" s="284">
        <v>3411145673</v>
      </c>
      <c r="AF13" s="70">
        <v>341114567</v>
      </c>
      <c r="AG13" s="70">
        <v>341115</v>
      </c>
      <c r="AH13" s="70">
        <v>34111456734</v>
      </c>
      <c r="AI13" s="70">
        <v>34111.5</v>
      </c>
      <c r="AJ13" s="286">
        <v>34111457</v>
      </c>
      <c r="AK13" s="115">
        <v>163468932</v>
      </c>
      <c r="AL13" s="72">
        <v>2383921930</v>
      </c>
      <c r="AM13" s="72">
        <v>74148.3</v>
      </c>
      <c r="AN13" s="72">
        <v>74148260</v>
      </c>
      <c r="AO13" s="116">
        <v>74148260429</v>
      </c>
      <c r="AP13" s="123">
        <v>183.40799999999999</v>
      </c>
      <c r="AQ13" s="123">
        <v>4.5320999999999998</v>
      </c>
      <c r="AR13" s="73">
        <v>183407699</v>
      </c>
      <c r="AS13" s="73">
        <v>1834077</v>
      </c>
      <c r="AT13" s="73">
        <v>1.8340799999999999</v>
      </c>
      <c r="AU13" s="73">
        <v>18340.8</v>
      </c>
      <c r="AV13" s="73">
        <v>18340769869</v>
      </c>
      <c r="AW13" s="73">
        <v>197418</v>
      </c>
      <c r="AX13" s="124">
        <v>28428250</v>
      </c>
      <c r="AY13" s="43">
        <f t="shared" si="19"/>
        <v>1.2786042948524606E-10</v>
      </c>
      <c r="AZ13" s="42">
        <f t="shared" si="19"/>
        <v>1.0073303458133895E-9</v>
      </c>
      <c r="BA13" s="42">
        <f t="shared" si="19"/>
        <v>-1.2683609155585691E-6</v>
      </c>
      <c r="BB13" s="42">
        <f t="shared" si="19"/>
        <v>1.0597718059635525E-11</v>
      </c>
      <c r="BC13" s="42">
        <f t="shared" si="19"/>
        <v>-1.2683609155585691E-6</v>
      </c>
      <c r="BD13" s="43">
        <f t="shared" si="19"/>
        <v>-7.7873687737843011E-9</v>
      </c>
      <c r="BE13" s="107">
        <f t="shared" si="20"/>
        <v>1.9120587198134131E-9</v>
      </c>
      <c r="BF13" s="44">
        <f t="shared" si="21"/>
        <v>-1.8532531023315395E-10</v>
      </c>
      <c r="BG13" s="44">
        <f t="shared" si="22"/>
        <v>-5.3367368440884439E-7</v>
      </c>
      <c r="BH13" s="44">
        <f t="shared" si="23"/>
        <v>5.7860381897757567E-9</v>
      </c>
      <c r="BI13" s="108">
        <f t="shared" si="24"/>
        <v>3.3275847297429372E-13</v>
      </c>
      <c r="BJ13" s="43">
        <f t="shared" si="1"/>
        <v>-1.64283109592289E-6</v>
      </c>
      <c r="BK13" s="42">
        <f t="shared" si="1"/>
        <v>6.4758753193882615E-7</v>
      </c>
      <c r="BL13" s="42">
        <f t="shared" si="1"/>
        <v>-1.6786135939075449E-9</v>
      </c>
      <c r="BM13" s="42">
        <f t="shared" si="1"/>
        <v>-7.1309474275594032E-9</v>
      </c>
      <c r="BN13" s="42">
        <f t="shared" si="1"/>
        <v>-1.6428310959810018E-6</v>
      </c>
      <c r="BO13" s="42">
        <f t="shared" si="1"/>
        <v>-1.6428310959600816E-6</v>
      </c>
      <c r="BP13" s="42">
        <f t="shared" si="1"/>
        <v>1.1609795455061755E-11</v>
      </c>
      <c r="BQ13" s="42">
        <f t="shared" si="1"/>
        <v>2.0456334820755651E-6</v>
      </c>
      <c r="BR13" s="45">
        <f t="shared" si="1"/>
        <v>5.4094203905507749E-9</v>
      </c>
    </row>
    <row r="14" spans="2:70" ht="15.75" thickBot="1" x14ac:dyDescent="0.3">
      <c r="B14" s="88">
        <v>66</v>
      </c>
      <c r="C14" s="89">
        <v>55</v>
      </c>
      <c r="D14" s="89">
        <v>66</v>
      </c>
      <c r="E14" s="95">
        <v>123</v>
      </c>
      <c r="F14" s="98" t="s">
        <v>43</v>
      </c>
      <c r="G14" s="63"/>
      <c r="H14" s="60"/>
      <c r="I14" s="60"/>
      <c r="J14" s="15">
        <v>3588</v>
      </c>
      <c r="K14" s="79">
        <f t="shared" si="2"/>
        <v>2.0294295300265419E-8</v>
      </c>
      <c r="L14" s="74">
        <f t="shared" si="3"/>
        <v>2.029429530026542E-9</v>
      </c>
      <c r="M14" s="74">
        <f t="shared" si="4"/>
        <v>2.0294295300265418E-12</v>
      </c>
      <c r="N14" s="74">
        <f t="shared" si="5"/>
        <v>2.0294295300265419E-7</v>
      </c>
      <c r="O14" s="74">
        <f>(((SQRT((0.5*(B14+C14+D14))*((0.5*(B14+C14+D14))-B14)*((0.5*(B14+C14+D14))-C14)*((0.5*(B14+C14+D14))-D14))*E14)))/1000000^3</f>
        <v>2.0294295300265419E-13</v>
      </c>
      <c r="P14" s="75">
        <f t="shared" si="6"/>
        <v>2.0294295300265418E-10</v>
      </c>
      <c r="Q14" s="117">
        <f t="shared" si="7"/>
        <v>1.6053164989823863E-6</v>
      </c>
      <c r="R14" s="76">
        <f t="shared" si="8"/>
        <v>2.3410865610159801E-5</v>
      </c>
      <c r="S14" s="76">
        <f t="shared" si="9"/>
        <v>7.2815931537352317E-10</v>
      </c>
      <c r="T14" s="76">
        <f>O14*1000*J14</f>
        <v>7.2815931537352319E-7</v>
      </c>
      <c r="U14" s="118">
        <f t="shared" si="10"/>
        <v>7.2815931537352323E-4</v>
      </c>
      <c r="V14" s="82">
        <f t="shared" si="11"/>
        <v>2.6300885414677304E-10</v>
      </c>
      <c r="W14" s="77">
        <f t="shared" si="12"/>
        <v>6.4990903233180406E-12</v>
      </c>
      <c r="X14" s="77">
        <f t="shared" si="13"/>
        <v>2.6300885414677307E-4</v>
      </c>
      <c r="Y14" s="77">
        <f t="shared" si="14"/>
        <v>2.6300885414677306E-6</v>
      </c>
      <c r="Z14" s="77">
        <f t="shared" si="15"/>
        <v>2.6300885414677307E-12</v>
      </c>
      <c r="AA14" s="77">
        <f>(2*SQRT((0.5*(B14+C14+D14))*((0.5*(B14+C14+D14))-B14)*((0.5*(B14+C14+D14))-C14)*((0.5*(B14+C14+D14))-D14))+B14*E14+C14*E14+D14*E14)/1000000^2</f>
        <v>2.6300885414677306E-8</v>
      </c>
      <c r="AB14" s="77">
        <f t="shared" si="16"/>
        <v>2.6300885414677306E-2</v>
      </c>
      <c r="AC14" s="77">
        <f t="shared" si="17"/>
        <v>2.8310037448373387E-7</v>
      </c>
      <c r="AD14" s="82">
        <f t="shared" si="18"/>
        <v>4.0766453925657678E-5</v>
      </c>
      <c r="AE14" s="224">
        <v>2.0294295300265399E-8</v>
      </c>
      <c r="AF14" s="74">
        <v>2.02942953002654E-9</v>
      </c>
      <c r="AG14" s="74">
        <v>2.0294295300265402E-12</v>
      </c>
      <c r="AH14" s="74">
        <v>2.02942953002654E-7</v>
      </c>
      <c r="AI14" s="74">
        <v>2.0294295300265399E-13</v>
      </c>
      <c r="AJ14" s="75">
        <v>2.02942953002654E-10</v>
      </c>
      <c r="AK14" s="117">
        <v>1.6053164989823899E-6</v>
      </c>
      <c r="AL14" s="76">
        <v>2.3410865610159801E-5</v>
      </c>
      <c r="AM14" s="76">
        <v>7.2815931537352296E-10</v>
      </c>
      <c r="AN14" s="76">
        <v>7.2815931537352298E-7</v>
      </c>
      <c r="AO14" s="118">
        <v>7.2815900000000003E-4</v>
      </c>
      <c r="AP14" s="125">
        <v>2.6300885414677299E-10</v>
      </c>
      <c r="AQ14" s="125">
        <v>6.4990903233180398E-12</v>
      </c>
      <c r="AR14" s="77">
        <v>2.6300899999999998E-4</v>
      </c>
      <c r="AS14" s="77">
        <v>2.6300885414677302E-6</v>
      </c>
      <c r="AT14" s="77">
        <v>2.6300885414677299E-12</v>
      </c>
      <c r="AU14" s="77">
        <v>2.6300885414677299E-8</v>
      </c>
      <c r="AV14" s="77">
        <v>2.6300899999999999E-2</v>
      </c>
      <c r="AW14" s="77">
        <v>2.8310037448373403E-7</v>
      </c>
      <c r="AX14" s="126">
        <v>4.0766453925657698E-5</v>
      </c>
      <c r="AY14" s="48">
        <f t="shared" si="19"/>
        <v>9.782224219932893E-16</v>
      </c>
      <c r="AZ14" s="47">
        <f t="shared" si="19"/>
        <v>1.0189816895763428E-15</v>
      </c>
      <c r="BA14" s="47">
        <f t="shared" si="19"/>
        <v>7.9607944498151789E-16</v>
      </c>
      <c r="BB14" s="47">
        <f t="shared" si="19"/>
        <v>9.1300759386040331E-16</v>
      </c>
      <c r="BC14" s="47">
        <f t="shared" si="19"/>
        <v>9.9509930622689729E-16</v>
      </c>
      <c r="BD14" s="48">
        <f t="shared" si="19"/>
        <v>8.9160897837930015E-16</v>
      </c>
      <c r="BE14" s="109">
        <f t="shared" si="20"/>
        <v>-2.2424799272372487E-15</v>
      </c>
      <c r="BF14" s="49">
        <f t="shared" si="21"/>
        <v>0</v>
      </c>
      <c r="BG14" s="49">
        <f t="shared" si="22"/>
        <v>2.8399712641481129E-16</v>
      </c>
      <c r="BH14" s="49">
        <f t="shared" si="23"/>
        <v>2.9081305744876677E-16</v>
      </c>
      <c r="BI14" s="110">
        <f t="shared" si="24"/>
        <v>4.3311060716582356E-7</v>
      </c>
      <c r="BJ14" s="48">
        <f t="shared" si="1"/>
        <v>1.9656672187816741E-16</v>
      </c>
      <c r="BK14" s="47">
        <f t="shared" si="1"/>
        <v>1.242933282598088E-16</v>
      </c>
      <c r="BL14" s="47">
        <f t="shared" si="1"/>
        <v>-5.5455633756486135E-7</v>
      </c>
      <c r="BM14" s="47">
        <f t="shared" si="1"/>
        <v>1.6102745856259472E-16</v>
      </c>
      <c r="BN14" s="47">
        <f t="shared" si="1"/>
        <v>3.0713550293463654E-16</v>
      </c>
      <c r="BO14" s="47">
        <f t="shared" si="1"/>
        <v>2.5160540400405423E-16</v>
      </c>
      <c r="BP14" s="47">
        <f t="shared" si="1"/>
        <v>-5.5455633765555211E-7</v>
      </c>
      <c r="BQ14" s="47">
        <f t="shared" si="1"/>
        <v>-5.6099776589771548E-16</v>
      </c>
      <c r="BR14" s="50">
        <f t="shared" si="1"/>
        <v>-4.9866468079796934E-16</v>
      </c>
    </row>
    <row r="15" spans="2:70" ht="15.75" thickTop="1" x14ac:dyDescent="0.25"/>
    <row r="17" spans="2:11" x14ac:dyDescent="0.25">
      <c r="B17" s="317" t="s">
        <v>14</v>
      </c>
      <c r="C17" s="318"/>
      <c r="D17" s="349" t="s">
        <v>15</v>
      </c>
      <c r="E17" s="318"/>
      <c r="F17" s="350"/>
      <c r="H17" s="6"/>
      <c r="I17" s="7"/>
      <c r="J17" s="1"/>
      <c r="K17" s="7"/>
    </row>
    <row r="18" spans="2:11" x14ac:dyDescent="0.25">
      <c r="B18" s="264"/>
      <c r="C18" s="265" t="s">
        <v>16</v>
      </c>
      <c r="D18" s="351">
        <v>41031</v>
      </c>
      <c r="E18" s="352"/>
      <c r="F18" s="353"/>
      <c r="H18" s="7"/>
      <c r="I18" s="6"/>
      <c r="J18" s="2"/>
      <c r="K18" s="16"/>
    </row>
  </sheetData>
  <mergeCells count="25">
    <mergeCell ref="D18:F18"/>
    <mergeCell ref="C5:C6"/>
    <mergeCell ref="B17:C17"/>
    <mergeCell ref="AY1:BR1"/>
    <mergeCell ref="K1:AD1"/>
    <mergeCell ref="B1:J1"/>
    <mergeCell ref="AE1:AX1"/>
    <mergeCell ref="BE4:BI5"/>
    <mergeCell ref="AY4:BD5"/>
    <mergeCell ref="BJ4:BR5"/>
    <mergeCell ref="B5:B6"/>
    <mergeCell ref="E5:E6"/>
    <mergeCell ref="F5:F6"/>
    <mergeCell ref="B4:F4"/>
    <mergeCell ref="K4:P5"/>
    <mergeCell ref="B3:D3"/>
    <mergeCell ref="E3:J3"/>
    <mergeCell ref="D17:F17"/>
    <mergeCell ref="Q4:U5"/>
    <mergeCell ref="AE4:AJ5"/>
    <mergeCell ref="AP4:AX5"/>
    <mergeCell ref="D5:D6"/>
    <mergeCell ref="V4:AD5"/>
    <mergeCell ref="G4:J5"/>
    <mergeCell ref="AK4:AO5"/>
  </mergeCells>
  <conditionalFormatting sqref="AY7:BD14 BJ7:BR14">
    <cfRule type="cellIs" dxfId="40" priority="2" operator="notBetween">
      <formula>0.0001</formula>
      <formula>-0.0001</formula>
    </cfRule>
  </conditionalFormatting>
  <conditionalFormatting sqref="BE7:BI14">
    <cfRule type="cellIs" dxfId="39" priority="1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U32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.7109375" customWidth="1"/>
    <col min="2" max="2" width="9.140625" customWidth="1"/>
    <col min="3" max="3" width="8.7109375" customWidth="1"/>
    <col min="4" max="4" width="6.5703125" bestFit="1" customWidth="1"/>
    <col min="5" max="5" width="9.28515625" bestFit="1" customWidth="1"/>
    <col min="11" max="11" width="12" customWidth="1"/>
    <col min="12" max="31" width="12" bestFit="1" customWidth="1"/>
    <col min="32" max="32" width="8.5703125" customWidth="1"/>
    <col min="33" max="52" width="12" bestFit="1" customWidth="1"/>
    <col min="53" max="73" width="15" bestFit="1" customWidth="1"/>
  </cols>
  <sheetData>
    <row r="1" spans="2:73" ht="21.95" customHeight="1" thickBot="1" x14ac:dyDescent="0.4">
      <c r="B1" s="319" t="s">
        <v>98</v>
      </c>
      <c r="C1" s="320"/>
      <c r="D1" s="320"/>
      <c r="E1" s="320"/>
      <c r="F1" s="320"/>
      <c r="G1" s="320"/>
      <c r="H1" s="320"/>
      <c r="I1" s="320"/>
      <c r="J1" s="321"/>
      <c r="K1" s="319" t="s">
        <v>99</v>
      </c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1"/>
      <c r="AF1" s="319" t="s">
        <v>100</v>
      </c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1"/>
      <c r="BA1" s="319" t="s">
        <v>101</v>
      </c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1"/>
    </row>
    <row r="2" spans="2:73" ht="15" customHeight="1" thickBot="1" x14ac:dyDescent="0.3">
      <c r="D2" s="3"/>
      <c r="E2" s="3"/>
    </row>
    <row r="3" spans="2:73" ht="30.75" customHeight="1" thickTop="1" thickBot="1" x14ac:dyDescent="0.3">
      <c r="B3" s="343" t="s">
        <v>46</v>
      </c>
      <c r="C3" s="344"/>
      <c r="D3" s="346" t="s">
        <v>72</v>
      </c>
      <c r="E3" s="436"/>
      <c r="F3" s="347"/>
      <c r="G3" s="347"/>
      <c r="H3" s="347"/>
      <c r="I3" s="347"/>
      <c r="J3" s="348"/>
    </row>
    <row r="4" spans="2:73" ht="16.5" customHeight="1" thickTop="1" thickBot="1" x14ac:dyDescent="0.3">
      <c r="B4" s="337" t="s">
        <v>73</v>
      </c>
      <c r="C4" s="338"/>
      <c r="D4" s="338"/>
      <c r="E4" s="338"/>
      <c r="F4" s="339"/>
      <c r="G4" s="311" t="s">
        <v>31</v>
      </c>
      <c r="H4" s="312"/>
      <c r="I4" s="312"/>
      <c r="J4" s="313"/>
      <c r="K4" s="165" t="s">
        <v>89</v>
      </c>
      <c r="L4" s="340" t="s">
        <v>21</v>
      </c>
      <c r="M4" s="341"/>
      <c r="N4" s="341"/>
      <c r="O4" s="341"/>
      <c r="P4" s="341"/>
      <c r="Q4" s="341"/>
      <c r="R4" s="294" t="s">
        <v>22</v>
      </c>
      <c r="S4" s="295"/>
      <c r="T4" s="295"/>
      <c r="U4" s="295"/>
      <c r="V4" s="296"/>
      <c r="W4" s="304" t="s">
        <v>44</v>
      </c>
      <c r="X4" s="305"/>
      <c r="Y4" s="305"/>
      <c r="Z4" s="305"/>
      <c r="AA4" s="305"/>
      <c r="AB4" s="305"/>
      <c r="AC4" s="305"/>
      <c r="AD4" s="305"/>
      <c r="AE4" s="403"/>
      <c r="AF4" s="165" t="s">
        <v>89</v>
      </c>
      <c r="AG4" s="405" t="s">
        <v>21</v>
      </c>
      <c r="AH4" s="301"/>
      <c r="AI4" s="301"/>
      <c r="AJ4" s="301"/>
      <c r="AK4" s="301"/>
      <c r="AL4" s="301"/>
      <c r="AM4" s="294" t="s">
        <v>22</v>
      </c>
      <c r="AN4" s="295"/>
      <c r="AO4" s="295"/>
      <c r="AP4" s="295"/>
      <c r="AQ4" s="296"/>
      <c r="AR4" s="304" t="s">
        <v>45</v>
      </c>
      <c r="AS4" s="305"/>
      <c r="AT4" s="305"/>
      <c r="AU4" s="305"/>
      <c r="AV4" s="305"/>
      <c r="AW4" s="305"/>
      <c r="AX4" s="305"/>
      <c r="AY4" s="305"/>
      <c r="AZ4" s="305"/>
      <c r="BA4" s="245" t="s">
        <v>89</v>
      </c>
      <c r="BB4" s="322" t="s">
        <v>21</v>
      </c>
      <c r="BC4" s="323"/>
      <c r="BD4" s="323"/>
      <c r="BE4" s="323"/>
      <c r="BF4" s="323"/>
      <c r="BG4" s="323"/>
      <c r="BH4" s="322" t="s">
        <v>22</v>
      </c>
      <c r="BI4" s="323"/>
      <c r="BJ4" s="323"/>
      <c r="BK4" s="323"/>
      <c r="BL4" s="324"/>
      <c r="BM4" s="328" t="s">
        <v>45</v>
      </c>
      <c r="BN4" s="323"/>
      <c r="BO4" s="323"/>
      <c r="BP4" s="323"/>
      <c r="BQ4" s="323"/>
      <c r="BR4" s="323"/>
      <c r="BS4" s="323"/>
      <c r="BT4" s="323"/>
      <c r="BU4" s="329"/>
    </row>
    <row r="5" spans="2:73" s="18" customFormat="1" ht="15" customHeight="1" thickBot="1" x14ac:dyDescent="0.3">
      <c r="B5" s="331" t="s">
        <v>87</v>
      </c>
      <c r="C5" s="309" t="s">
        <v>88</v>
      </c>
      <c r="D5" s="333" t="s">
        <v>20</v>
      </c>
      <c r="E5" s="440" t="s">
        <v>89</v>
      </c>
      <c r="F5" s="362" t="s">
        <v>1</v>
      </c>
      <c r="G5" s="314"/>
      <c r="H5" s="315"/>
      <c r="I5" s="315"/>
      <c r="J5" s="316"/>
      <c r="K5" s="399" t="s">
        <v>89</v>
      </c>
      <c r="L5" s="342"/>
      <c r="M5" s="342"/>
      <c r="N5" s="342"/>
      <c r="O5" s="342"/>
      <c r="P5" s="342"/>
      <c r="Q5" s="342"/>
      <c r="R5" s="297"/>
      <c r="S5" s="298"/>
      <c r="T5" s="298"/>
      <c r="U5" s="298"/>
      <c r="V5" s="299"/>
      <c r="W5" s="307"/>
      <c r="X5" s="307"/>
      <c r="Y5" s="307"/>
      <c r="Z5" s="307"/>
      <c r="AA5" s="307"/>
      <c r="AB5" s="307"/>
      <c r="AC5" s="307"/>
      <c r="AD5" s="307"/>
      <c r="AE5" s="404"/>
      <c r="AF5" s="399" t="s">
        <v>89</v>
      </c>
      <c r="AG5" s="406"/>
      <c r="AH5" s="303"/>
      <c r="AI5" s="303"/>
      <c r="AJ5" s="303"/>
      <c r="AK5" s="303"/>
      <c r="AL5" s="303"/>
      <c r="AM5" s="297"/>
      <c r="AN5" s="298"/>
      <c r="AO5" s="298"/>
      <c r="AP5" s="298"/>
      <c r="AQ5" s="299"/>
      <c r="AR5" s="307"/>
      <c r="AS5" s="307"/>
      <c r="AT5" s="307"/>
      <c r="AU5" s="307"/>
      <c r="AV5" s="307"/>
      <c r="AW5" s="307"/>
      <c r="AX5" s="307"/>
      <c r="AY5" s="307"/>
      <c r="AZ5" s="307"/>
      <c r="BA5" s="401" t="s">
        <v>89</v>
      </c>
      <c r="BB5" s="325"/>
      <c r="BC5" s="326"/>
      <c r="BD5" s="326"/>
      <c r="BE5" s="326"/>
      <c r="BF5" s="326"/>
      <c r="BG5" s="326"/>
      <c r="BH5" s="325"/>
      <c r="BI5" s="326"/>
      <c r="BJ5" s="326"/>
      <c r="BK5" s="326"/>
      <c r="BL5" s="327"/>
      <c r="BM5" s="326"/>
      <c r="BN5" s="326"/>
      <c r="BO5" s="326"/>
      <c r="BP5" s="326"/>
      <c r="BQ5" s="326"/>
      <c r="BR5" s="326"/>
      <c r="BS5" s="326"/>
      <c r="BT5" s="326"/>
      <c r="BU5" s="330"/>
    </row>
    <row r="6" spans="2:73" s="18" customFormat="1" ht="18" thickBot="1" x14ac:dyDescent="0.3">
      <c r="B6" s="332"/>
      <c r="C6" s="310"/>
      <c r="D6" s="334"/>
      <c r="E6" s="441"/>
      <c r="F6" s="435"/>
      <c r="G6" s="19" t="s">
        <v>29</v>
      </c>
      <c r="H6" s="20" t="s">
        <v>28</v>
      </c>
      <c r="I6" s="20" t="s">
        <v>30</v>
      </c>
      <c r="J6" s="21" t="s">
        <v>27</v>
      </c>
      <c r="K6" s="400"/>
      <c r="L6" s="29" t="s">
        <v>32</v>
      </c>
      <c r="M6" s="24" t="s">
        <v>34</v>
      </c>
      <c r="N6" s="24" t="s">
        <v>33</v>
      </c>
      <c r="O6" s="24" t="s">
        <v>35</v>
      </c>
      <c r="P6" s="24" t="s">
        <v>37</v>
      </c>
      <c r="Q6" s="30" t="s">
        <v>36</v>
      </c>
      <c r="R6" s="111" t="s">
        <v>38</v>
      </c>
      <c r="S6" s="22" t="s">
        <v>39</v>
      </c>
      <c r="T6" s="22" t="s">
        <v>40</v>
      </c>
      <c r="U6" s="22" t="s">
        <v>41</v>
      </c>
      <c r="V6" s="112" t="s">
        <v>42</v>
      </c>
      <c r="W6" s="25" t="s">
        <v>11</v>
      </c>
      <c r="X6" s="23" t="s">
        <v>13</v>
      </c>
      <c r="Y6" s="23" t="s">
        <v>23</v>
      </c>
      <c r="Z6" s="23" t="s">
        <v>24</v>
      </c>
      <c r="AA6" s="23" t="s">
        <v>12</v>
      </c>
      <c r="AB6" s="23" t="s">
        <v>25</v>
      </c>
      <c r="AC6" s="23" t="s">
        <v>26</v>
      </c>
      <c r="AD6" s="23" t="s">
        <v>10</v>
      </c>
      <c r="AE6" s="25" t="s">
        <v>9</v>
      </c>
      <c r="AF6" s="400"/>
      <c r="AG6" s="31" t="s">
        <v>32</v>
      </c>
      <c r="AH6" s="24" t="s">
        <v>34</v>
      </c>
      <c r="AI6" s="24" t="s">
        <v>33</v>
      </c>
      <c r="AJ6" s="24" t="s">
        <v>35</v>
      </c>
      <c r="AK6" s="24" t="s">
        <v>37</v>
      </c>
      <c r="AL6" s="30" t="s">
        <v>36</v>
      </c>
      <c r="AM6" s="111" t="s">
        <v>38</v>
      </c>
      <c r="AN6" s="22" t="s">
        <v>39</v>
      </c>
      <c r="AO6" s="22" t="s">
        <v>40</v>
      </c>
      <c r="AP6" s="22" t="s">
        <v>41</v>
      </c>
      <c r="AQ6" s="112" t="s">
        <v>42</v>
      </c>
      <c r="AR6" s="26" t="s">
        <v>11</v>
      </c>
      <c r="AS6" s="27" t="s">
        <v>13</v>
      </c>
      <c r="AT6" s="27" t="s">
        <v>23</v>
      </c>
      <c r="AU6" s="27" t="s">
        <v>24</v>
      </c>
      <c r="AV6" s="27" t="s">
        <v>12</v>
      </c>
      <c r="AW6" s="27" t="s">
        <v>25</v>
      </c>
      <c r="AX6" s="27" t="s">
        <v>26</v>
      </c>
      <c r="AY6" s="27" t="s">
        <v>10</v>
      </c>
      <c r="AZ6" s="28" t="s">
        <v>9</v>
      </c>
      <c r="BA6" s="402"/>
      <c r="BB6" s="32" t="s">
        <v>32</v>
      </c>
      <c r="BC6" s="33" t="s">
        <v>34</v>
      </c>
      <c r="BD6" s="33" t="s">
        <v>33</v>
      </c>
      <c r="BE6" s="33" t="s">
        <v>35</v>
      </c>
      <c r="BF6" s="33" t="s">
        <v>37</v>
      </c>
      <c r="BG6" s="34" t="s">
        <v>36</v>
      </c>
      <c r="BH6" s="103" t="s">
        <v>38</v>
      </c>
      <c r="BI6" s="33" t="s">
        <v>39</v>
      </c>
      <c r="BJ6" s="33" t="s">
        <v>40</v>
      </c>
      <c r="BK6" s="33" t="s">
        <v>41</v>
      </c>
      <c r="BL6" s="104" t="s">
        <v>42</v>
      </c>
      <c r="BM6" s="34" t="s">
        <v>11</v>
      </c>
      <c r="BN6" s="33" t="s">
        <v>13</v>
      </c>
      <c r="BO6" s="33" t="s">
        <v>23</v>
      </c>
      <c r="BP6" s="33" t="s">
        <v>24</v>
      </c>
      <c r="BQ6" s="33" t="s">
        <v>12</v>
      </c>
      <c r="BR6" s="33" t="s">
        <v>25</v>
      </c>
      <c r="BS6" s="33" t="s">
        <v>26</v>
      </c>
      <c r="BT6" s="33" t="s">
        <v>10</v>
      </c>
      <c r="BU6" s="35" t="s">
        <v>9</v>
      </c>
    </row>
    <row r="7" spans="2:73" x14ac:dyDescent="0.25">
      <c r="B7" s="84">
        <v>45</v>
      </c>
      <c r="C7" s="85">
        <v>89</v>
      </c>
      <c r="D7" s="92">
        <v>23</v>
      </c>
      <c r="E7" s="190">
        <f>SQRT(D7^2+(C7-B7)^2)</f>
        <v>49.648766349225639</v>
      </c>
      <c r="F7" s="155" t="s">
        <v>2</v>
      </c>
      <c r="G7" s="62"/>
      <c r="H7" s="8">
        <v>567</v>
      </c>
      <c r="I7" s="53"/>
      <c r="J7" s="54"/>
      <c r="K7" s="169">
        <f>SQRT(D7^2+(C7-B7)^2)</f>
        <v>49.648766349225639</v>
      </c>
      <c r="L7" s="78">
        <f>P7*100000</f>
        <v>33601.741984510583</v>
      </c>
      <c r="M7" s="65">
        <f>P7*10000</f>
        <v>3360.1741984510586</v>
      </c>
      <c r="N7" s="65">
        <f>P7*10</f>
        <v>3.3601741984510585</v>
      </c>
      <c r="O7" s="65">
        <f>P7*1000000</f>
        <v>336017.41984510585</v>
      </c>
      <c r="P7" s="65">
        <f>(((PI()*D7)/3)*(B7^2+B7*C7+C7^2))/100^3</f>
        <v>0.33601741984510586</v>
      </c>
      <c r="Q7" s="66">
        <f>P7*1000</f>
        <v>336.01741984510585</v>
      </c>
      <c r="R7" s="113">
        <f>U7/0.45359237</f>
        <v>420028.8401063162</v>
      </c>
      <c r="S7" s="67">
        <f>U7*1000/31.1034768</f>
        <v>6125420.5848837784</v>
      </c>
      <c r="T7" s="67">
        <f>U7/1000</f>
        <v>190.52187705217503</v>
      </c>
      <c r="U7" s="67">
        <f>P7*1000*H7</f>
        <v>190521.87705217503</v>
      </c>
      <c r="V7" s="114">
        <f>U7*1000</f>
        <v>190521877.05217502</v>
      </c>
      <c r="W7" s="80">
        <f>AB7/100</f>
        <v>5.2147091282022211E-2</v>
      </c>
      <c r="X7" s="68">
        <f>AB7/4046.8564224</f>
        <v>1.2885826883647191E-3</v>
      </c>
      <c r="Y7" s="68">
        <f>AB7*10000</f>
        <v>52147.091282022215</v>
      </c>
      <c r="Z7" s="68">
        <f>AB7*100</f>
        <v>521.47091282022211</v>
      </c>
      <c r="AA7" s="68">
        <f>AB7/10000</f>
        <v>5.2147091282022209E-4</v>
      </c>
      <c r="AB7" s="68">
        <f>((PI()*B7^2)+(PI()*C7^2)+(PI()*(B7+C7)*(SQRT(D7^2+(C7-B7)^2))))/100^2</f>
        <v>5.2147091282022213</v>
      </c>
      <c r="AC7" s="68">
        <f>AB7*1000000</f>
        <v>5214709.1282022214</v>
      </c>
      <c r="AD7" s="68">
        <f>AB7/144*10000/(2.54*2.54)</f>
        <v>56.130661905167166</v>
      </c>
      <c r="AE7" s="80">
        <f>AB7*10000/(2.54 *2.54)</f>
        <v>8082.8153143440722</v>
      </c>
      <c r="AF7" s="169">
        <v>49.649000000000001</v>
      </c>
      <c r="AG7" s="215">
        <v>33601.699999999997</v>
      </c>
      <c r="AH7" s="65">
        <v>3360.17</v>
      </c>
      <c r="AI7" s="65">
        <v>3.3601700000000001</v>
      </c>
      <c r="AJ7" s="65">
        <v>336017</v>
      </c>
      <c r="AK7" s="65">
        <v>0.33601700000000001</v>
      </c>
      <c r="AL7" s="66">
        <v>336.017</v>
      </c>
      <c r="AM7" s="113">
        <v>420029</v>
      </c>
      <c r="AN7" s="67">
        <v>6125421</v>
      </c>
      <c r="AO7" s="67">
        <v>190.52199999999999</v>
      </c>
      <c r="AP7" s="67">
        <v>190522</v>
      </c>
      <c r="AQ7" s="114">
        <v>190521877</v>
      </c>
      <c r="AR7" s="121">
        <v>5.2147100000000002E-2</v>
      </c>
      <c r="AS7" s="121">
        <v>1.2885800000000001E-3</v>
      </c>
      <c r="AT7" s="68">
        <v>52147.1</v>
      </c>
      <c r="AU7" s="68">
        <v>521.471</v>
      </c>
      <c r="AV7" s="68">
        <v>5.2147100000000002E-4</v>
      </c>
      <c r="AW7" s="68">
        <v>5.2147100000000002</v>
      </c>
      <c r="AX7" s="68">
        <v>5214709</v>
      </c>
      <c r="AY7" s="68">
        <v>56.130699999999997</v>
      </c>
      <c r="AZ7" s="216">
        <v>8082.82</v>
      </c>
      <c r="BA7" s="246">
        <f>(K7-AF7)/K7</f>
        <v>-4.7060741191155162E-6</v>
      </c>
      <c r="BB7" s="36">
        <f t="shared" ref="BB7:BU7" si="0">(L7-AG7)/L7</f>
        <v>1.2494742268285733E-6</v>
      </c>
      <c r="BC7" s="37">
        <f t="shared" si="0"/>
        <v>1.2494742268015064E-6</v>
      </c>
      <c r="BD7" s="37">
        <f t="shared" si="0"/>
        <v>1.2494742267539279E-6</v>
      </c>
      <c r="BE7" s="37">
        <f t="shared" si="0"/>
        <v>1.2494742267852662E-6</v>
      </c>
      <c r="BF7" s="37">
        <f t="shared" si="0"/>
        <v>1.2494742267869685E-6</v>
      </c>
      <c r="BG7" s="38">
        <f t="shared" si="0"/>
        <v>1.2494742268015064E-6</v>
      </c>
      <c r="BH7" s="105">
        <f t="shared" si="0"/>
        <v>-3.8067310748869955E-7</v>
      </c>
      <c r="BI7" s="39">
        <f t="shared" si="0"/>
        <v>-6.7769423485532072E-8</v>
      </c>
      <c r="BJ7" s="39">
        <f t="shared" si="0"/>
        <v>-6.4532129782147791E-7</v>
      </c>
      <c r="BK7" s="39">
        <f t="shared" si="0"/>
        <v>-6.4532129787756886E-7</v>
      </c>
      <c r="BL7" s="106">
        <f t="shared" si="0"/>
        <v>2.7385314494259919E-10</v>
      </c>
      <c r="BM7" s="38">
        <f t="shared" si="0"/>
        <v>-1.6718051911875851E-7</v>
      </c>
      <c r="BN7" s="37">
        <f t="shared" si="0"/>
        <v>2.0862958530055641E-6</v>
      </c>
      <c r="BO7" s="37">
        <f t="shared" si="0"/>
        <v>-1.6718051897983556E-7</v>
      </c>
      <c r="BP7" s="37">
        <f t="shared" si="0"/>
        <v>-1.6718051908448126E-7</v>
      </c>
      <c r="BQ7" s="37">
        <f t="shared" si="0"/>
        <v>-1.6718051916865746E-7</v>
      </c>
      <c r="BR7" s="37">
        <f t="shared" si="0"/>
        <v>-1.6718051907085552E-7</v>
      </c>
      <c r="BS7" s="37">
        <f t="shared" si="0"/>
        <v>2.458473103763128E-8</v>
      </c>
      <c r="BT7" s="37">
        <f t="shared" si="0"/>
        <v>-6.7868133990134007E-7</v>
      </c>
      <c r="BU7" s="40">
        <f t="shared" si="0"/>
        <v>-5.797059248829837E-7</v>
      </c>
    </row>
    <row r="8" spans="2:73" x14ac:dyDescent="0.25">
      <c r="B8" s="86">
        <v>7</v>
      </c>
      <c r="C8" s="87">
        <v>23</v>
      </c>
      <c r="D8" s="93">
        <v>45</v>
      </c>
      <c r="E8" s="192">
        <f t="shared" ref="E8:E14" si="1">SQRT(D8^2+(C8-B8)^2)</f>
        <v>47.75981574503821</v>
      </c>
      <c r="F8" s="156" t="s">
        <v>3</v>
      </c>
      <c r="G8" s="59"/>
      <c r="H8" s="58"/>
      <c r="I8" s="4">
        <v>355</v>
      </c>
      <c r="J8" s="55"/>
      <c r="K8" s="167">
        <f t="shared" ref="K8:K14" si="2">SQRT(D8^2+(C8-B8)^2)</f>
        <v>47.75981574503821</v>
      </c>
      <c r="L8" s="69">
        <f t="shared" ref="L8:L14" si="3">P8*100000</f>
        <v>98612156.925305218</v>
      </c>
      <c r="M8" s="70">
        <f t="shared" ref="M8:M14" si="4">P8*10000</f>
        <v>9861215.6925305221</v>
      </c>
      <c r="N8" s="70">
        <f t="shared" ref="N8:N14" si="5">P8*10</f>
        <v>9861.2156925305208</v>
      </c>
      <c r="O8" s="70">
        <f t="shared" ref="O8:O14" si="6">P8*1000000</f>
        <v>986121569.25305212</v>
      </c>
      <c r="P8" s="70">
        <f>(((PI()*D8)/3)*(B8^2+B8*C8+C8^2))*0.3048^3</f>
        <v>986.12156925305214</v>
      </c>
      <c r="Q8" s="71">
        <f t="shared" ref="Q8:Q14" si="7">P8*1000</f>
        <v>986121.56925305212</v>
      </c>
      <c r="R8" s="115">
        <f t="shared" ref="R8:R14" si="8">U8/0.45359237</f>
        <v>12362716.870590216</v>
      </c>
      <c r="S8" s="72">
        <f t="shared" ref="S8:S14" si="9">U8*1000/31.1034768</f>
        <v>180289621.02944064</v>
      </c>
      <c r="T8" s="72">
        <f t="shared" ref="T8:T14" si="10">U8/1000</f>
        <v>5607.6340449699992</v>
      </c>
      <c r="U8" s="72">
        <f>P8*(0.45359237/0.3048^3)*I8</f>
        <v>5607634.0449699992</v>
      </c>
      <c r="V8" s="116">
        <f t="shared" ref="V8:V14" si="11">U8*1000</f>
        <v>5607634044.9699993</v>
      </c>
      <c r="W8" s="81">
        <f t="shared" ref="W8:W14" si="12">AB8/100</f>
        <v>5.8687752848730188</v>
      </c>
      <c r="X8" s="73">
        <f t="shared" ref="X8:X14" si="13">AB8/4046.8564224</f>
        <v>0.14502059555136193</v>
      </c>
      <c r="Y8" s="73">
        <f t="shared" ref="Y8:Y14" si="14">AB8*10000</f>
        <v>5868775.284873019</v>
      </c>
      <c r="Z8" s="73">
        <f t="shared" ref="Z8:Z14" si="15">AB8*100</f>
        <v>58687.75284873019</v>
      </c>
      <c r="AA8" s="73">
        <f t="shared" ref="AA8:AA14" si="16">AB8/10000</f>
        <v>5.8687752848730193E-2</v>
      </c>
      <c r="AB8" s="73">
        <f>((PI()*B8^2)+(PI()*C8^2)+(PI()*(B8+C8)*(SQRT(D8^2+(C8-B8)^2))))*0.3048^2</f>
        <v>586.8775284873019</v>
      </c>
      <c r="AC8" s="73">
        <f t="shared" ref="AC8:AC14" si="17">AB8*1000000</f>
        <v>586877528.48730195</v>
      </c>
      <c r="AD8" s="73">
        <f t="shared" ref="AD8:AD14" si="18">AB8/144*10000/(2.54*2.54)</f>
        <v>6317.0971422173261</v>
      </c>
      <c r="AE8" s="81">
        <f t="shared" ref="AE8:AE14" si="19">AB8*10000/(2.54 *2.54)</f>
        <v>909661.98847929493</v>
      </c>
      <c r="AF8" s="167">
        <v>47.76</v>
      </c>
      <c r="AG8" s="217">
        <v>98612157</v>
      </c>
      <c r="AH8" s="69">
        <v>9861216</v>
      </c>
      <c r="AI8" s="70">
        <v>9861.2199999999993</v>
      </c>
      <c r="AJ8" s="70">
        <v>986121569</v>
      </c>
      <c r="AK8" s="70">
        <v>986.12199999999996</v>
      </c>
      <c r="AL8" s="71">
        <v>986122</v>
      </c>
      <c r="AM8" s="115">
        <v>12362717</v>
      </c>
      <c r="AN8" s="72">
        <v>180289621</v>
      </c>
      <c r="AO8" s="72">
        <v>5607.63</v>
      </c>
      <c r="AP8" s="72">
        <v>5607634</v>
      </c>
      <c r="AQ8" s="116">
        <v>5607634045</v>
      </c>
      <c r="AR8" s="123">
        <v>5.8687800000000001</v>
      </c>
      <c r="AS8" s="123">
        <v>0.14502100000000001</v>
      </c>
      <c r="AT8" s="73">
        <v>5868775</v>
      </c>
      <c r="AU8" s="73">
        <v>58687.8</v>
      </c>
      <c r="AV8" s="73">
        <v>5.8687799999999998E-2</v>
      </c>
      <c r="AW8" s="73">
        <v>586.87800000000004</v>
      </c>
      <c r="AX8" s="73">
        <v>586877528</v>
      </c>
      <c r="AY8" s="73">
        <v>6317.1</v>
      </c>
      <c r="AZ8" s="218">
        <v>909662</v>
      </c>
      <c r="BA8" s="247">
        <f t="shared" ref="BA8:BA14" si="20">(K8-AF8)/K8</f>
        <v>-3.8579495945142261E-6</v>
      </c>
      <c r="BB8" s="41">
        <f t="shared" ref="BB8:BG14" si="21">(L8-AG8)/L8</f>
        <v>-7.5746018365744687E-10</v>
      </c>
      <c r="BC8" s="42">
        <f t="shared" si="21"/>
        <v>-3.1179672716206452E-8</v>
      </c>
      <c r="BD8" s="42">
        <f t="shared" si="21"/>
        <v>-4.3680917372619705E-7</v>
      </c>
      <c r="BE8" s="42">
        <f t="shared" si="21"/>
        <v>2.5661350824325401E-10</v>
      </c>
      <c r="BF8" s="42">
        <f t="shared" si="21"/>
        <v>-4.368091736800823E-7</v>
      </c>
      <c r="BG8" s="43">
        <f t="shared" si="21"/>
        <v>-4.3680917374833209E-7</v>
      </c>
      <c r="BH8" s="107">
        <f t="shared" ref="BH8:BH14" si="22">(R8-AM8)/R8</f>
        <v>-1.0467746354280847E-8</v>
      </c>
      <c r="BI8" s="44">
        <f t="shared" ref="BI8:BU14" si="23">(S8-AN8)/S8</f>
        <v>1.6329637410680836E-10</v>
      </c>
      <c r="BJ8" s="44">
        <f t="shared" si="23"/>
        <v>7.2133273438450979E-7</v>
      </c>
      <c r="BK8" s="44">
        <f t="shared" si="23"/>
        <v>8.0194247468298711E-9</v>
      </c>
      <c r="BL8" s="108">
        <f t="shared" si="23"/>
        <v>-5.3499722708221617E-12</v>
      </c>
      <c r="BM8" s="43">
        <f t="shared" si="23"/>
        <v>-8.0342605610684079E-7</v>
      </c>
      <c r="BN8" s="42">
        <f t="shared" si="23"/>
        <v>-2.7889048210210324E-6</v>
      </c>
      <c r="BO8" s="42">
        <f t="shared" si="23"/>
        <v>4.8540454378419668E-8</v>
      </c>
      <c r="BP8" s="42">
        <f t="shared" si="23"/>
        <v>-8.0342605610950439E-7</v>
      </c>
      <c r="BQ8" s="42">
        <f t="shared" si="23"/>
        <v>-8.0342605597441852E-7</v>
      </c>
      <c r="BR8" s="42">
        <f t="shared" si="23"/>
        <v>-8.034260561250015E-7</v>
      </c>
      <c r="BS8" s="42">
        <f t="shared" si="23"/>
        <v>8.3032987639240287E-10</v>
      </c>
      <c r="BT8" s="42">
        <f t="shared" si="23"/>
        <v>-4.5238859082223273E-7</v>
      </c>
      <c r="BU8" s="45">
        <f t="shared" si="23"/>
        <v>-1.2664819697121484E-8</v>
      </c>
    </row>
    <row r="9" spans="2:73" x14ac:dyDescent="0.25">
      <c r="B9" s="86">
        <v>17</v>
      </c>
      <c r="C9" s="87">
        <v>36</v>
      </c>
      <c r="D9" s="93">
        <v>235</v>
      </c>
      <c r="E9" s="192">
        <f t="shared" si="1"/>
        <v>235.76683396949622</v>
      </c>
      <c r="F9" s="156" t="s">
        <v>4</v>
      </c>
      <c r="G9" s="59"/>
      <c r="H9" s="56"/>
      <c r="I9" s="56"/>
      <c r="J9" s="14">
        <v>299</v>
      </c>
      <c r="K9" s="167">
        <f t="shared" si="2"/>
        <v>235.76683396949622</v>
      </c>
      <c r="L9" s="69">
        <f t="shared" si="3"/>
        <v>885987.68842457607</v>
      </c>
      <c r="M9" s="70">
        <f t="shared" si="4"/>
        <v>88598.768842457604</v>
      </c>
      <c r="N9" s="70">
        <f t="shared" si="5"/>
        <v>88.598768842457616</v>
      </c>
      <c r="O9" s="70">
        <f t="shared" si="6"/>
        <v>8859876.8842457607</v>
      </c>
      <c r="P9" s="70">
        <f>(((PI()*D9)/3)*(B9^2+B9*C9+C9^2))*(2.54/100)^3</f>
        <v>8.8598768842457609</v>
      </c>
      <c r="Q9" s="71">
        <f t="shared" si="7"/>
        <v>8859.8768842457612</v>
      </c>
      <c r="R9" s="115">
        <f t="shared" si="8"/>
        <v>5840272.8167351717</v>
      </c>
      <c r="S9" s="72">
        <f t="shared" si="9"/>
        <v>85170645.244054601</v>
      </c>
      <c r="T9" s="72">
        <f t="shared" si="10"/>
        <v>2649.1031883894825</v>
      </c>
      <c r="U9" s="72">
        <f>P9*1000*J9</f>
        <v>2649103.1883894824</v>
      </c>
      <c r="V9" s="116">
        <f t="shared" si="11"/>
        <v>2649103188.3894825</v>
      </c>
      <c r="W9" s="81">
        <f t="shared" si="12"/>
        <v>0.28539066853720263</v>
      </c>
      <c r="X9" s="73">
        <f t="shared" si="13"/>
        <v>7.0521570016054786E-3</v>
      </c>
      <c r="Y9" s="73">
        <f t="shared" si="14"/>
        <v>285390.66853720258</v>
      </c>
      <c r="Z9" s="73">
        <f t="shared" si="15"/>
        <v>2853.906685372026</v>
      </c>
      <c r="AA9" s="73">
        <f t="shared" si="16"/>
        <v>2.8539066853720259E-3</v>
      </c>
      <c r="AB9" s="73">
        <f>((PI()*B9^2)+(PI()*C9^2)+(PI()*(B9+C9)*(SQRT(D9^2+(C9-B9)^2))))*(2.54/100)^2</f>
        <v>28.539066853720261</v>
      </c>
      <c r="AC9" s="73">
        <f t="shared" si="17"/>
        <v>28539066.853720259</v>
      </c>
      <c r="AD9" s="73">
        <f t="shared" si="18"/>
        <v>307.19195898993468</v>
      </c>
      <c r="AE9" s="81">
        <f t="shared" si="19"/>
        <v>44235.642094550589</v>
      </c>
      <c r="AF9" s="167">
        <v>235.77</v>
      </c>
      <c r="AG9" s="217">
        <v>885988</v>
      </c>
      <c r="AH9" s="70">
        <v>88598.8</v>
      </c>
      <c r="AI9" s="70">
        <v>88.598799999999997</v>
      </c>
      <c r="AJ9" s="70">
        <v>8859877</v>
      </c>
      <c r="AK9" s="70">
        <v>8.8598800000000004</v>
      </c>
      <c r="AL9" s="71">
        <v>8859.8799999999992</v>
      </c>
      <c r="AM9" s="115">
        <v>5840273</v>
      </c>
      <c r="AN9" s="72">
        <v>85170645</v>
      </c>
      <c r="AO9" s="72">
        <v>2649.1</v>
      </c>
      <c r="AP9" s="72">
        <v>2649103</v>
      </c>
      <c r="AQ9" s="116">
        <v>2649103188</v>
      </c>
      <c r="AR9" s="123">
        <v>0.28539100000000001</v>
      </c>
      <c r="AS9" s="123">
        <v>7.05216E-3</v>
      </c>
      <c r="AT9" s="73">
        <v>285391</v>
      </c>
      <c r="AU9" s="73">
        <v>2853.91</v>
      </c>
      <c r="AV9" s="73">
        <v>2.8539099999999999E-3</v>
      </c>
      <c r="AW9" s="73">
        <v>28.539100000000001</v>
      </c>
      <c r="AX9" s="73">
        <v>28539067</v>
      </c>
      <c r="AY9" s="73">
        <v>307.19200000000001</v>
      </c>
      <c r="AZ9" s="218">
        <v>44235.6</v>
      </c>
      <c r="BA9" s="247">
        <f t="shared" si="20"/>
        <v>-1.3428650885651464E-5</v>
      </c>
      <c r="BB9" s="41">
        <f t="shared" si="21"/>
        <v>-3.5167015072200902E-7</v>
      </c>
      <c r="BC9" s="42">
        <f t="shared" si="21"/>
        <v>-3.5167015078770706E-7</v>
      </c>
      <c r="BD9" s="42">
        <f t="shared" si="21"/>
        <v>-3.5167015058881648E-7</v>
      </c>
      <c r="BE9" s="42">
        <f t="shared" si="21"/>
        <v>-1.3064994104712606E-8</v>
      </c>
      <c r="BF9" s="42">
        <f t="shared" si="21"/>
        <v>-3.5167015074921212E-7</v>
      </c>
      <c r="BG9" s="43">
        <f t="shared" si="21"/>
        <v>-3.5167015058240068E-7</v>
      </c>
      <c r="BH9" s="107">
        <f t="shared" si="22"/>
        <v>-3.137949784844361E-8</v>
      </c>
      <c r="BI9" s="44">
        <f t="shared" si="23"/>
        <v>2.8654778873295473E-9</v>
      </c>
      <c r="BJ9" s="44">
        <f t="shared" si="23"/>
        <v>1.2035731550875285E-6</v>
      </c>
      <c r="BK9" s="44">
        <f t="shared" si="23"/>
        <v>7.1114437243503769E-8</v>
      </c>
      <c r="BL9" s="108">
        <f t="shared" si="23"/>
        <v>1.4702428349185239E-10</v>
      </c>
      <c r="BM9" s="43">
        <f t="shared" si="23"/>
        <v>-1.1614353022647979E-6</v>
      </c>
      <c r="BN9" s="42">
        <f t="shared" si="23"/>
        <v>-4.2517410215091453E-7</v>
      </c>
      <c r="BO9" s="42">
        <f t="shared" si="23"/>
        <v>-1.161435302410957E-6</v>
      </c>
      <c r="BP9" s="42">
        <f t="shared" si="23"/>
        <v>-1.1614353022962307E-6</v>
      </c>
      <c r="BQ9" s="42">
        <f t="shared" si="23"/>
        <v>-1.1614353023498959E-6</v>
      </c>
      <c r="BR9" s="42">
        <f t="shared" si="23"/>
        <v>-1.1614353023659428E-6</v>
      </c>
      <c r="BS9" s="42">
        <f t="shared" si="23"/>
        <v>-5.12559649649325E-9</v>
      </c>
      <c r="BT9" s="42">
        <f t="shared" si="23"/>
        <v>-1.3349980079568622E-7</v>
      </c>
      <c r="BU9" s="45">
        <f t="shared" si="23"/>
        <v>9.5159804621552735E-7</v>
      </c>
    </row>
    <row r="10" spans="2:73" x14ac:dyDescent="0.25">
      <c r="B10" s="86">
        <v>8</v>
      </c>
      <c r="C10" s="87">
        <v>23</v>
      </c>
      <c r="D10" s="93">
        <v>29</v>
      </c>
      <c r="E10" s="192">
        <f t="shared" si="1"/>
        <v>32.649655434629018</v>
      </c>
      <c r="F10" s="156" t="s">
        <v>5</v>
      </c>
      <c r="G10" s="11">
        <v>690</v>
      </c>
      <c r="H10" s="56"/>
      <c r="I10" s="56"/>
      <c r="J10" s="57"/>
      <c r="K10" s="167">
        <f t="shared" si="2"/>
        <v>32.649655434629018</v>
      </c>
      <c r="L10" s="69">
        <f t="shared" si="3"/>
        <v>2359650242.1112938</v>
      </c>
      <c r="M10" s="70">
        <f t="shared" si="4"/>
        <v>235965024.2111294</v>
      </c>
      <c r="N10" s="70">
        <f t="shared" si="5"/>
        <v>235965.02421112938</v>
      </c>
      <c r="O10" s="70">
        <f t="shared" si="6"/>
        <v>23596502421.112938</v>
      </c>
      <c r="P10" s="70">
        <f>((PI()*D10)/3)*(B10^2+B10*C10+C10^2)</f>
        <v>23596.502421112938</v>
      </c>
      <c r="Q10" s="71">
        <f t="shared" si="7"/>
        <v>23596502.42111294</v>
      </c>
      <c r="R10" s="115">
        <f t="shared" si="8"/>
        <v>35894754.293525547</v>
      </c>
      <c r="S10" s="72">
        <f t="shared" si="9"/>
        <v>523465166.78058088</v>
      </c>
      <c r="T10" s="72">
        <f t="shared" si="10"/>
        <v>16281.586670567927</v>
      </c>
      <c r="U10" s="72">
        <f>P10*G10</f>
        <v>16281586.670567928</v>
      </c>
      <c r="V10" s="116">
        <f t="shared" si="11"/>
        <v>16281586670.567928</v>
      </c>
      <c r="W10" s="81">
        <f t="shared" si="12"/>
        <v>50.426938909044729</v>
      </c>
      <c r="X10" s="73">
        <f t="shared" si="13"/>
        <v>1.2460767975340941</v>
      </c>
      <c r="Y10" s="73">
        <f t="shared" si="14"/>
        <v>50426938.909044728</v>
      </c>
      <c r="Z10" s="73">
        <f t="shared" si="15"/>
        <v>504269.38909044728</v>
      </c>
      <c r="AA10" s="73">
        <f t="shared" si="16"/>
        <v>0.50426938909044727</v>
      </c>
      <c r="AB10" s="73">
        <f>(PI()*B10^2)+(PI()*C10^2)+(PI()*(B10+C10)*(SQRT(D10^2+(C10-B10)^2)))</f>
        <v>5042.6938909044729</v>
      </c>
      <c r="AC10" s="73">
        <f t="shared" si="17"/>
        <v>5042693890.9044733</v>
      </c>
      <c r="AD10" s="73">
        <f t="shared" si="18"/>
        <v>54279.105300585135</v>
      </c>
      <c r="AE10" s="81">
        <f t="shared" si="19"/>
        <v>7816191.1632842589</v>
      </c>
      <c r="AF10" s="167">
        <v>32.65</v>
      </c>
      <c r="AG10" s="217">
        <v>2359650242</v>
      </c>
      <c r="AH10" s="70">
        <v>235965024</v>
      </c>
      <c r="AI10" s="70">
        <v>235965</v>
      </c>
      <c r="AJ10" s="70">
        <v>23596502421</v>
      </c>
      <c r="AK10" s="70">
        <v>23596.5</v>
      </c>
      <c r="AL10" s="71">
        <v>23596502</v>
      </c>
      <c r="AM10" s="115">
        <v>35894754</v>
      </c>
      <c r="AN10" s="72">
        <v>523465167</v>
      </c>
      <c r="AO10" s="72">
        <v>16281.6</v>
      </c>
      <c r="AP10" s="72">
        <v>16281587</v>
      </c>
      <c r="AQ10" s="116">
        <v>16281586671</v>
      </c>
      <c r="AR10" s="123">
        <v>50.426900000000003</v>
      </c>
      <c r="AS10" s="123">
        <v>1.2460800000000001</v>
      </c>
      <c r="AT10" s="73">
        <v>50426939</v>
      </c>
      <c r="AU10" s="73">
        <v>504269</v>
      </c>
      <c r="AV10" s="73">
        <v>0.50426899999999997</v>
      </c>
      <c r="AW10" s="73">
        <v>5042.6899999999996</v>
      </c>
      <c r="AX10" s="73">
        <v>5042693891</v>
      </c>
      <c r="AY10" s="73">
        <v>54279.1</v>
      </c>
      <c r="AZ10" s="218">
        <v>7816191</v>
      </c>
      <c r="BA10" s="247">
        <f t="shared" si="20"/>
        <v>-1.0553415231908452E-5</v>
      </c>
      <c r="BB10" s="41">
        <f t="shared" si="21"/>
        <v>4.7165376774241509E-11</v>
      </c>
      <c r="BC10" s="42">
        <f t="shared" si="21"/>
        <v>8.9474869362396108E-10</v>
      </c>
      <c r="BD10" s="42">
        <f t="shared" si="21"/>
        <v>1.0260473753813775E-7</v>
      </c>
      <c r="BE10" s="42">
        <f t="shared" si="21"/>
        <v>4.7862147207478808E-12</v>
      </c>
      <c r="BF10" s="42">
        <f t="shared" si="21"/>
        <v>1.0260473756897265E-7</v>
      </c>
      <c r="BG10" s="43">
        <f t="shared" si="21"/>
        <v>1.7846413515021412E-8</v>
      </c>
      <c r="BH10" s="107">
        <f t="shared" si="22"/>
        <v>8.177393955364488E-9</v>
      </c>
      <c r="BI10" s="44">
        <f t="shared" si="23"/>
        <v>-4.1916661445062632E-10</v>
      </c>
      <c r="BJ10" s="44">
        <f t="shared" si="23"/>
        <v>-8.1868139406669998E-7</v>
      </c>
      <c r="BK10" s="44">
        <f t="shared" si="23"/>
        <v>-2.0233413289715552E-8</v>
      </c>
      <c r="BL10" s="108">
        <f t="shared" si="23"/>
        <v>-2.6537443465019754E-11</v>
      </c>
      <c r="BM10" s="43">
        <f t="shared" si="23"/>
        <v>7.7159243784119841E-7</v>
      </c>
      <c r="BN10" s="42">
        <f t="shared" si="23"/>
        <v>-2.5700389513338109E-6</v>
      </c>
      <c r="BO10" s="42">
        <f t="shared" si="23"/>
        <v>-1.8037040178264452E-9</v>
      </c>
      <c r="BP10" s="42">
        <f t="shared" si="23"/>
        <v>7.7159243788516091E-7</v>
      </c>
      <c r="BQ10" s="42">
        <f t="shared" si="23"/>
        <v>7.7159243793807093E-7</v>
      </c>
      <c r="BR10" s="42">
        <f t="shared" si="23"/>
        <v>7.7159243799337625E-7</v>
      </c>
      <c r="BS10" s="42">
        <f t="shared" si="23"/>
        <v>-1.8943583988662629E-11</v>
      </c>
      <c r="BT10" s="42">
        <f t="shared" si="23"/>
        <v>9.7654246648168763E-8</v>
      </c>
      <c r="BU10" s="45">
        <f t="shared" si="23"/>
        <v>2.0890515022711421E-8</v>
      </c>
    </row>
    <row r="11" spans="2:73" x14ac:dyDescent="0.25">
      <c r="B11" s="86">
        <v>34</v>
      </c>
      <c r="C11" s="87">
        <v>65</v>
      </c>
      <c r="D11" s="93">
        <v>155</v>
      </c>
      <c r="E11" s="192">
        <f t="shared" si="1"/>
        <v>158.06960492137634</v>
      </c>
      <c r="F11" s="156" t="s">
        <v>6</v>
      </c>
      <c r="G11" s="59"/>
      <c r="H11" s="4">
        <v>348</v>
      </c>
      <c r="I11" s="58"/>
      <c r="J11" s="55"/>
      <c r="K11" s="167">
        <f t="shared" si="2"/>
        <v>158.06960492137634</v>
      </c>
      <c r="L11" s="69">
        <f t="shared" si="3"/>
        <v>5.135774695868532E+20</v>
      </c>
      <c r="M11" s="70">
        <f t="shared" si="4"/>
        <v>5.1357746958685323E+19</v>
      </c>
      <c r="N11" s="70">
        <f t="shared" si="5"/>
        <v>5.135774695868532E+16</v>
      </c>
      <c r="O11" s="70">
        <f t="shared" si="6"/>
        <v>5.1357746958685323E+21</v>
      </c>
      <c r="P11" s="70">
        <f>(((PI()*D11)/3)*(B11^2+B11*C11+C11^2))*(63360*2.54/100)^3</f>
        <v>5135774695868532</v>
      </c>
      <c r="Q11" s="71">
        <f t="shared" si="7"/>
        <v>5.1357746958685317E+18</v>
      </c>
      <c r="R11" s="115">
        <f t="shared" si="8"/>
        <v>3.9402108861801373E+21</v>
      </c>
      <c r="S11" s="72">
        <f t="shared" si="9"/>
        <v>5.746140875679368E+22</v>
      </c>
      <c r="T11" s="72">
        <f t="shared" si="10"/>
        <v>1.787249594162249E+18</v>
      </c>
      <c r="U11" s="72">
        <f>P11*1000*H11</f>
        <v>1.7872495941622489E+21</v>
      </c>
      <c r="V11" s="116">
        <f t="shared" si="11"/>
        <v>1.7872495941622489E+24</v>
      </c>
      <c r="W11" s="81">
        <f t="shared" si="12"/>
        <v>1711136528.3861909</v>
      </c>
      <c r="X11" s="73">
        <f t="shared" si="13"/>
        <v>42283104.458927065</v>
      </c>
      <c r="Y11" s="73">
        <f t="shared" si="14"/>
        <v>1711136528386190.7</v>
      </c>
      <c r="Z11" s="73">
        <f t="shared" si="15"/>
        <v>17111365283861.908</v>
      </c>
      <c r="AA11" s="73">
        <f t="shared" si="16"/>
        <v>17111365.283861909</v>
      </c>
      <c r="AB11" s="73">
        <f>((PI()*B11^2)+(PI()*C11^2)+(PI()*(B11+C11)*(SQRT(D11^2+(C11-B11)^2))))*(63360*2.54/100)^2</f>
        <v>171113652838.61908</v>
      </c>
      <c r="AC11" s="73">
        <f t="shared" si="17"/>
        <v>1.7111365283861907E+17</v>
      </c>
      <c r="AD11" s="73">
        <f t="shared" si="18"/>
        <v>1841852030230.863</v>
      </c>
      <c r="AE11" s="81">
        <f t="shared" si="19"/>
        <v>265226692353244.28</v>
      </c>
      <c r="AF11" s="167">
        <v>158.07</v>
      </c>
      <c r="AG11" s="217">
        <v>5.13577469586853E+20</v>
      </c>
      <c r="AH11" s="70">
        <v>5.1357746958685299E+19</v>
      </c>
      <c r="AI11" s="70">
        <v>5.1357746958685296E+16</v>
      </c>
      <c r="AJ11" s="70">
        <v>5.1357746958685302E+21</v>
      </c>
      <c r="AK11" s="70">
        <v>5135774695868530</v>
      </c>
      <c r="AL11" s="71">
        <v>5.1357746958685297E+18</v>
      </c>
      <c r="AM11" s="115">
        <v>3.94021088618014E+21</v>
      </c>
      <c r="AN11" s="72">
        <v>5.7461408756793696E+22</v>
      </c>
      <c r="AO11" s="72">
        <v>1.78724959416225E+18</v>
      </c>
      <c r="AP11" s="72">
        <v>1.78724959416225E+21</v>
      </c>
      <c r="AQ11" s="116">
        <v>1.78724959416225E+24</v>
      </c>
      <c r="AR11" s="123">
        <v>1711136528</v>
      </c>
      <c r="AS11" s="123">
        <v>42283104</v>
      </c>
      <c r="AT11" s="73">
        <v>1711136528386190</v>
      </c>
      <c r="AU11" s="73">
        <v>17111365283862</v>
      </c>
      <c r="AV11" s="73">
        <v>17111365</v>
      </c>
      <c r="AW11" s="73">
        <v>171113652839</v>
      </c>
      <c r="AX11" s="73">
        <v>1.7111365283861901E+17</v>
      </c>
      <c r="AY11" s="73">
        <v>1841852030231</v>
      </c>
      <c r="AZ11" s="218">
        <v>265226692353244</v>
      </c>
      <c r="BA11" s="247">
        <f t="shared" si="20"/>
        <v>-2.4993965402198024E-6</v>
      </c>
      <c r="BB11" s="41">
        <f t="shared" si="21"/>
        <v>3.8282053174599164E-16</v>
      </c>
      <c r="BC11" s="42">
        <f t="shared" si="21"/>
        <v>4.785256646824895E-16</v>
      </c>
      <c r="BD11" s="42">
        <f t="shared" si="21"/>
        <v>4.6731021941649374E-16</v>
      </c>
      <c r="BE11" s="42">
        <f t="shared" si="21"/>
        <v>4.0834190052905775E-16</v>
      </c>
      <c r="BF11" s="42">
        <f t="shared" si="21"/>
        <v>3.8942518284707812E-16</v>
      </c>
      <c r="BG11" s="43">
        <f t="shared" si="21"/>
        <v>3.9877138723540798E-16</v>
      </c>
      <c r="BH11" s="107">
        <f t="shared" si="22"/>
        <v>-6.6530449149166523E-16</v>
      </c>
      <c r="BI11" s="44">
        <f t="shared" si="23"/>
        <v>-2.9197362826605649E-16</v>
      </c>
      <c r="BJ11" s="44">
        <f t="shared" si="23"/>
        <v>-5.7294739545317243E-16</v>
      </c>
      <c r="BK11" s="44">
        <f t="shared" si="23"/>
        <v>-5.8669813294404861E-16</v>
      </c>
      <c r="BL11" s="108">
        <f t="shared" si="23"/>
        <v>-6.0077888813470573E-16</v>
      </c>
      <c r="BM11" s="43">
        <f t="shared" si="23"/>
        <v>2.2569262292009742E-10</v>
      </c>
      <c r="BN11" s="42">
        <f t="shared" si="23"/>
        <v>1.0853674795327309E-8</v>
      </c>
      <c r="BO11" s="42">
        <f t="shared" si="23"/>
        <v>4.3830517761627178E-16</v>
      </c>
      <c r="BP11" s="42">
        <f t="shared" si="23"/>
        <v>-5.3646727468658264E-15</v>
      </c>
      <c r="BQ11" s="42">
        <f t="shared" si="23"/>
        <v>1.6589085929302585E-8</v>
      </c>
      <c r="BR11" s="42">
        <f t="shared" si="23"/>
        <v>-2.2261251737493097E-12</v>
      </c>
      <c r="BS11" s="42">
        <f t="shared" si="23"/>
        <v>3.740204182325519E-16</v>
      </c>
      <c r="BT11" s="42">
        <f t="shared" si="23"/>
        <v>-7.4361505906548134E-14</v>
      </c>
      <c r="BU11" s="45">
        <f t="shared" si="23"/>
        <v>1.0604136314659272E-15</v>
      </c>
    </row>
    <row r="12" spans="2:73" x14ac:dyDescent="0.25">
      <c r="B12" s="86">
        <v>122</v>
      </c>
      <c r="C12" s="87">
        <v>334</v>
      </c>
      <c r="D12" s="93">
        <v>233</v>
      </c>
      <c r="E12" s="192">
        <f t="shared" si="1"/>
        <v>315.01269815675687</v>
      </c>
      <c r="F12" s="156" t="s">
        <v>7</v>
      </c>
      <c r="G12" s="59"/>
      <c r="H12" s="58"/>
      <c r="I12" s="4">
        <v>278</v>
      </c>
      <c r="J12" s="55"/>
      <c r="K12" s="167">
        <f t="shared" si="2"/>
        <v>315.01269815675687</v>
      </c>
      <c r="L12" s="69">
        <f t="shared" si="3"/>
        <v>4079.3375356143429</v>
      </c>
      <c r="M12" s="70">
        <f t="shared" si="4"/>
        <v>407.93375356143429</v>
      </c>
      <c r="N12" s="70">
        <f t="shared" si="5"/>
        <v>0.40793375356143424</v>
      </c>
      <c r="O12" s="70">
        <f t="shared" si="6"/>
        <v>40793.375356143428</v>
      </c>
      <c r="P12" s="70">
        <f>(((PI()*D12)/3)*(B12^2+B12*C12+C12^2))/1000^3</f>
        <v>4.0793375356143427E-2</v>
      </c>
      <c r="Q12" s="71">
        <f t="shared" si="7"/>
        <v>40.793375356143429</v>
      </c>
      <c r="R12" s="115">
        <f t="shared" si="8"/>
        <v>400.4880385308079</v>
      </c>
      <c r="S12" s="72">
        <f t="shared" si="9"/>
        <v>5840.4505619076153</v>
      </c>
      <c r="T12" s="72">
        <f t="shared" si="10"/>
        <v>0.18165831855384049</v>
      </c>
      <c r="U12" s="72">
        <f>P12*(0.45359237/0.3048^3)*I12</f>
        <v>181.65831855384047</v>
      </c>
      <c r="V12" s="116">
        <f t="shared" si="11"/>
        <v>181658.31855384048</v>
      </c>
      <c r="W12" s="81">
        <f t="shared" si="12"/>
        <v>8.4849953483233879E-3</v>
      </c>
      <c r="X12" s="73">
        <f t="shared" si="13"/>
        <v>2.0966880122945741E-4</v>
      </c>
      <c r="Y12" s="73">
        <f t="shared" si="14"/>
        <v>8484.9953483233876</v>
      </c>
      <c r="Z12" s="73">
        <f t="shared" si="15"/>
        <v>84.849953483233875</v>
      </c>
      <c r="AA12" s="73">
        <f t="shared" si="16"/>
        <v>8.4849953483233869E-5</v>
      </c>
      <c r="AB12" s="73">
        <f>((PI()*B12^2)+(PI()*C12^2)+(PI()*(B12+C12)*(SQRT(D12^2+(C12-B12)^2))))/1000^2</f>
        <v>0.84849953483233875</v>
      </c>
      <c r="AC12" s="73">
        <f t="shared" si="17"/>
        <v>848499.5348323388</v>
      </c>
      <c r="AD12" s="73">
        <f t="shared" si="18"/>
        <v>9.1331729815551661</v>
      </c>
      <c r="AE12" s="81">
        <f t="shared" si="19"/>
        <v>1315.1769093439439</v>
      </c>
      <c r="AF12" s="167">
        <v>315.01</v>
      </c>
      <c r="AG12" s="217">
        <v>4079.34</v>
      </c>
      <c r="AH12" s="70">
        <v>407.93400000000003</v>
      </c>
      <c r="AI12" s="70">
        <v>0.40793400000000002</v>
      </c>
      <c r="AJ12" s="70">
        <v>40793.4</v>
      </c>
      <c r="AK12" s="70">
        <v>4.07934E-2</v>
      </c>
      <c r="AL12" s="71">
        <v>40.793399999999998</v>
      </c>
      <c r="AM12" s="115">
        <v>400.488</v>
      </c>
      <c r="AN12" s="72">
        <v>5840.45</v>
      </c>
      <c r="AO12" s="72">
        <v>0.18165799999999999</v>
      </c>
      <c r="AP12" s="72">
        <v>181.65799999999999</v>
      </c>
      <c r="AQ12" s="116">
        <v>181658</v>
      </c>
      <c r="AR12" s="123">
        <v>8.4849999999999995E-3</v>
      </c>
      <c r="AS12" s="123">
        <v>2.09669E-4</v>
      </c>
      <c r="AT12" s="73">
        <v>8485</v>
      </c>
      <c r="AU12" s="73">
        <v>84.85</v>
      </c>
      <c r="AV12" s="73">
        <v>8.4849953483233896E-5</v>
      </c>
      <c r="AW12" s="73">
        <v>0.84850000000000003</v>
      </c>
      <c r="AX12" s="73">
        <v>848500</v>
      </c>
      <c r="AY12" s="73">
        <v>9.1331699999999998</v>
      </c>
      <c r="AZ12" s="218">
        <v>1315.18</v>
      </c>
      <c r="BA12" s="247">
        <f t="shared" si="20"/>
        <v>8.56523172769237E-6</v>
      </c>
      <c r="BB12" s="41">
        <f t="shared" si="21"/>
        <v>-6.0411418171736231E-7</v>
      </c>
      <c r="BC12" s="42">
        <f t="shared" si="21"/>
        <v>-6.0411418174523118E-7</v>
      </c>
      <c r="BD12" s="42">
        <f t="shared" si="21"/>
        <v>-6.0411418183667622E-7</v>
      </c>
      <c r="BE12" s="42">
        <f t="shared" si="21"/>
        <v>-6.0411418173965739E-7</v>
      </c>
      <c r="BF12" s="42">
        <f t="shared" si="21"/>
        <v>-6.0411418173461712E-7</v>
      </c>
      <c r="BG12" s="43">
        <f t="shared" si="21"/>
        <v>-6.0411418164072267E-7</v>
      </c>
      <c r="BH12" s="107">
        <f t="shared" si="22"/>
        <v>9.6209634725425163E-8</v>
      </c>
      <c r="BI12" s="44">
        <f t="shared" si="23"/>
        <v>9.6209634781388246E-8</v>
      </c>
      <c r="BJ12" s="44">
        <f t="shared" si="23"/>
        <v>1.7535879613791354E-6</v>
      </c>
      <c r="BK12" s="44">
        <f t="shared" si="23"/>
        <v>1.7535879613021293E-6</v>
      </c>
      <c r="BL12" s="108">
        <f t="shared" si="23"/>
        <v>1.7535879612645797E-6</v>
      </c>
      <c r="BM12" s="43">
        <f t="shared" si="23"/>
        <v>-5.4822382578294837E-7</v>
      </c>
      <c r="BN12" s="42">
        <f t="shared" si="23"/>
        <v>-9.4802155314348707E-7</v>
      </c>
      <c r="BO12" s="42">
        <f t="shared" si="23"/>
        <v>-5.4822382587758895E-7</v>
      </c>
      <c r="BP12" s="42">
        <f t="shared" si="23"/>
        <v>-5.4822382581729534E-7</v>
      </c>
      <c r="BQ12" s="42">
        <f t="shared" si="23"/>
        <v>-3.1944689654418606E-16</v>
      </c>
      <c r="BR12" s="42">
        <f t="shared" si="23"/>
        <v>-5.4822382592197167E-7</v>
      </c>
      <c r="BS12" s="42">
        <f t="shared" si="23"/>
        <v>-5.4822382582613836E-7</v>
      </c>
      <c r="BT12" s="42">
        <f t="shared" si="23"/>
        <v>3.2645337741179304E-7</v>
      </c>
      <c r="BU12" s="45">
        <f t="shared" si="23"/>
        <v>-2.3499926391981371E-6</v>
      </c>
    </row>
    <row r="13" spans="2:73" x14ac:dyDescent="0.25">
      <c r="B13" s="86">
        <v>68</v>
      </c>
      <c r="C13" s="87">
        <v>112</v>
      </c>
      <c r="D13" s="94">
        <v>677</v>
      </c>
      <c r="E13" s="192">
        <f t="shared" si="1"/>
        <v>678.42833077636135</v>
      </c>
      <c r="F13" s="156" t="s">
        <v>8</v>
      </c>
      <c r="G13" s="59"/>
      <c r="H13" s="58"/>
      <c r="I13" s="58"/>
      <c r="J13" s="14">
        <v>770</v>
      </c>
      <c r="K13" s="167">
        <f t="shared" si="2"/>
        <v>678.42833077636135</v>
      </c>
      <c r="L13" s="69">
        <f t="shared" si="3"/>
        <v>1343375239265.9993</v>
      </c>
      <c r="M13" s="70">
        <f t="shared" si="4"/>
        <v>134337523926.59995</v>
      </c>
      <c r="N13" s="70">
        <f t="shared" si="5"/>
        <v>134337523.92659995</v>
      </c>
      <c r="O13" s="70">
        <f t="shared" si="6"/>
        <v>13433752392659.994</v>
      </c>
      <c r="P13" s="70">
        <f>(((PI()*D13)/3)*(B13^2+B13*C13+C13^2))*0.9144^3</f>
        <v>13433752.392659994</v>
      </c>
      <c r="Q13" s="71">
        <f t="shared" si="7"/>
        <v>13433752392.659994</v>
      </c>
      <c r="R13" s="115">
        <f t="shared" si="8"/>
        <v>22804592904303.473</v>
      </c>
      <c r="S13" s="72">
        <f t="shared" si="9"/>
        <v>332566979854425.69</v>
      </c>
      <c r="T13" s="72">
        <f t="shared" si="10"/>
        <v>10343989342.348196</v>
      </c>
      <c r="U13" s="72">
        <f>P13*1000*J13</f>
        <v>10343989342348.195</v>
      </c>
      <c r="V13" s="116">
        <f t="shared" si="11"/>
        <v>1.0343989342348196E+16</v>
      </c>
      <c r="W13" s="81">
        <f t="shared" si="12"/>
        <v>3658.7013982424887</v>
      </c>
      <c r="X13" s="73">
        <f t="shared" si="13"/>
        <v>90.408480468716135</v>
      </c>
      <c r="Y13" s="73">
        <f t="shared" si="14"/>
        <v>3658701398.2424884</v>
      </c>
      <c r="Z13" s="73">
        <f t="shared" si="15"/>
        <v>36587013.982424885</v>
      </c>
      <c r="AA13" s="73">
        <f t="shared" si="16"/>
        <v>36.587013982424885</v>
      </c>
      <c r="AB13" s="73">
        <f>((PI()*B13^2)+(PI()*C13^2)+(PI()*(B13+C13)*(SQRT(D13^2+(C13-B13)^2))))*0.9144^2</f>
        <v>365870.13982424885</v>
      </c>
      <c r="AC13" s="73">
        <f t="shared" si="17"/>
        <v>365870139824.24884</v>
      </c>
      <c r="AD13" s="73">
        <f t="shared" si="18"/>
        <v>3938193.4092172747</v>
      </c>
      <c r="AE13" s="81">
        <f t="shared" si="19"/>
        <v>567099850.92728758</v>
      </c>
      <c r="AF13" s="167">
        <v>678.43</v>
      </c>
      <c r="AG13" s="217">
        <v>1343375239266</v>
      </c>
      <c r="AH13" s="70">
        <v>134337523927</v>
      </c>
      <c r="AI13" s="70">
        <v>134337524</v>
      </c>
      <c r="AJ13" s="70">
        <v>13433752392660</v>
      </c>
      <c r="AK13" s="70">
        <v>13433752</v>
      </c>
      <c r="AL13" s="71">
        <v>13433752393</v>
      </c>
      <c r="AM13" s="115">
        <v>22804592904303</v>
      </c>
      <c r="AN13" s="72">
        <v>332566979854426</v>
      </c>
      <c r="AO13" s="72">
        <v>10343989342</v>
      </c>
      <c r="AP13" s="72">
        <v>10343989342348</v>
      </c>
      <c r="AQ13" s="116">
        <v>1.03439893423482E+16</v>
      </c>
      <c r="AR13" s="123">
        <v>3658.7</v>
      </c>
      <c r="AS13" s="123">
        <v>90.408500000000004</v>
      </c>
      <c r="AT13" s="73">
        <v>3658701398</v>
      </c>
      <c r="AU13" s="73">
        <v>36587014</v>
      </c>
      <c r="AV13" s="73">
        <v>36.587000000000003</v>
      </c>
      <c r="AW13" s="73">
        <v>365870</v>
      </c>
      <c r="AX13" s="73">
        <v>365870139824</v>
      </c>
      <c r="AY13" s="73">
        <v>3938193</v>
      </c>
      <c r="AZ13" s="218">
        <v>567099851</v>
      </c>
      <c r="BA13" s="247">
        <f t="shared" si="20"/>
        <v>-2.4604273773332684E-6</v>
      </c>
      <c r="BB13" s="41">
        <f t="shared" si="21"/>
        <v>-5.4521019413770394E-16</v>
      </c>
      <c r="BC13" s="42">
        <f t="shared" si="21"/>
        <v>-2.9779835145629834E-12</v>
      </c>
      <c r="BD13" s="42">
        <f t="shared" si="21"/>
        <v>-5.4638531555630226E-10</v>
      </c>
      <c r="BE13" s="42">
        <f t="shared" si="21"/>
        <v>-4.3616815531016313E-16</v>
      </c>
      <c r="BF13" s="42">
        <f t="shared" si="21"/>
        <v>2.9229360670425028E-8</v>
      </c>
      <c r="BG13" s="43">
        <f t="shared" si="21"/>
        <v>-2.5309821462807615E-11</v>
      </c>
      <c r="BH13" s="107">
        <f t="shared" si="22"/>
        <v>2.0726362096593474E-14</v>
      </c>
      <c r="BI13" s="44">
        <f t="shared" si="23"/>
        <v>-9.3966033590223058E-16</v>
      </c>
      <c r="BJ13" s="44">
        <f t="shared" si="23"/>
        <v>3.3661677147865438E-11</v>
      </c>
      <c r="BK13" s="44">
        <f t="shared" si="23"/>
        <v>1.8881738325115287E-14</v>
      </c>
      <c r="BL13" s="108">
        <f t="shared" si="23"/>
        <v>-3.8669800089836108E-16</v>
      </c>
      <c r="BM13" s="43">
        <f t="shared" si="23"/>
        <v>3.8216906402236054E-7</v>
      </c>
      <c r="BN13" s="42">
        <f t="shared" si="23"/>
        <v>-2.1603375885964808E-7</v>
      </c>
      <c r="BO13" s="42">
        <f t="shared" si="23"/>
        <v>6.6277172650194708E-11</v>
      </c>
      <c r="BP13" s="42">
        <f t="shared" si="23"/>
        <v>-4.8036483583714453E-10</v>
      </c>
      <c r="BQ13" s="42">
        <f t="shared" si="23"/>
        <v>3.8216906382815431E-7</v>
      </c>
      <c r="BR13" s="42">
        <f t="shared" si="23"/>
        <v>3.821690639129836E-7</v>
      </c>
      <c r="BS13" s="42">
        <f t="shared" si="23"/>
        <v>6.8013293501017639E-13</v>
      </c>
      <c r="BT13" s="42">
        <f t="shared" si="23"/>
        <v>1.0390989782015856E-7</v>
      </c>
      <c r="BU13" s="45">
        <f t="shared" si="23"/>
        <v>-1.2821802244938231E-10</v>
      </c>
    </row>
    <row r="14" spans="2:73" ht="15.75" thickBot="1" x14ac:dyDescent="0.3">
      <c r="B14" s="88">
        <v>23</v>
      </c>
      <c r="C14" s="89">
        <v>77</v>
      </c>
      <c r="D14" s="95">
        <v>32</v>
      </c>
      <c r="E14" s="193">
        <f t="shared" si="1"/>
        <v>62.769419305900861</v>
      </c>
      <c r="F14" s="157" t="s">
        <v>43</v>
      </c>
      <c r="G14" s="12">
        <v>670</v>
      </c>
      <c r="H14" s="60"/>
      <c r="I14" s="60"/>
      <c r="J14" s="61"/>
      <c r="K14" s="168">
        <f t="shared" si="2"/>
        <v>62.769419305900861</v>
      </c>
      <c r="L14" s="79">
        <f t="shared" si="3"/>
        <v>2.7575643676149765E-8</v>
      </c>
      <c r="M14" s="74">
        <f t="shared" si="4"/>
        <v>2.7575643676149765E-9</v>
      </c>
      <c r="N14" s="74">
        <f t="shared" si="5"/>
        <v>2.7575643676149766E-12</v>
      </c>
      <c r="O14" s="74">
        <f t="shared" si="6"/>
        <v>2.7575643676149762E-7</v>
      </c>
      <c r="P14" s="74">
        <f>(((PI()*D14)/3)*(B14^2+B14*C14+C14^2))/1000000^3</f>
        <v>2.7575643676149764E-13</v>
      </c>
      <c r="Q14" s="75">
        <f t="shared" si="7"/>
        <v>2.7575643676149764E-10</v>
      </c>
      <c r="R14" s="117">
        <f t="shared" si="8"/>
        <v>4.0731904866522208E-10</v>
      </c>
      <c r="S14" s="76">
        <f t="shared" si="9"/>
        <v>5.9400694597011564E-9</v>
      </c>
      <c r="T14" s="76">
        <f t="shared" si="10"/>
        <v>1.8475681263020344E-13</v>
      </c>
      <c r="U14" s="76">
        <f>P14*G14</f>
        <v>1.8475681263020343E-10</v>
      </c>
      <c r="V14" s="118">
        <f t="shared" si="11"/>
        <v>1.8475681263020344E-7</v>
      </c>
      <c r="W14" s="82">
        <f t="shared" si="12"/>
        <v>4.0008000013034425E-10</v>
      </c>
      <c r="X14" s="77">
        <f t="shared" si="13"/>
        <v>9.8861921049592272E-12</v>
      </c>
      <c r="Y14" s="77">
        <f t="shared" si="14"/>
        <v>4.0008000013034423E-4</v>
      </c>
      <c r="Z14" s="77">
        <f t="shared" si="15"/>
        <v>4.0008000013034421E-6</v>
      </c>
      <c r="AA14" s="77">
        <f t="shared" si="16"/>
        <v>4.0008000013034424E-12</v>
      </c>
      <c r="AB14" s="77">
        <f>((PI()*B14^2)+(PI()*C14^2)+(PI()*(B14+C14)*(SQRT(D14^2+(C14-B14)^2))))/1000000^2</f>
        <v>4.0008000013034424E-8</v>
      </c>
      <c r="AC14" s="77">
        <f t="shared" si="17"/>
        <v>4.0008000013034423E-2</v>
      </c>
      <c r="AD14" s="77">
        <f t="shared" si="18"/>
        <v>4.3064252809202394E-7</v>
      </c>
      <c r="AE14" s="82">
        <f t="shared" si="19"/>
        <v>6.201252404525145E-5</v>
      </c>
      <c r="AF14" s="168">
        <v>62.768999999999998</v>
      </c>
      <c r="AG14" s="219">
        <v>2.7575643676149801E-8</v>
      </c>
      <c r="AH14" s="74">
        <v>2.7575643676149802E-9</v>
      </c>
      <c r="AI14" s="74">
        <v>2.7575643676149799E-12</v>
      </c>
      <c r="AJ14" s="74">
        <v>2.7575643676149799E-7</v>
      </c>
      <c r="AK14" s="74">
        <v>2.75756436761498E-13</v>
      </c>
      <c r="AL14" s="75">
        <v>2.75756436761498E-10</v>
      </c>
      <c r="AM14" s="117">
        <v>4.0731904866522202E-10</v>
      </c>
      <c r="AN14" s="76">
        <v>5.9400694597011597E-9</v>
      </c>
      <c r="AO14" s="76">
        <v>1.8475681263020301E-13</v>
      </c>
      <c r="AP14" s="76">
        <v>1.8475681263020299E-10</v>
      </c>
      <c r="AQ14" s="118">
        <v>1.8475681263020299E-7</v>
      </c>
      <c r="AR14" s="125">
        <v>4.00080000130344E-10</v>
      </c>
      <c r="AS14" s="125">
        <v>9.8861921049592304E-12</v>
      </c>
      <c r="AT14" s="77">
        <v>4.0007999999999998E-4</v>
      </c>
      <c r="AU14" s="77">
        <v>4.0008000013034396E-6</v>
      </c>
      <c r="AV14" s="77">
        <v>4.00080000130344E-12</v>
      </c>
      <c r="AW14" s="77">
        <v>4.0008000013034398E-8</v>
      </c>
      <c r="AX14" s="77">
        <v>4.0008000000000002E-2</v>
      </c>
      <c r="AY14" s="77">
        <v>4.30642528092024E-7</v>
      </c>
      <c r="AZ14" s="220">
        <v>6.2012524045251504E-5</v>
      </c>
      <c r="BA14" s="248">
        <f t="shared" si="20"/>
        <v>6.6800984539838076E-6</v>
      </c>
      <c r="BB14" s="46">
        <f t="shared" si="21"/>
        <v>-1.3198584729252268E-15</v>
      </c>
      <c r="BC14" s="47">
        <f t="shared" si="21"/>
        <v>-1.3498552564008003E-15</v>
      </c>
      <c r="BD14" s="47">
        <f t="shared" si="21"/>
        <v>-1.1717493545145834E-15</v>
      </c>
      <c r="BE14" s="47">
        <f t="shared" si="21"/>
        <v>-1.3438558997056857E-15</v>
      </c>
      <c r="BF14" s="47">
        <f t="shared" si="21"/>
        <v>-1.2816008565003257E-15</v>
      </c>
      <c r="BG14" s="48">
        <f t="shared" si="21"/>
        <v>-1.3123592770563336E-15</v>
      </c>
      <c r="BH14" s="109">
        <f t="shared" si="22"/>
        <v>1.2692455325617676E-16</v>
      </c>
      <c r="BI14" s="49">
        <f t="shared" si="23"/>
        <v>-5.5701746800424984E-16</v>
      </c>
      <c r="BJ14" s="49">
        <f t="shared" si="23"/>
        <v>2.3227307633801211E-15</v>
      </c>
      <c r="BK14" s="49">
        <f t="shared" si="23"/>
        <v>2.3784763017012438E-15</v>
      </c>
      <c r="BL14" s="110">
        <f t="shared" si="23"/>
        <v>2.4355597329420738E-15</v>
      </c>
      <c r="BM14" s="48">
        <f t="shared" si="23"/>
        <v>6.4610563222006843E-16</v>
      </c>
      <c r="BN14" s="47">
        <f t="shared" si="23"/>
        <v>-3.2683709091232457E-16</v>
      </c>
      <c r="BO14" s="47">
        <f t="shared" si="23"/>
        <v>3.2579546292410176E-10</v>
      </c>
      <c r="BP14" s="47">
        <f t="shared" si="23"/>
        <v>6.3514768069761613E-16</v>
      </c>
      <c r="BQ14" s="47">
        <f t="shared" si="23"/>
        <v>6.0572403020631422E-16</v>
      </c>
      <c r="BR14" s="47">
        <f t="shared" si="23"/>
        <v>6.6161216739335017E-16</v>
      </c>
      <c r="BS14" s="47">
        <f t="shared" si="23"/>
        <v>3.2579535994549114E-10</v>
      </c>
      <c r="BT14" s="47">
        <f t="shared" si="23"/>
        <v>-1.229315633036622E-16</v>
      </c>
      <c r="BU14" s="50">
        <f t="shared" si="23"/>
        <v>-8.7418000571493126E-16</v>
      </c>
    </row>
    <row r="15" spans="2:73" ht="15.75" thickTop="1" x14ac:dyDescent="0.25"/>
    <row r="16" spans="2:73" ht="15.75" thickBot="1" x14ac:dyDescent="0.3"/>
    <row r="17" spans="2:73" ht="30.75" customHeight="1" thickTop="1" thickBot="1" x14ac:dyDescent="0.3">
      <c r="B17" s="343" t="s">
        <v>46</v>
      </c>
      <c r="C17" s="344"/>
      <c r="D17" s="346" t="s">
        <v>72</v>
      </c>
      <c r="E17" s="436"/>
      <c r="F17" s="347"/>
      <c r="G17" s="347"/>
      <c r="H17" s="347"/>
      <c r="I17" s="347"/>
      <c r="J17" s="348"/>
    </row>
    <row r="18" spans="2:73" ht="16.5" customHeight="1" thickTop="1" thickBot="1" x14ac:dyDescent="0.3">
      <c r="B18" s="337" t="s">
        <v>74</v>
      </c>
      <c r="C18" s="338"/>
      <c r="D18" s="338"/>
      <c r="E18" s="338"/>
      <c r="F18" s="339"/>
      <c r="G18" s="311" t="s">
        <v>31</v>
      </c>
      <c r="H18" s="312"/>
      <c r="I18" s="312"/>
      <c r="J18" s="313"/>
      <c r="K18" s="165" t="s">
        <v>89</v>
      </c>
      <c r="L18" s="340" t="s">
        <v>21</v>
      </c>
      <c r="M18" s="341"/>
      <c r="N18" s="341"/>
      <c r="O18" s="341"/>
      <c r="P18" s="341"/>
      <c r="Q18" s="341"/>
      <c r="R18" s="294" t="s">
        <v>22</v>
      </c>
      <c r="S18" s="295"/>
      <c r="T18" s="295"/>
      <c r="U18" s="295"/>
      <c r="V18" s="296"/>
      <c r="W18" s="304" t="s">
        <v>44</v>
      </c>
      <c r="X18" s="305"/>
      <c r="Y18" s="305"/>
      <c r="Z18" s="305"/>
      <c r="AA18" s="305"/>
      <c r="AB18" s="305"/>
      <c r="AC18" s="305"/>
      <c r="AD18" s="305"/>
      <c r="AE18" s="403"/>
      <c r="AF18" s="165" t="s">
        <v>89</v>
      </c>
      <c r="AG18" s="405" t="s">
        <v>21</v>
      </c>
      <c r="AH18" s="301"/>
      <c r="AI18" s="301"/>
      <c r="AJ18" s="301"/>
      <c r="AK18" s="301"/>
      <c r="AL18" s="301"/>
      <c r="AM18" s="294" t="s">
        <v>22</v>
      </c>
      <c r="AN18" s="295"/>
      <c r="AO18" s="295"/>
      <c r="AP18" s="295"/>
      <c r="AQ18" s="296"/>
      <c r="AR18" s="304" t="s">
        <v>45</v>
      </c>
      <c r="AS18" s="305"/>
      <c r="AT18" s="305"/>
      <c r="AU18" s="305"/>
      <c r="AV18" s="305"/>
      <c r="AW18" s="305"/>
      <c r="AX18" s="305"/>
      <c r="AY18" s="305"/>
      <c r="AZ18" s="305"/>
      <c r="BA18" s="245" t="s">
        <v>89</v>
      </c>
      <c r="BB18" s="322" t="s">
        <v>21</v>
      </c>
      <c r="BC18" s="323"/>
      <c r="BD18" s="323"/>
      <c r="BE18" s="323"/>
      <c r="BF18" s="323"/>
      <c r="BG18" s="323"/>
      <c r="BH18" s="322" t="s">
        <v>22</v>
      </c>
      <c r="BI18" s="323"/>
      <c r="BJ18" s="323"/>
      <c r="BK18" s="323"/>
      <c r="BL18" s="324"/>
      <c r="BM18" s="328" t="s">
        <v>45</v>
      </c>
      <c r="BN18" s="323"/>
      <c r="BO18" s="323"/>
      <c r="BP18" s="323"/>
      <c r="BQ18" s="323"/>
      <c r="BR18" s="323"/>
      <c r="BS18" s="323"/>
      <c r="BT18" s="323"/>
      <c r="BU18" s="329"/>
    </row>
    <row r="19" spans="2:73" s="18" customFormat="1" ht="15" customHeight="1" thickBot="1" x14ac:dyDescent="0.3">
      <c r="B19" s="331" t="s">
        <v>87</v>
      </c>
      <c r="C19" s="309" t="s">
        <v>88</v>
      </c>
      <c r="D19" s="333" t="s">
        <v>89</v>
      </c>
      <c r="E19" s="437" t="s">
        <v>20</v>
      </c>
      <c r="F19" s="362" t="s">
        <v>1</v>
      </c>
      <c r="G19" s="314"/>
      <c r="H19" s="315"/>
      <c r="I19" s="315"/>
      <c r="J19" s="316"/>
      <c r="K19" s="399" t="s">
        <v>20</v>
      </c>
      <c r="L19" s="342"/>
      <c r="M19" s="342"/>
      <c r="N19" s="342"/>
      <c r="O19" s="342"/>
      <c r="P19" s="342"/>
      <c r="Q19" s="342"/>
      <c r="R19" s="297"/>
      <c r="S19" s="298"/>
      <c r="T19" s="298"/>
      <c r="U19" s="298"/>
      <c r="V19" s="299"/>
      <c r="W19" s="307"/>
      <c r="X19" s="307"/>
      <c r="Y19" s="307"/>
      <c r="Z19" s="307"/>
      <c r="AA19" s="307"/>
      <c r="AB19" s="307"/>
      <c r="AC19" s="307"/>
      <c r="AD19" s="307"/>
      <c r="AE19" s="404"/>
      <c r="AF19" s="399" t="s">
        <v>20</v>
      </c>
      <c r="AG19" s="406"/>
      <c r="AH19" s="303"/>
      <c r="AI19" s="303"/>
      <c r="AJ19" s="303"/>
      <c r="AK19" s="303"/>
      <c r="AL19" s="303"/>
      <c r="AM19" s="297"/>
      <c r="AN19" s="298"/>
      <c r="AO19" s="298"/>
      <c r="AP19" s="298"/>
      <c r="AQ19" s="299"/>
      <c r="AR19" s="307"/>
      <c r="AS19" s="307"/>
      <c r="AT19" s="307"/>
      <c r="AU19" s="307"/>
      <c r="AV19" s="307"/>
      <c r="AW19" s="307"/>
      <c r="AX19" s="307"/>
      <c r="AY19" s="307"/>
      <c r="AZ19" s="307"/>
      <c r="BA19" s="401" t="s">
        <v>20</v>
      </c>
      <c r="BB19" s="325"/>
      <c r="BC19" s="326"/>
      <c r="BD19" s="326"/>
      <c r="BE19" s="326"/>
      <c r="BF19" s="326"/>
      <c r="BG19" s="326"/>
      <c r="BH19" s="325"/>
      <c r="BI19" s="326"/>
      <c r="BJ19" s="326"/>
      <c r="BK19" s="326"/>
      <c r="BL19" s="327"/>
      <c r="BM19" s="326"/>
      <c r="BN19" s="326"/>
      <c r="BO19" s="326"/>
      <c r="BP19" s="326"/>
      <c r="BQ19" s="326"/>
      <c r="BR19" s="326"/>
      <c r="BS19" s="326"/>
      <c r="BT19" s="326"/>
      <c r="BU19" s="330"/>
    </row>
    <row r="20" spans="2:73" s="18" customFormat="1" ht="18" thickBot="1" x14ac:dyDescent="0.3">
      <c r="B20" s="332"/>
      <c r="C20" s="310"/>
      <c r="D20" s="334"/>
      <c r="E20" s="438"/>
      <c r="F20" s="435"/>
      <c r="G20" s="19" t="s">
        <v>29</v>
      </c>
      <c r="H20" s="20" t="s">
        <v>28</v>
      </c>
      <c r="I20" s="20" t="s">
        <v>30</v>
      </c>
      <c r="J20" s="21" t="s">
        <v>27</v>
      </c>
      <c r="K20" s="400"/>
      <c r="L20" s="29" t="s">
        <v>32</v>
      </c>
      <c r="M20" s="24" t="s">
        <v>34</v>
      </c>
      <c r="N20" s="24" t="s">
        <v>33</v>
      </c>
      <c r="O20" s="24" t="s">
        <v>35</v>
      </c>
      <c r="P20" s="24" t="s">
        <v>37</v>
      </c>
      <c r="Q20" s="30" t="s">
        <v>36</v>
      </c>
      <c r="R20" s="111" t="s">
        <v>38</v>
      </c>
      <c r="S20" s="22" t="s">
        <v>39</v>
      </c>
      <c r="T20" s="22" t="s">
        <v>40</v>
      </c>
      <c r="U20" s="22" t="s">
        <v>41</v>
      </c>
      <c r="V20" s="112" t="s">
        <v>42</v>
      </c>
      <c r="W20" s="25" t="s">
        <v>11</v>
      </c>
      <c r="X20" s="23" t="s">
        <v>13</v>
      </c>
      <c r="Y20" s="23" t="s">
        <v>23</v>
      </c>
      <c r="Z20" s="23" t="s">
        <v>24</v>
      </c>
      <c r="AA20" s="23" t="s">
        <v>12</v>
      </c>
      <c r="AB20" s="23" t="s">
        <v>25</v>
      </c>
      <c r="AC20" s="23" t="s">
        <v>26</v>
      </c>
      <c r="AD20" s="23" t="s">
        <v>10</v>
      </c>
      <c r="AE20" s="25" t="s">
        <v>9</v>
      </c>
      <c r="AF20" s="400"/>
      <c r="AG20" s="31" t="s">
        <v>32</v>
      </c>
      <c r="AH20" s="24" t="s">
        <v>34</v>
      </c>
      <c r="AI20" s="24" t="s">
        <v>33</v>
      </c>
      <c r="AJ20" s="24" t="s">
        <v>35</v>
      </c>
      <c r="AK20" s="24" t="s">
        <v>37</v>
      </c>
      <c r="AL20" s="30" t="s">
        <v>36</v>
      </c>
      <c r="AM20" s="111" t="s">
        <v>38</v>
      </c>
      <c r="AN20" s="22" t="s">
        <v>39</v>
      </c>
      <c r="AO20" s="22" t="s">
        <v>40</v>
      </c>
      <c r="AP20" s="22" t="s">
        <v>41</v>
      </c>
      <c r="AQ20" s="112" t="s">
        <v>42</v>
      </c>
      <c r="AR20" s="26" t="s">
        <v>11</v>
      </c>
      <c r="AS20" s="27" t="s">
        <v>13</v>
      </c>
      <c r="AT20" s="27" t="s">
        <v>23</v>
      </c>
      <c r="AU20" s="27" t="s">
        <v>24</v>
      </c>
      <c r="AV20" s="27" t="s">
        <v>12</v>
      </c>
      <c r="AW20" s="27" t="s">
        <v>25</v>
      </c>
      <c r="AX20" s="27" t="s">
        <v>26</v>
      </c>
      <c r="AY20" s="27" t="s">
        <v>10</v>
      </c>
      <c r="AZ20" s="28" t="s">
        <v>9</v>
      </c>
      <c r="BA20" s="402"/>
      <c r="BB20" s="32" t="s">
        <v>32</v>
      </c>
      <c r="BC20" s="33" t="s">
        <v>34</v>
      </c>
      <c r="BD20" s="33" t="s">
        <v>33</v>
      </c>
      <c r="BE20" s="33" t="s">
        <v>35</v>
      </c>
      <c r="BF20" s="33" t="s">
        <v>37</v>
      </c>
      <c r="BG20" s="34" t="s">
        <v>36</v>
      </c>
      <c r="BH20" s="103" t="s">
        <v>38</v>
      </c>
      <c r="BI20" s="33" t="s">
        <v>39</v>
      </c>
      <c r="BJ20" s="33" t="s">
        <v>40</v>
      </c>
      <c r="BK20" s="33" t="s">
        <v>41</v>
      </c>
      <c r="BL20" s="104" t="s">
        <v>42</v>
      </c>
      <c r="BM20" s="34" t="s">
        <v>11</v>
      </c>
      <c r="BN20" s="33" t="s">
        <v>13</v>
      </c>
      <c r="BO20" s="33" t="s">
        <v>23</v>
      </c>
      <c r="BP20" s="33" t="s">
        <v>24</v>
      </c>
      <c r="BQ20" s="33" t="s">
        <v>12</v>
      </c>
      <c r="BR20" s="33" t="s">
        <v>25</v>
      </c>
      <c r="BS20" s="33" t="s">
        <v>26</v>
      </c>
      <c r="BT20" s="33" t="s">
        <v>10</v>
      </c>
      <c r="BU20" s="35" t="s">
        <v>9</v>
      </c>
    </row>
    <row r="21" spans="2:73" x14ac:dyDescent="0.25">
      <c r="B21" s="84">
        <v>55</v>
      </c>
      <c r="C21" s="85">
        <v>166</v>
      </c>
      <c r="D21" s="92">
        <v>544</v>
      </c>
      <c r="E21" s="189">
        <f>SQRT(D21^2-(C21-B21)^2)</f>
        <v>532.5551614621719</v>
      </c>
      <c r="F21" s="155" t="s">
        <v>2</v>
      </c>
      <c r="G21" s="62"/>
      <c r="H21" s="53"/>
      <c r="I21" s="53"/>
      <c r="J21" s="13">
        <v>388</v>
      </c>
      <c r="K21" s="169">
        <f>SQRT(D21^2-(C21-B21)^2)</f>
        <v>532.5551614621719</v>
      </c>
      <c r="L21" s="78">
        <f>P21*100000</f>
        <v>2214644.5895194281</v>
      </c>
      <c r="M21" s="65">
        <f>P21*10000</f>
        <v>221464.4589519428</v>
      </c>
      <c r="N21" s="65">
        <f>P21*10</f>
        <v>221.46445895194279</v>
      </c>
      <c r="O21" s="65">
        <f>P21*1000000</f>
        <v>22146445.895194281</v>
      </c>
      <c r="P21" s="65">
        <f>((PI()*(SQRT(D21^2-(C21-B21)^2))/3)*(B21^2+B21*C21+C21^2))/100^3</f>
        <v>22.14644589519428</v>
      </c>
      <c r="Q21" s="66">
        <f>P21*1000</f>
        <v>22146.44589519428</v>
      </c>
      <c r="R21" s="113">
        <f>U21/0.45359237</f>
        <v>18943927.578268964</v>
      </c>
      <c r="S21" s="67">
        <f>U21*1000/31.1034768</f>
        <v>276265610.51642239</v>
      </c>
      <c r="T21" s="67">
        <f>U21/1000</f>
        <v>8592.8210073353803</v>
      </c>
      <c r="U21" s="67">
        <f>P21*1000*J21</f>
        <v>8592821.0073353797</v>
      </c>
      <c r="V21" s="114">
        <f>U21*1000</f>
        <v>8592821007.3353806</v>
      </c>
      <c r="W21" s="80">
        <f>AB21/100</f>
        <v>0.4737678801246088</v>
      </c>
      <c r="X21" s="68">
        <f>AB21/4046.8564224</f>
        <v>1.170705927450817E-2</v>
      </c>
      <c r="Y21" s="68">
        <f>AB21*10000</f>
        <v>473767.88012460875</v>
      </c>
      <c r="Z21" s="68">
        <f>AB21*100</f>
        <v>4737.6788012460875</v>
      </c>
      <c r="AA21" s="68">
        <f>AB21/10000</f>
        <v>4.7376788012460881E-3</v>
      </c>
      <c r="AB21" s="68">
        <f>((PI()*B21^2)+(PI()*C21^2)+(PI()*(B21+C21)*D21))/100^2</f>
        <v>47.376788012460878</v>
      </c>
      <c r="AC21" s="68">
        <f>AB21*1000000</f>
        <v>47376788.01246088</v>
      </c>
      <c r="AD21" s="68">
        <f>AB21/144*10000/(2.54*2.54)</f>
        <v>509.95950199757596</v>
      </c>
      <c r="AE21" s="80">
        <f>AB21*10000/(2.54 *2.54)</f>
        <v>73434.168287650929</v>
      </c>
      <c r="AF21" s="169">
        <v>532.55999999999995</v>
      </c>
      <c r="AG21" s="215">
        <v>2214645</v>
      </c>
      <c r="AH21" s="65">
        <v>221464</v>
      </c>
      <c r="AI21" s="65">
        <v>221.464</v>
      </c>
      <c r="AJ21" s="65">
        <v>22146446</v>
      </c>
      <c r="AK21" s="65">
        <v>22.1464</v>
      </c>
      <c r="AL21" s="66">
        <v>22146.400000000001</v>
      </c>
      <c r="AM21" s="113">
        <v>18943928</v>
      </c>
      <c r="AN21" s="67">
        <v>276265611</v>
      </c>
      <c r="AO21" s="67">
        <v>8592.82</v>
      </c>
      <c r="AP21" s="67">
        <v>8592821</v>
      </c>
      <c r="AQ21" s="114">
        <v>8592821007</v>
      </c>
      <c r="AR21" s="121">
        <v>0.47376800000000002</v>
      </c>
      <c r="AS21" s="121">
        <v>1.17071E-2</v>
      </c>
      <c r="AT21" s="68">
        <v>473768</v>
      </c>
      <c r="AU21" s="68">
        <v>4737.68</v>
      </c>
      <c r="AV21" s="68">
        <v>4.7376800000000002E-3</v>
      </c>
      <c r="AW21" s="68">
        <v>47.376800000000003</v>
      </c>
      <c r="AX21" s="68">
        <v>47376788</v>
      </c>
      <c r="AY21" s="68">
        <v>509.96</v>
      </c>
      <c r="AZ21" s="216">
        <v>73434.2</v>
      </c>
      <c r="BA21" s="246">
        <f>(K21-AF21)/K21</f>
        <v>-9.0855148502652924E-6</v>
      </c>
      <c r="BB21" s="36">
        <f t="shared" ref="BB21:BU21" si="24">(L21-AG21)/L21</f>
        <v>-1.8534828290430661E-7</v>
      </c>
      <c r="BC21" s="37">
        <f t="shared" si="24"/>
        <v>2.0723503218946565E-6</v>
      </c>
      <c r="BD21" s="37">
        <f t="shared" si="24"/>
        <v>2.0723503218597494E-6</v>
      </c>
      <c r="BE21" s="37">
        <f t="shared" si="24"/>
        <v>-4.7323945161842881E-9</v>
      </c>
      <c r="BF21" s="37">
        <f t="shared" si="24"/>
        <v>2.0723503218918329E-6</v>
      </c>
      <c r="BG21" s="38">
        <f t="shared" si="24"/>
        <v>2.0723503218289487E-6</v>
      </c>
      <c r="BH21" s="105">
        <f t="shared" si="24"/>
        <v>-2.2262069700910056E-8</v>
      </c>
      <c r="BI21" s="39">
        <f t="shared" si="24"/>
        <v>-1.7504082689055827E-9</v>
      </c>
      <c r="BJ21" s="39">
        <f t="shared" si="24"/>
        <v>1.1722988058331711E-7</v>
      </c>
      <c r="BK21" s="39">
        <f t="shared" si="24"/>
        <v>8.5366374017010756E-10</v>
      </c>
      <c r="BL21" s="106">
        <f t="shared" si="24"/>
        <v>3.903032006752107E-11</v>
      </c>
      <c r="BM21" s="38">
        <f t="shared" si="24"/>
        <v>-2.5302557698312211E-7</v>
      </c>
      <c r="BN21" s="37">
        <f t="shared" si="24"/>
        <v>-3.478712362740596E-6</v>
      </c>
      <c r="BO21" s="37">
        <f t="shared" si="24"/>
        <v>-2.5302557702987748E-7</v>
      </c>
      <c r="BP21" s="37">
        <f t="shared" si="24"/>
        <v>-2.5302557710666567E-7</v>
      </c>
      <c r="BQ21" s="37">
        <f t="shared" si="24"/>
        <v>-2.5302557695382975E-7</v>
      </c>
      <c r="BR21" s="37">
        <f t="shared" si="24"/>
        <v>-2.5302557703467671E-7</v>
      </c>
      <c r="BS21" s="37">
        <f t="shared" si="24"/>
        <v>2.6301656368600534E-10</v>
      </c>
      <c r="BT21" s="37">
        <f t="shared" si="24"/>
        <v>-9.7655288718661278E-7</v>
      </c>
      <c r="BU21" s="40">
        <f t="shared" si="24"/>
        <v>-4.3184732403387023E-7</v>
      </c>
    </row>
    <row r="22" spans="2:73" x14ac:dyDescent="0.25">
      <c r="B22" s="86">
        <v>13</v>
      </c>
      <c r="C22" s="87">
        <v>59</v>
      </c>
      <c r="D22" s="93">
        <v>69</v>
      </c>
      <c r="E22" s="191">
        <f t="shared" ref="E22:E28" si="25">SQRT(D22^2-(C22-B22)^2)</f>
        <v>51.429563482495162</v>
      </c>
      <c r="F22" s="156" t="s">
        <v>3</v>
      </c>
      <c r="G22" s="59"/>
      <c r="H22" s="58"/>
      <c r="I22" s="4">
        <v>980</v>
      </c>
      <c r="J22" s="55"/>
      <c r="K22" s="167">
        <f t="shared" ref="K22:K28" si="26">SQRT(D22^2-(C22-B22)^2)</f>
        <v>51.429563482495162</v>
      </c>
      <c r="L22" s="69">
        <f t="shared" ref="L22:L28" si="27">P22*100000</f>
        <v>673618092.7974093</v>
      </c>
      <c r="M22" s="70">
        <f t="shared" ref="M22:M28" si="28">P22*10000</f>
        <v>67361809.27974093</v>
      </c>
      <c r="N22" s="70">
        <f t="shared" ref="N22:N28" si="29">P22*10</f>
        <v>67361.809279740934</v>
      </c>
      <c r="O22" s="70">
        <f t="shared" ref="O22:O28" si="30">P22*1000000</f>
        <v>6736180927.9740925</v>
      </c>
      <c r="P22" s="70">
        <f>((PI()*(SQRT(D22^2-(C22-B22)^2))/3)*(B22^2+B22*C22+C22^2))*0.3048^3</f>
        <v>6736.1809279740928</v>
      </c>
      <c r="Q22" s="71">
        <f t="shared" ref="Q22:Q28" si="31">P22*1000</f>
        <v>6736180.9279740928</v>
      </c>
      <c r="R22" s="115">
        <f t="shared" ref="R22:R28" si="32">U22/0.45359237</f>
        <v>233128264.75811172</v>
      </c>
      <c r="S22" s="72">
        <f t="shared" ref="S22:S28" si="33">U22*1000/31.1034768</f>
        <v>3399787194.3891296</v>
      </c>
      <c r="T22" s="72">
        <f t="shared" ref="T22:T28" si="34">U22/1000</f>
        <v>105745.20212561938</v>
      </c>
      <c r="U22" s="72">
        <f>P22*(0.45359237/0.3048^3)*I22</f>
        <v>105745202.12561938</v>
      </c>
      <c r="V22" s="116">
        <f t="shared" ref="V22:V28" si="35">U22*1000</f>
        <v>105745202125.61938</v>
      </c>
      <c r="W22" s="81">
        <f t="shared" ref="W22:W28" si="36">AB22/100</f>
        <v>25.152797116006479</v>
      </c>
      <c r="X22" s="73">
        <f t="shared" ref="X22:X28" si="37">AB22/4046.8564224</f>
        <v>0.62153915263169968</v>
      </c>
      <c r="Y22" s="73">
        <f t="shared" ref="Y22:Y28" si="38">AB22*10000</f>
        <v>25152797.116006479</v>
      </c>
      <c r="Z22" s="73">
        <f t="shared" ref="Z22:Z28" si="39">AB22*100</f>
        <v>251527.97116006477</v>
      </c>
      <c r="AA22" s="73">
        <f t="shared" ref="AA22:AA28" si="40">AB22/10000</f>
        <v>0.25152797116006476</v>
      </c>
      <c r="AB22" s="73">
        <f>((PI()*B22^2)+(PI()*C22^2)+(PI()*(B22+C22)*D22))*0.3048^2</f>
        <v>2515.2797116006477</v>
      </c>
      <c r="AC22" s="73">
        <f t="shared" ref="AC22:AC28" si="41">AB22*1000000</f>
        <v>2515279711.6006479</v>
      </c>
      <c r="AD22" s="73">
        <f t="shared" ref="AD22:AD28" si="42">AB22/144*10000/(2.54*2.54)</f>
        <v>27074.245488636836</v>
      </c>
      <c r="AE22" s="81">
        <f t="shared" ref="AE22:AE28" si="43">AB22*10000/(2.54 *2.54)</f>
        <v>3898691.3503637048</v>
      </c>
      <c r="AF22" s="167">
        <v>51.43</v>
      </c>
      <c r="AG22" s="217">
        <v>673618093</v>
      </c>
      <c r="AH22" s="69">
        <v>67361809</v>
      </c>
      <c r="AI22" s="70">
        <v>67361.8</v>
      </c>
      <c r="AJ22" s="70">
        <v>6736180928</v>
      </c>
      <c r="AK22" s="70">
        <v>6736.18</v>
      </c>
      <c r="AL22" s="71">
        <v>6736181</v>
      </c>
      <c r="AM22" s="115">
        <v>233128265</v>
      </c>
      <c r="AN22" s="72">
        <v>3399787194</v>
      </c>
      <c r="AO22" s="72">
        <v>105745</v>
      </c>
      <c r="AP22" s="72">
        <v>105745202</v>
      </c>
      <c r="AQ22" s="116">
        <v>105745202126</v>
      </c>
      <c r="AR22" s="123">
        <v>25.152799999999999</v>
      </c>
      <c r="AS22" s="123">
        <v>0.62153899999999995</v>
      </c>
      <c r="AT22" s="73">
        <v>25152797</v>
      </c>
      <c r="AU22" s="73">
        <v>251528</v>
      </c>
      <c r="AV22" s="73">
        <v>0.25152799999999997</v>
      </c>
      <c r="AW22" s="73">
        <v>2515.2800000000002</v>
      </c>
      <c r="AX22" s="73">
        <v>2515279712</v>
      </c>
      <c r="AY22" s="73">
        <v>27074.2</v>
      </c>
      <c r="AZ22" s="218">
        <v>3898691</v>
      </c>
      <c r="BA22" s="247">
        <f t="shared" ref="BA22:BA28" si="44">(K22-AF22)/K22</f>
        <v>-8.4876766450939783E-6</v>
      </c>
      <c r="BB22" s="41">
        <f t="shared" ref="BB22:BG28" si="45">(L22-AG22)/L22</f>
        <v>-3.0075009286480461E-10</v>
      </c>
      <c r="BC22" s="42">
        <f t="shared" si="45"/>
        <v>4.1528119953231238E-9</v>
      </c>
      <c r="BD22" s="42">
        <f t="shared" si="45"/>
        <v>1.3775967465651485E-7</v>
      </c>
      <c r="BE22" s="42">
        <f t="shared" si="45"/>
        <v>-3.8460244397390135E-12</v>
      </c>
      <c r="BF22" s="42">
        <f t="shared" si="45"/>
        <v>1.3775967457550504E-7</v>
      </c>
      <c r="BG22" s="43">
        <f t="shared" si="45"/>
        <v>-1.0692394992954657E-8</v>
      </c>
      <c r="BH22" s="107">
        <f t="shared" ref="BH22:BH28" si="46">(R22-AM22)/R22</f>
        <v>-1.0375759667503425E-9</v>
      </c>
      <c r="BI22" s="44">
        <f t="shared" ref="BI22:BU28" si="47">(S22-AN22)/S22</f>
        <v>1.1445705758115647E-10</v>
      </c>
      <c r="BJ22" s="44">
        <f t="shared" si="47"/>
        <v>1.9114400967692522E-6</v>
      </c>
      <c r="BK22" s="44">
        <f t="shared" si="47"/>
        <v>1.1879440309448242E-9</v>
      </c>
      <c r="BL22" s="108">
        <f t="shared" si="47"/>
        <v>-3.5993617367419697E-12</v>
      </c>
      <c r="BM22" s="43">
        <f t="shared" si="47"/>
        <v>-1.1465895849040094E-7</v>
      </c>
      <c r="BN22" s="42">
        <f t="shared" si="47"/>
        <v>2.4557053095899616E-7</v>
      </c>
      <c r="BO22" s="42">
        <f t="shared" si="47"/>
        <v>4.612070702603338E-9</v>
      </c>
      <c r="BP22" s="42">
        <f t="shared" si="47"/>
        <v>-1.1465895858599575E-7</v>
      </c>
      <c r="BQ22" s="42">
        <f t="shared" si="47"/>
        <v>-1.1465895854336793E-7</v>
      </c>
      <c r="BR22" s="42">
        <f t="shared" si="47"/>
        <v>-1.1465895866554509E-7</v>
      </c>
      <c r="BS22" s="42">
        <f t="shared" si="47"/>
        <v>-1.5877044283687162E-10</v>
      </c>
      <c r="BT22" s="42">
        <f t="shared" si="47"/>
        <v>1.6801442113800757E-6</v>
      </c>
      <c r="BU22" s="45">
        <f t="shared" si="47"/>
        <v>8.9867002374758108E-8</v>
      </c>
    </row>
    <row r="23" spans="2:73" x14ac:dyDescent="0.25">
      <c r="B23" s="86">
        <v>89</v>
      </c>
      <c r="C23" s="87">
        <v>270</v>
      </c>
      <c r="D23" s="93">
        <v>544</v>
      </c>
      <c r="E23" s="191">
        <f t="shared" si="25"/>
        <v>513.00584791988479</v>
      </c>
      <c r="F23" s="156" t="s">
        <v>4</v>
      </c>
      <c r="G23" s="59"/>
      <c r="H23" s="5">
        <v>638</v>
      </c>
      <c r="I23" s="56"/>
      <c r="J23" s="55"/>
      <c r="K23" s="167">
        <f t="shared" si="26"/>
        <v>513.00584791988479</v>
      </c>
      <c r="L23" s="69">
        <f t="shared" si="27"/>
        <v>92304879.668562189</v>
      </c>
      <c r="M23" s="70">
        <f t="shared" si="28"/>
        <v>9230487.9668562189</v>
      </c>
      <c r="N23" s="70">
        <f t="shared" si="29"/>
        <v>9230.4879668562189</v>
      </c>
      <c r="O23" s="70">
        <f t="shared" si="30"/>
        <v>923048796.68562186</v>
      </c>
      <c r="P23" s="70">
        <f>((PI()*(SQRT(D23^2-(C23-B23)^2))/3)*(B23^2+B23*C23+C23^2))*(2.54/100)^3</f>
        <v>923.04879668562182</v>
      </c>
      <c r="Q23" s="71">
        <f t="shared" si="31"/>
        <v>923048.79668562184</v>
      </c>
      <c r="R23" s="115">
        <f t="shared" si="32"/>
        <v>1298313576.7592976</v>
      </c>
      <c r="S23" s="72">
        <f t="shared" si="33"/>
        <v>18933739661.073093</v>
      </c>
      <c r="T23" s="72">
        <f t="shared" si="34"/>
        <v>588905.13228542672</v>
      </c>
      <c r="U23" s="72">
        <f>P23*1000*H23</f>
        <v>588905132.28542674</v>
      </c>
      <c r="V23" s="116">
        <f t="shared" si="35"/>
        <v>588905132285.42676</v>
      </c>
      <c r="W23" s="81">
        <f t="shared" si="36"/>
        <v>5.5964219602385503</v>
      </c>
      <c r="X23" s="73">
        <f t="shared" si="37"/>
        <v>0.1382905983335968</v>
      </c>
      <c r="Y23" s="73">
        <f t="shared" si="38"/>
        <v>5596421.9602385508</v>
      </c>
      <c r="Z23" s="73">
        <f t="shared" si="39"/>
        <v>55964.219602385507</v>
      </c>
      <c r="AA23" s="73">
        <f t="shared" si="40"/>
        <v>5.5964219602385505E-2</v>
      </c>
      <c r="AB23" s="73">
        <f>((PI()*B23^2)+(PI()*C23^2)+(PI()*(B23+C23)*D23))*(2.54/100)^2</f>
        <v>559.64219602385504</v>
      </c>
      <c r="AC23" s="73">
        <f t="shared" si="41"/>
        <v>559642196.02385509</v>
      </c>
      <c r="AD23" s="73">
        <f t="shared" si="42"/>
        <v>6023.9384634114776</v>
      </c>
      <c r="AE23" s="81">
        <f t="shared" si="43"/>
        <v>867447.13873125287</v>
      </c>
      <c r="AF23" s="167">
        <v>513.01</v>
      </c>
      <c r="AG23" s="217">
        <v>92304880</v>
      </c>
      <c r="AH23" s="70">
        <v>9230488</v>
      </c>
      <c r="AI23" s="70">
        <v>9230.49</v>
      </c>
      <c r="AJ23" s="70">
        <v>923048797</v>
      </c>
      <c r="AK23" s="70">
        <v>923.04899999999998</v>
      </c>
      <c r="AL23" s="71">
        <v>923049</v>
      </c>
      <c r="AM23" s="115">
        <v>1298313577</v>
      </c>
      <c r="AN23" s="72">
        <v>18933739661</v>
      </c>
      <c r="AO23" s="72">
        <v>588905</v>
      </c>
      <c r="AP23" s="72">
        <v>588905132</v>
      </c>
      <c r="AQ23" s="116">
        <v>588905132285</v>
      </c>
      <c r="AR23" s="123">
        <v>5.5964200000000002</v>
      </c>
      <c r="AS23" s="123">
        <v>0.138291</v>
      </c>
      <c r="AT23" s="73">
        <v>5596422</v>
      </c>
      <c r="AU23" s="73">
        <v>55964.2</v>
      </c>
      <c r="AV23" s="73">
        <v>5.5964199999999999E-2</v>
      </c>
      <c r="AW23" s="73">
        <v>559.64200000000005</v>
      </c>
      <c r="AX23" s="73">
        <v>559642196</v>
      </c>
      <c r="AY23" s="73">
        <v>6023.94</v>
      </c>
      <c r="AZ23" s="218">
        <v>867447</v>
      </c>
      <c r="BA23" s="247">
        <f t="shared" si="44"/>
        <v>-8.0936311584757001E-6</v>
      </c>
      <c r="BB23" s="41">
        <f t="shared" si="45"/>
        <v>-3.5906856977176507E-9</v>
      </c>
      <c r="BC23" s="42">
        <f t="shared" si="45"/>
        <v>-3.5906856977176507E-9</v>
      </c>
      <c r="BD23" s="42">
        <f t="shared" si="45"/>
        <v>-2.202639544262439E-7</v>
      </c>
      <c r="BE23" s="42">
        <f t="shared" si="45"/>
        <v>-3.4058669865093335E-10</v>
      </c>
      <c r="BF23" s="42">
        <f t="shared" si="45"/>
        <v>-2.2026395450014263E-7</v>
      </c>
      <c r="BG23" s="43">
        <f t="shared" si="45"/>
        <v>-2.2026395450506919E-7</v>
      </c>
      <c r="BH23" s="107">
        <f t="shared" si="46"/>
        <v>-1.8539619008806042E-10</v>
      </c>
      <c r="BI23" s="44">
        <f t="shared" si="47"/>
        <v>3.8604848072838646E-12</v>
      </c>
      <c r="BJ23" s="44">
        <f t="shared" si="47"/>
        <v>2.2462943429728893E-7</v>
      </c>
      <c r="BK23" s="44">
        <f t="shared" si="47"/>
        <v>4.8467354117004356E-10</v>
      </c>
      <c r="BL23" s="108">
        <f t="shared" si="47"/>
        <v>7.2466308935674505E-13</v>
      </c>
      <c r="BM23" s="43">
        <f t="shared" si="47"/>
        <v>3.5026639593551965E-7</v>
      </c>
      <c r="BN23" s="42">
        <f t="shared" si="47"/>
        <v>-2.9045098367763019E-6</v>
      </c>
      <c r="BO23" s="42">
        <f t="shared" si="47"/>
        <v>-7.1047982966336032E-9</v>
      </c>
      <c r="BP23" s="42">
        <f t="shared" si="47"/>
        <v>3.5026639608152796E-7</v>
      </c>
      <c r="BQ23" s="42">
        <f t="shared" si="47"/>
        <v>3.5026639602479104E-7</v>
      </c>
      <c r="BR23" s="42">
        <f t="shared" si="47"/>
        <v>3.5026639587838595E-7</v>
      </c>
      <c r="BS23" s="42">
        <f t="shared" si="47"/>
        <v>4.2625610275247274E-11</v>
      </c>
      <c r="BT23" s="42">
        <f t="shared" si="47"/>
        <v>-2.5508038159603589E-7</v>
      </c>
      <c r="BU23" s="45">
        <f t="shared" si="47"/>
        <v>1.5993049797897753E-7</v>
      </c>
    </row>
    <row r="24" spans="2:73" x14ac:dyDescent="0.25">
      <c r="B24" s="86">
        <v>233</v>
      </c>
      <c r="C24" s="87">
        <v>540</v>
      </c>
      <c r="D24" s="93">
        <v>333</v>
      </c>
      <c r="E24" s="191">
        <f t="shared" si="25"/>
        <v>128.99612397277679</v>
      </c>
      <c r="F24" s="156" t="s">
        <v>5</v>
      </c>
      <c r="G24" s="11">
        <v>344</v>
      </c>
      <c r="H24" s="56"/>
      <c r="I24" s="56"/>
      <c r="J24" s="57"/>
      <c r="K24" s="167">
        <f t="shared" si="26"/>
        <v>128.99612397277679</v>
      </c>
      <c r="L24" s="69">
        <f t="shared" si="27"/>
        <v>6372053909748.9043</v>
      </c>
      <c r="M24" s="70">
        <f t="shared" si="28"/>
        <v>637205390974.89038</v>
      </c>
      <c r="N24" s="70">
        <f t="shared" si="29"/>
        <v>637205390.97489047</v>
      </c>
      <c r="O24" s="70">
        <f t="shared" si="30"/>
        <v>63720539097489.047</v>
      </c>
      <c r="P24" s="70">
        <f>(PI()*(SQRT(D24^2-(C24-B24)^2))/3)*(B24^2+B24*C24+C24^2)</f>
        <v>63720539.097489044</v>
      </c>
      <c r="Q24" s="71">
        <f t="shared" si="31"/>
        <v>63720539097.489044</v>
      </c>
      <c r="R24" s="115">
        <f t="shared" si="32"/>
        <v>48325031237.928963</v>
      </c>
      <c r="S24" s="72">
        <f t="shared" si="33"/>
        <v>704740038886.46399</v>
      </c>
      <c r="T24" s="72">
        <f t="shared" si="34"/>
        <v>21919865.44953623</v>
      </c>
      <c r="U24" s="72">
        <f>P24*G24</f>
        <v>21919865449.536232</v>
      </c>
      <c r="V24" s="116">
        <f t="shared" si="35"/>
        <v>21919865449536.23</v>
      </c>
      <c r="W24" s="81">
        <f t="shared" si="36"/>
        <v>18953.165647254147</v>
      </c>
      <c r="X24" s="73">
        <f t="shared" si="37"/>
        <v>468.342922727511</v>
      </c>
      <c r="Y24" s="73">
        <f t="shared" si="38"/>
        <v>18953165647.25415</v>
      </c>
      <c r="Z24" s="73">
        <f t="shared" si="39"/>
        <v>189531656.47254148</v>
      </c>
      <c r="AA24" s="73">
        <f t="shared" si="40"/>
        <v>189.5316564725415</v>
      </c>
      <c r="AB24" s="73">
        <f>(PI()*B24^2)+(PI()*C24^2)+(PI()*(B24+C24)*D24)</f>
        <v>1895316.5647254148</v>
      </c>
      <c r="AC24" s="73">
        <f t="shared" si="41"/>
        <v>1895316564725.4148</v>
      </c>
      <c r="AD24" s="73">
        <f t="shared" si="42"/>
        <v>20401017.71401038</v>
      </c>
      <c r="AE24" s="81">
        <f t="shared" si="43"/>
        <v>2937746550.8174949</v>
      </c>
      <c r="AF24" s="167">
        <v>129</v>
      </c>
      <c r="AG24" s="217">
        <v>6372053909749</v>
      </c>
      <c r="AH24" s="70">
        <v>637205390975</v>
      </c>
      <c r="AI24" s="70">
        <v>637205391</v>
      </c>
      <c r="AJ24" s="70">
        <v>63720539097489</v>
      </c>
      <c r="AK24" s="70">
        <v>63720539</v>
      </c>
      <c r="AL24" s="71">
        <v>63720539097</v>
      </c>
      <c r="AM24" s="115">
        <v>48325031238</v>
      </c>
      <c r="AN24" s="72">
        <v>704740038886</v>
      </c>
      <c r="AO24" s="72">
        <v>21919865</v>
      </c>
      <c r="AP24" s="72">
        <v>21919865450</v>
      </c>
      <c r="AQ24" s="116">
        <v>21919865449536</v>
      </c>
      <c r="AR24" s="123">
        <v>18953.2</v>
      </c>
      <c r="AS24" s="123">
        <v>468.34300000000002</v>
      </c>
      <c r="AT24" s="73">
        <v>18953165647</v>
      </c>
      <c r="AU24" s="73">
        <v>189531656</v>
      </c>
      <c r="AV24" s="73">
        <v>189.53200000000001</v>
      </c>
      <c r="AW24" s="73">
        <v>1895317</v>
      </c>
      <c r="AX24" s="73">
        <v>1895316564725</v>
      </c>
      <c r="AY24" s="73">
        <v>20401018</v>
      </c>
      <c r="AZ24" s="218">
        <v>2937746551</v>
      </c>
      <c r="BA24" s="247">
        <f t="shared" si="44"/>
        <v>-3.0047625493242642E-5</v>
      </c>
      <c r="BB24" s="41">
        <f t="shared" si="45"/>
        <v>-1.501919574998876E-14</v>
      </c>
      <c r="BC24" s="42">
        <f t="shared" si="45"/>
        <v>-1.7203109417716717E-13</v>
      </c>
      <c r="BD24" s="42">
        <f t="shared" si="45"/>
        <v>-3.9405707878307508E-11</v>
      </c>
      <c r="BE24" s="42">
        <f t="shared" si="45"/>
        <v>7.3563407755046978E-16</v>
      </c>
      <c r="BF24" s="42">
        <f t="shared" si="45"/>
        <v>1.529946944125673E-9</v>
      </c>
      <c r="BG24" s="43">
        <f t="shared" si="45"/>
        <v>7.6748281853816923E-12</v>
      </c>
      <c r="BH24" s="107">
        <f t="shared" si="46"/>
        <v>-1.4699895822253203E-12</v>
      </c>
      <c r="BI24" s="44">
        <f t="shared" si="47"/>
        <v>6.5838356303075077E-13</v>
      </c>
      <c r="BJ24" s="44">
        <f t="shared" si="47"/>
        <v>2.050816559298802E-8</v>
      </c>
      <c r="BK24" s="44">
        <f t="shared" si="47"/>
        <v>-2.1157429384718504E-11</v>
      </c>
      <c r="BL24" s="108">
        <f t="shared" si="47"/>
        <v>1.0514149848710689E-14</v>
      </c>
      <c r="BM24" s="43">
        <f t="shared" si="47"/>
        <v>-1.8125070235175183E-6</v>
      </c>
      <c r="BN24" s="42">
        <f t="shared" si="47"/>
        <v>-1.6499126019145609E-7</v>
      </c>
      <c r="BO24" s="42">
        <f t="shared" si="47"/>
        <v>1.3409390038324293E-11</v>
      </c>
      <c r="BP24" s="42">
        <f t="shared" si="47"/>
        <v>2.493206095758176E-9</v>
      </c>
      <c r="BQ24" s="42">
        <f t="shared" si="47"/>
        <v>-1.8125070233915537E-6</v>
      </c>
      <c r="BR24" s="42">
        <f t="shared" si="47"/>
        <v>-2.2965798603318962E-7</v>
      </c>
      <c r="BS24" s="42">
        <f t="shared" si="47"/>
        <v>2.1885258093288162E-13</v>
      </c>
      <c r="BT24" s="42">
        <f t="shared" si="47"/>
        <v>-1.401839966028286E-8</v>
      </c>
      <c r="BU24" s="45">
        <f t="shared" si="47"/>
        <v>-6.2124191999148486E-11</v>
      </c>
    </row>
    <row r="25" spans="2:73" x14ac:dyDescent="0.25">
      <c r="B25" s="86">
        <v>176</v>
      </c>
      <c r="C25" s="87">
        <v>340</v>
      </c>
      <c r="D25" s="93">
        <v>266</v>
      </c>
      <c r="E25" s="191">
        <f t="shared" si="25"/>
        <v>209.42779185198893</v>
      </c>
      <c r="F25" s="156" t="s">
        <v>6</v>
      </c>
      <c r="G25" s="11">
        <v>976</v>
      </c>
      <c r="H25" s="58"/>
      <c r="I25" s="58"/>
      <c r="J25" s="55"/>
      <c r="K25" s="167">
        <f t="shared" si="26"/>
        <v>209.42779185198893</v>
      </c>
      <c r="L25" s="69">
        <f t="shared" si="27"/>
        <v>1.8869176426235634E+22</v>
      </c>
      <c r="M25" s="70">
        <f t="shared" si="28"/>
        <v>1.8869176426235636E+21</v>
      </c>
      <c r="N25" s="70">
        <f t="shared" si="29"/>
        <v>1.8869176426235635E+18</v>
      </c>
      <c r="O25" s="70">
        <f t="shared" si="30"/>
        <v>1.8869176426235635E+23</v>
      </c>
      <c r="P25" s="70">
        <f>((PI()*(SQRT(D25^2-(C25-B25)^2))/3)*(B25^2+B25*C25+C25^2))*(63360*2.54/100)^3</f>
        <v>1.8869176426235635E+17</v>
      </c>
      <c r="Q25" s="71">
        <f t="shared" si="31"/>
        <v>1.8869176426235635E+20</v>
      </c>
      <c r="R25" s="115">
        <f t="shared" si="32"/>
        <v>4.0601027288016283E+20</v>
      </c>
      <c r="S25" s="72">
        <f t="shared" si="33"/>
        <v>5.9209831461690414E+21</v>
      </c>
      <c r="T25" s="72">
        <f t="shared" si="34"/>
        <v>1.8416316192005981E+17</v>
      </c>
      <c r="U25" s="72">
        <f>P25*G25</f>
        <v>1.841631619200598E+20</v>
      </c>
      <c r="V25" s="116">
        <f t="shared" si="35"/>
        <v>1.841631619200598E+23</v>
      </c>
      <c r="W25" s="81">
        <f t="shared" si="36"/>
        <v>23094523206.496693</v>
      </c>
      <c r="X25" s="73">
        <f t="shared" si="37"/>
        <v>570678096.67436683</v>
      </c>
      <c r="Y25" s="73">
        <f t="shared" si="38"/>
        <v>2.3094523206496696E+16</v>
      </c>
      <c r="Z25" s="73">
        <f t="shared" si="39"/>
        <v>230945232064966.94</v>
      </c>
      <c r="AA25" s="73">
        <f t="shared" si="40"/>
        <v>230945232.06496695</v>
      </c>
      <c r="AB25" s="73">
        <f>((PI()*B25^2)+(PI()*C25^2)+(PI()*(B25+C25)*D25))*(63360*2.54/100)^2</f>
        <v>2309452320649.6694</v>
      </c>
      <c r="AC25" s="73">
        <f t="shared" si="41"/>
        <v>2.3094523206496696E+18</v>
      </c>
      <c r="AD25" s="73">
        <f t="shared" si="42"/>
        <v>24858737891135.422</v>
      </c>
      <c r="AE25" s="81">
        <f t="shared" si="43"/>
        <v>3579658256323500.5</v>
      </c>
      <c r="AF25" s="167">
        <v>209.43</v>
      </c>
      <c r="AG25" s="217">
        <v>1.8869176426235601E+22</v>
      </c>
      <c r="AH25" s="70">
        <v>1.8869176426235599E+21</v>
      </c>
      <c r="AI25" s="70">
        <v>1.8869176426235599E+18</v>
      </c>
      <c r="AJ25" s="70">
        <v>1.8869176426235602E+23</v>
      </c>
      <c r="AK25" s="70">
        <v>1.88691764262356E+17</v>
      </c>
      <c r="AL25" s="71">
        <v>1.8869176426235599E+20</v>
      </c>
      <c r="AM25" s="115">
        <v>4.0601027288016303E+20</v>
      </c>
      <c r="AN25" s="72">
        <v>5.9209831461690404E+21</v>
      </c>
      <c r="AO25" s="72">
        <v>1.8416316192006E+17</v>
      </c>
      <c r="AP25" s="72">
        <v>1.8416316192006E+20</v>
      </c>
      <c r="AQ25" s="116">
        <v>1.8416316192006E+23</v>
      </c>
      <c r="AR25" s="123">
        <v>23094523206</v>
      </c>
      <c r="AS25" s="123">
        <v>570678097</v>
      </c>
      <c r="AT25" s="73">
        <v>2.30945232064967E+16</v>
      </c>
      <c r="AU25" s="73">
        <v>230945232064967</v>
      </c>
      <c r="AV25" s="73">
        <v>230945232</v>
      </c>
      <c r="AW25" s="73">
        <v>2309452320650</v>
      </c>
      <c r="AX25" s="73">
        <v>2.3094523206496701E+18</v>
      </c>
      <c r="AY25" s="73">
        <v>24858737891135</v>
      </c>
      <c r="AZ25" s="218">
        <v>3579658256323500</v>
      </c>
      <c r="BA25" s="247">
        <f t="shared" si="44"/>
        <v>-1.0543720064809162E-5</v>
      </c>
      <c r="BB25" s="41">
        <f t="shared" si="45"/>
        <v>1.7782669069406781E-15</v>
      </c>
      <c r="BC25" s="42">
        <f t="shared" si="45"/>
        <v>1.9449794294663664E-15</v>
      </c>
      <c r="BD25" s="42">
        <f t="shared" si="45"/>
        <v>1.8993939740882487E-15</v>
      </c>
      <c r="BE25" s="42">
        <f t="shared" si="45"/>
        <v>1.7782669069406781E-15</v>
      </c>
      <c r="BF25" s="42">
        <f t="shared" si="45"/>
        <v>1.8654762245509587E-15</v>
      </c>
      <c r="BG25" s="43">
        <f t="shared" si="45"/>
        <v>1.9102476539401814E-15</v>
      </c>
      <c r="BH25" s="107">
        <f t="shared" si="46"/>
        <v>-4.8424390497634141E-16</v>
      </c>
      <c r="BI25" s="44">
        <f t="shared" si="47"/>
        <v>1.7709491381991912E-16</v>
      </c>
      <c r="BJ25" s="44">
        <f t="shared" si="47"/>
        <v>-1.0425537767609678E-15</v>
      </c>
      <c r="BK25" s="44">
        <f t="shared" si="47"/>
        <v>-1.067575067403231E-15</v>
      </c>
      <c r="BL25" s="108">
        <f t="shared" si="47"/>
        <v>-1.0931968690209087E-15</v>
      </c>
      <c r="BM25" s="43">
        <f t="shared" si="47"/>
        <v>2.1506945739021757E-11</v>
      </c>
      <c r="BN25" s="42">
        <f t="shared" si="47"/>
        <v>-5.7060744072385296E-10</v>
      </c>
      <c r="BO25" s="42">
        <f t="shared" si="47"/>
        <v>-1.7320123755032813E-16</v>
      </c>
      <c r="BP25" s="42">
        <f t="shared" si="47"/>
        <v>-2.7062693367238775E-16</v>
      </c>
      <c r="BQ25" s="42">
        <f t="shared" si="47"/>
        <v>2.8130888981509897E-10</v>
      </c>
      <c r="BR25" s="42">
        <f t="shared" si="47"/>
        <v>-1.4313627663766131E-13</v>
      </c>
      <c r="BS25" s="42">
        <f t="shared" si="47"/>
        <v>-2.2169758406442001E-16</v>
      </c>
      <c r="BT25" s="42">
        <f t="shared" si="47"/>
        <v>1.6970893769729147E-14</v>
      </c>
      <c r="BU25" s="45">
        <f t="shared" si="47"/>
        <v>1.3967813802246213E-16</v>
      </c>
    </row>
    <row r="26" spans="2:73" x14ac:dyDescent="0.25">
      <c r="B26" s="86">
        <v>89</v>
      </c>
      <c r="C26" s="87">
        <v>255</v>
      </c>
      <c r="D26" s="93">
        <v>385</v>
      </c>
      <c r="E26" s="191">
        <f t="shared" si="25"/>
        <v>347.37443774693611</v>
      </c>
      <c r="F26" s="156" t="s">
        <v>7</v>
      </c>
      <c r="G26" s="59"/>
      <c r="H26" s="4">
        <v>866</v>
      </c>
      <c r="I26" s="58"/>
      <c r="J26" s="55"/>
      <c r="K26" s="167">
        <f t="shared" si="26"/>
        <v>347.37443774693611</v>
      </c>
      <c r="L26" s="69">
        <f t="shared" si="27"/>
        <v>3479.1294105321181</v>
      </c>
      <c r="M26" s="70">
        <f t="shared" si="28"/>
        <v>347.91294105321185</v>
      </c>
      <c r="N26" s="70">
        <f t="shared" si="29"/>
        <v>0.3479129410532118</v>
      </c>
      <c r="O26" s="70">
        <f t="shared" si="30"/>
        <v>34791.294105321183</v>
      </c>
      <c r="P26" s="70">
        <f>((PI()*(SQRT(D26^2-(C26-B26)^2))/3)*(B26^2+B26*C26+C26^2))/1000^3</f>
        <v>3.4791294105321183E-2</v>
      </c>
      <c r="Q26" s="71">
        <f t="shared" si="31"/>
        <v>34.791294105321185</v>
      </c>
      <c r="R26" s="115">
        <f t="shared" si="32"/>
        <v>66423.649708235054</v>
      </c>
      <c r="S26" s="72">
        <f t="shared" si="33"/>
        <v>968678.22491176124</v>
      </c>
      <c r="T26" s="72">
        <f t="shared" si="34"/>
        <v>30.129260695208149</v>
      </c>
      <c r="U26" s="72">
        <f>P26*1000*H26</f>
        <v>30129.260695208148</v>
      </c>
      <c r="V26" s="116">
        <f t="shared" si="35"/>
        <v>30129260.695208147</v>
      </c>
      <c r="W26" s="81">
        <f t="shared" si="36"/>
        <v>6.4523914875019321E-3</v>
      </c>
      <c r="X26" s="73">
        <f t="shared" si="37"/>
        <v>1.5944206598946553E-4</v>
      </c>
      <c r="Y26" s="73">
        <f t="shared" si="38"/>
        <v>6452.3914875019318</v>
      </c>
      <c r="Z26" s="73">
        <f t="shared" si="39"/>
        <v>64.523914875019315</v>
      </c>
      <c r="AA26" s="73">
        <f t="shared" si="40"/>
        <v>6.4523914875019321E-5</v>
      </c>
      <c r="AB26" s="73">
        <f>((PI()*B26^2)+(PI()*C26^2)+(PI()*(B26+C26)*D26))/1000^2</f>
        <v>0.64523914875019317</v>
      </c>
      <c r="AC26" s="73">
        <f t="shared" si="41"/>
        <v>645239.14875019318</v>
      </c>
      <c r="AD26" s="73">
        <f t="shared" si="42"/>
        <v>6.9452963945011188</v>
      </c>
      <c r="AE26" s="81">
        <f t="shared" si="43"/>
        <v>1000.122680808161</v>
      </c>
      <c r="AF26" s="167">
        <v>347.37</v>
      </c>
      <c r="AG26" s="217">
        <v>3479.13</v>
      </c>
      <c r="AH26" s="70">
        <v>347.91300000000001</v>
      </c>
      <c r="AI26" s="70">
        <v>0.34791299999999997</v>
      </c>
      <c r="AJ26" s="70">
        <v>34791.300000000003</v>
      </c>
      <c r="AK26" s="70">
        <v>3.4791299999999997E-2</v>
      </c>
      <c r="AL26" s="71">
        <v>34.7913</v>
      </c>
      <c r="AM26" s="115">
        <v>66423.600000000006</v>
      </c>
      <c r="AN26" s="72">
        <v>968678</v>
      </c>
      <c r="AO26" s="72">
        <v>30.129300000000001</v>
      </c>
      <c r="AP26" s="72">
        <v>30129.3</v>
      </c>
      <c r="AQ26" s="116">
        <v>30129261</v>
      </c>
      <c r="AR26" s="123">
        <v>6.4523899999999997E-3</v>
      </c>
      <c r="AS26" s="123">
        <v>1.5944200000000001E-4</v>
      </c>
      <c r="AT26" s="73">
        <v>6452.39</v>
      </c>
      <c r="AU26" s="73">
        <v>64.523899999999998</v>
      </c>
      <c r="AV26" s="73">
        <v>6.4523914875019294E-5</v>
      </c>
      <c r="AW26" s="73">
        <v>0.64523900000000001</v>
      </c>
      <c r="AX26" s="73">
        <v>645239</v>
      </c>
      <c r="AY26" s="73">
        <v>6.9452999999999996</v>
      </c>
      <c r="AZ26" s="218">
        <v>1000.12</v>
      </c>
      <c r="BA26" s="247">
        <f t="shared" si="44"/>
        <v>1.2775110813819101E-5</v>
      </c>
      <c r="BB26" s="41">
        <f t="shared" si="45"/>
        <v>-1.6942970855076242E-7</v>
      </c>
      <c r="BC26" s="42">
        <f t="shared" si="45"/>
        <v>-1.6942970842005518E-7</v>
      </c>
      <c r="BD26" s="42">
        <f t="shared" si="45"/>
        <v>-1.6942970846217765E-7</v>
      </c>
      <c r="BE26" s="42">
        <f t="shared" si="45"/>
        <v>-1.6942970852462098E-7</v>
      </c>
      <c r="BF26" s="42">
        <f t="shared" si="45"/>
        <v>-1.6942970838240028E-7</v>
      </c>
      <c r="BG26" s="43">
        <f t="shared" si="45"/>
        <v>-1.6942970837920916E-7</v>
      </c>
      <c r="BH26" s="107">
        <f t="shared" si="46"/>
        <v>7.4835145715116287E-7</v>
      </c>
      <c r="BI26" s="44">
        <f t="shared" si="47"/>
        <v>2.3218418196382604E-7</v>
      </c>
      <c r="BJ26" s="44">
        <f t="shared" si="47"/>
        <v>-1.3045388749843003E-6</v>
      </c>
      <c r="BK26" s="44">
        <f t="shared" si="47"/>
        <v>-1.3045388749852437E-6</v>
      </c>
      <c r="BL26" s="108">
        <f t="shared" si="47"/>
        <v>-1.011614111329043E-8</v>
      </c>
      <c r="BM26" s="43">
        <f t="shared" si="47"/>
        <v>2.3053497842995564E-7</v>
      </c>
      <c r="BN26" s="42">
        <f t="shared" si="47"/>
        <v>4.138773861843267E-7</v>
      </c>
      <c r="BO26" s="42">
        <f t="shared" si="47"/>
        <v>2.3053497828826111E-7</v>
      </c>
      <c r="BP26" s="42">
        <f t="shared" si="47"/>
        <v>2.3053497833230944E-7</v>
      </c>
      <c r="BQ26" s="42">
        <f t="shared" si="47"/>
        <v>4.20077646631318E-16</v>
      </c>
      <c r="BR26" s="42">
        <f t="shared" si="47"/>
        <v>2.3053497831166179E-7</v>
      </c>
      <c r="BS26" s="42">
        <f t="shared" si="47"/>
        <v>2.3053497834464298E-7</v>
      </c>
      <c r="BT26" s="42">
        <f t="shared" si="47"/>
        <v>-5.1912815177222298E-7</v>
      </c>
      <c r="BU26" s="45">
        <f t="shared" si="47"/>
        <v>2.6804793176480639E-6</v>
      </c>
    </row>
    <row r="27" spans="2:73" x14ac:dyDescent="0.25">
      <c r="B27" s="86">
        <v>344</v>
      </c>
      <c r="C27" s="87">
        <v>560</v>
      </c>
      <c r="D27" s="93">
        <v>489</v>
      </c>
      <c r="E27" s="191">
        <f t="shared" si="25"/>
        <v>438.7083313546712</v>
      </c>
      <c r="F27" s="156" t="s">
        <v>8</v>
      </c>
      <c r="G27" s="59"/>
      <c r="H27" s="58"/>
      <c r="I27" s="4">
        <v>466</v>
      </c>
      <c r="J27" s="55"/>
      <c r="K27" s="167">
        <f t="shared" si="26"/>
        <v>438.7083313546712</v>
      </c>
      <c r="L27" s="69">
        <f t="shared" si="27"/>
        <v>21938071325577.027</v>
      </c>
      <c r="M27" s="70">
        <f t="shared" si="28"/>
        <v>2193807132557.7026</v>
      </c>
      <c r="N27" s="70">
        <f t="shared" si="29"/>
        <v>2193807132.5577025</v>
      </c>
      <c r="O27" s="70">
        <f t="shared" si="30"/>
        <v>219380713255770.28</v>
      </c>
      <c r="P27" s="70">
        <f>((PI()*(SQRT(D27^2-(C27-B27)^2))/3)*(B27^2+B27*C27+C27^2))*0.9144^3</f>
        <v>219380713.25577027</v>
      </c>
      <c r="Q27" s="71">
        <f t="shared" si="31"/>
        <v>219380713255.77026</v>
      </c>
      <c r="R27" s="115">
        <f t="shared" si="32"/>
        <v>3610268256567.4907</v>
      </c>
      <c r="S27" s="72">
        <f t="shared" si="33"/>
        <v>52649745408275.906</v>
      </c>
      <c r="T27" s="72">
        <f t="shared" si="34"/>
        <v>1637590134.8322163</v>
      </c>
      <c r="U27" s="72">
        <f>P27*(0.45359237/0.3048^3)*I27</f>
        <v>1637590134832.2163</v>
      </c>
      <c r="V27" s="116">
        <f t="shared" si="35"/>
        <v>1637590134832216.2</v>
      </c>
      <c r="W27" s="81">
        <f t="shared" si="36"/>
        <v>22957.77339442035</v>
      </c>
      <c r="X27" s="73">
        <f t="shared" si="37"/>
        <v>567.29893522649797</v>
      </c>
      <c r="Y27" s="73">
        <f t="shared" si="38"/>
        <v>22957773394.420353</v>
      </c>
      <c r="Z27" s="73">
        <f t="shared" si="39"/>
        <v>229577733.94420353</v>
      </c>
      <c r="AA27" s="73">
        <f t="shared" si="40"/>
        <v>229.57773394420352</v>
      </c>
      <c r="AB27" s="73">
        <f>((PI()*B27^2)+(PI()*C27^2)+(PI()*(B27+C27)*D27))*0.9144^2</f>
        <v>2295777.3394420352</v>
      </c>
      <c r="AC27" s="73">
        <f t="shared" si="41"/>
        <v>2295777339442.0352</v>
      </c>
      <c r="AD27" s="73">
        <f t="shared" si="42"/>
        <v>24711541.618466258</v>
      </c>
      <c r="AE27" s="81">
        <f t="shared" si="43"/>
        <v>3558461993.0591407</v>
      </c>
      <c r="AF27" s="167">
        <v>438.71</v>
      </c>
      <c r="AG27" s="217">
        <v>21938071325577</v>
      </c>
      <c r="AH27" s="70">
        <v>2193807132558</v>
      </c>
      <c r="AI27" s="70">
        <v>2193807133</v>
      </c>
      <c r="AJ27" s="70">
        <v>219380713255770</v>
      </c>
      <c r="AK27" s="70">
        <v>219380713</v>
      </c>
      <c r="AL27" s="71">
        <v>219380713256</v>
      </c>
      <c r="AM27" s="115">
        <v>3610268256567</v>
      </c>
      <c r="AN27" s="72">
        <v>52649745408276</v>
      </c>
      <c r="AO27" s="72">
        <v>1637590135</v>
      </c>
      <c r="AP27" s="72">
        <v>1637590134832</v>
      </c>
      <c r="AQ27" s="116">
        <v>1637590134832220</v>
      </c>
      <c r="AR27" s="123">
        <v>22957.8</v>
      </c>
      <c r="AS27" s="123">
        <v>567.29899999999998</v>
      </c>
      <c r="AT27" s="73">
        <v>22957773394</v>
      </c>
      <c r="AU27" s="73">
        <v>229577734</v>
      </c>
      <c r="AV27" s="73">
        <v>229.578</v>
      </c>
      <c r="AW27" s="73">
        <v>2295777</v>
      </c>
      <c r="AX27" s="73">
        <v>2295777339442</v>
      </c>
      <c r="AY27" s="73">
        <v>24711542</v>
      </c>
      <c r="AZ27" s="218">
        <v>3558461993</v>
      </c>
      <c r="BA27" s="247">
        <f t="shared" si="44"/>
        <v>-3.8035414636986292E-6</v>
      </c>
      <c r="BB27" s="41">
        <f t="shared" si="45"/>
        <v>1.2464062858671005E-15</v>
      </c>
      <c r="BC27" s="42">
        <f t="shared" si="45"/>
        <v>-1.3554668358804717E-13</v>
      </c>
      <c r="BD27" s="42">
        <f t="shared" si="45"/>
        <v>-2.0161182452398108E-10</v>
      </c>
      <c r="BE27" s="42">
        <f t="shared" si="45"/>
        <v>1.2820178940347319E-15</v>
      </c>
      <c r="BF27" s="42">
        <f t="shared" si="45"/>
        <v>1.1658739834520681E-9</v>
      </c>
      <c r="BG27" s="43">
        <f t="shared" si="45"/>
        <v>-1.0472038526794121E-12</v>
      </c>
      <c r="BH27" s="107">
        <f t="shared" si="46"/>
        <v>1.3592415338038092E-13</v>
      </c>
      <c r="BI27" s="44">
        <f t="shared" si="47"/>
        <v>-1.7806353909788065E-15</v>
      </c>
      <c r="BJ27" s="44">
        <f t="shared" si="47"/>
        <v>-1.0245771125130033E-10</v>
      </c>
      <c r="BK27" s="44">
        <f t="shared" si="47"/>
        <v>1.3208958038341045E-13</v>
      </c>
      <c r="BL27" s="108">
        <f t="shared" si="47"/>
        <v>-2.2899502874595764E-15</v>
      </c>
      <c r="BM27" s="43">
        <f t="shared" si="47"/>
        <v>-1.1588919880031459E-6</v>
      </c>
      <c r="BN27" s="42">
        <f t="shared" si="47"/>
        <v>-1.1417878296913089E-7</v>
      </c>
      <c r="BO27" s="42">
        <f t="shared" si="47"/>
        <v>1.8309830338040448E-11</v>
      </c>
      <c r="BP27" s="42">
        <f t="shared" si="47"/>
        <v>-2.4303957208641706E-10</v>
      </c>
      <c r="BQ27" s="42">
        <f t="shared" si="47"/>
        <v>-1.1588919879833378E-6</v>
      </c>
      <c r="BR27" s="42">
        <f t="shared" si="47"/>
        <v>1.4785494627532492E-7</v>
      </c>
      <c r="BS27" s="42">
        <f t="shared" si="47"/>
        <v>1.5313440635555869E-14</v>
      </c>
      <c r="BT27" s="42">
        <f t="shared" si="47"/>
        <v>-1.5439495756342416E-8</v>
      </c>
      <c r="BU27" s="45">
        <f t="shared" si="47"/>
        <v>1.6619731315330668E-11</v>
      </c>
    </row>
    <row r="28" spans="2:73" ht="15.75" thickBot="1" x14ac:dyDescent="0.3">
      <c r="B28" s="88">
        <v>66</v>
      </c>
      <c r="C28" s="89">
        <v>233</v>
      </c>
      <c r="D28" s="95">
        <v>433</v>
      </c>
      <c r="E28" s="194">
        <f t="shared" si="25"/>
        <v>399.49968710876357</v>
      </c>
      <c r="F28" s="157" t="s">
        <v>43</v>
      </c>
      <c r="G28" s="63"/>
      <c r="H28" s="60"/>
      <c r="I28" s="60"/>
      <c r="J28" s="15">
        <v>900</v>
      </c>
      <c r="K28" s="168">
        <f t="shared" si="26"/>
        <v>399.49968710876357</v>
      </c>
      <c r="L28" s="79">
        <f t="shared" si="27"/>
        <v>3.0967899126426722E-6</v>
      </c>
      <c r="M28" s="74">
        <f t="shared" si="28"/>
        <v>3.0967899126426724E-7</v>
      </c>
      <c r="N28" s="74">
        <f t="shared" si="29"/>
        <v>3.0967899126426725E-10</v>
      </c>
      <c r="O28" s="74">
        <f t="shared" si="30"/>
        <v>3.0967899126426724E-5</v>
      </c>
      <c r="P28" s="74">
        <f>((PI()*(SQRT(D28^2-(C28-B28)^2))/3)*(B28^2+B28*C28+C28^2))/1000000^3</f>
        <v>3.0967899126426724E-11</v>
      </c>
      <c r="Q28" s="75">
        <f t="shared" si="31"/>
        <v>3.0967899126426722E-8</v>
      </c>
      <c r="R28" s="117">
        <f t="shared" si="32"/>
        <v>6.1445277868726162E-5</v>
      </c>
      <c r="S28" s="76">
        <f t="shared" si="33"/>
        <v>8.9607696891892327E-4</v>
      </c>
      <c r="T28" s="76">
        <f t="shared" si="34"/>
        <v>2.7871109213784052E-8</v>
      </c>
      <c r="U28" s="76">
        <f>P28*1000*J28</f>
        <v>2.7871109213784051E-5</v>
      </c>
      <c r="V28" s="118">
        <f t="shared" si="35"/>
        <v>2.7871109213784051E-2</v>
      </c>
      <c r="W28" s="82">
        <f t="shared" si="36"/>
        <v>5.9097127725208317E-9</v>
      </c>
      <c r="X28" s="77">
        <f t="shared" si="37"/>
        <v>1.4603218290151395E-10</v>
      </c>
      <c r="Y28" s="77">
        <f t="shared" si="38"/>
        <v>5.9097127725208322E-3</v>
      </c>
      <c r="Z28" s="77">
        <f t="shared" si="39"/>
        <v>5.9097127725208319E-5</v>
      </c>
      <c r="AA28" s="77">
        <f t="shared" si="40"/>
        <v>5.9097127725208317E-11</v>
      </c>
      <c r="AB28" s="77">
        <f>((PI()*B28^2)+(PI()*C28^2)+(PI()*(B28+C28)*D28))/1000000^2</f>
        <v>5.9097127725208318E-7</v>
      </c>
      <c r="AC28" s="77">
        <f t="shared" si="41"/>
        <v>0.5909712772520832</v>
      </c>
      <c r="AD28" s="77">
        <f t="shared" si="42"/>
        <v>6.3611618871899485E-6</v>
      </c>
      <c r="AE28" s="82">
        <f t="shared" si="43"/>
        <v>9.1600731175535248E-4</v>
      </c>
      <c r="AF28" s="168">
        <v>399.5</v>
      </c>
      <c r="AG28" s="219">
        <v>3.0967899126426701E-6</v>
      </c>
      <c r="AH28" s="74">
        <v>3.0967899126426702E-7</v>
      </c>
      <c r="AI28" s="74">
        <v>3.0967899126426699E-10</v>
      </c>
      <c r="AJ28" s="74">
        <v>3.0967899126426697E-5</v>
      </c>
      <c r="AK28" s="74">
        <v>3.0967899126426698E-11</v>
      </c>
      <c r="AL28" s="75">
        <v>3.0967899126426702E-8</v>
      </c>
      <c r="AM28" s="117">
        <v>6.1445277868726203E-5</v>
      </c>
      <c r="AN28" s="76">
        <v>8.9607700000000001E-4</v>
      </c>
      <c r="AO28" s="76">
        <v>2.7871109213784102E-8</v>
      </c>
      <c r="AP28" s="76">
        <v>2.7871109213784099E-5</v>
      </c>
      <c r="AQ28" s="118">
        <v>2.7871099999999999E-2</v>
      </c>
      <c r="AR28" s="125">
        <v>5.90971277252083E-9</v>
      </c>
      <c r="AS28" s="125">
        <v>1.46032182901514E-10</v>
      </c>
      <c r="AT28" s="77">
        <v>5.9097100000000003E-3</v>
      </c>
      <c r="AU28" s="77">
        <v>5.9097127725208299E-5</v>
      </c>
      <c r="AV28" s="77">
        <v>5.9097127725208304E-11</v>
      </c>
      <c r="AW28" s="77">
        <v>5.9097127725208296E-7</v>
      </c>
      <c r="AX28" s="77">
        <v>0.59097100000000002</v>
      </c>
      <c r="AY28" s="77">
        <v>6.3611618871899502E-6</v>
      </c>
      <c r="AZ28" s="220">
        <v>9.1600700000000004E-4</v>
      </c>
      <c r="BA28" s="248">
        <f t="shared" si="44"/>
        <v>-7.8320771337175969E-7</v>
      </c>
      <c r="BB28" s="46">
        <f t="shared" si="45"/>
        <v>6.8379916877496344E-16</v>
      </c>
      <c r="BC28" s="47">
        <f t="shared" si="45"/>
        <v>6.8379916877496335E-16</v>
      </c>
      <c r="BD28" s="47">
        <f t="shared" si="45"/>
        <v>8.3471578219600018E-16</v>
      </c>
      <c r="BE28" s="47">
        <f t="shared" si="45"/>
        <v>8.7526293603195314E-16</v>
      </c>
      <c r="BF28" s="47">
        <f t="shared" si="45"/>
        <v>8.3471578219600018E-16</v>
      </c>
      <c r="BG28" s="48">
        <f t="shared" si="45"/>
        <v>6.4106172072652817E-16</v>
      </c>
      <c r="BH28" s="109">
        <f t="shared" si="46"/>
        <v>-6.6168764921315339E-16</v>
      </c>
      <c r="BI28" s="49">
        <f t="shared" si="47"/>
        <v>-3.4685722108143166E-8</v>
      </c>
      <c r="BJ28" s="49">
        <f t="shared" si="47"/>
        <v>-1.780727002018134E-15</v>
      </c>
      <c r="BK28" s="49">
        <f t="shared" si="47"/>
        <v>-1.7019001533954645E-15</v>
      </c>
      <c r="BL28" s="110">
        <f t="shared" si="47"/>
        <v>3.3058548122425607E-7</v>
      </c>
      <c r="BM28" s="48">
        <f t="shared" si="47"/>
        <v>2.7993936233221962E-16</v>
      </c>
      <c r="BN28" s="47">
        <f t="shared" si="47"/>
        <v>-3.5402325198021988E-16</v>
      </c>
      <c r="BO28" s="47">
        <f t="shared" si="47"/>
        <v>4.6914646084540613E-7</v>
      </c>
      <c r="BP28" s="47">
        <f t="shared" si="47"/>
        <v>3.4398948843383149E-16</v>
      </c>
      <c r="BQ28" s="47">
        <f t="shared" si="47"/>
        <v>2.1870262682204658E-16</v>
      </c>
      <c r="BR28" s="47">
        <f t="shared" si="47"/>
        <v>3.5832238378524112E-16</v>
      </c>
      <c r="BS28" s="47">
        <f t="shared" si="47"/>
        <v>4.6914646083953539E-7</v>
      </c>
      <c r="BT28" s="47">
        <f t="shared" si="47"/>
        <v>-2.663139100295648E-16</v>
      </c>
      <c r="BU28" s="50">
        <f t="shared" si="47"/>
        <v>3.4034155452187014E-7</v>
      </c>
    </row>
    <row r="29" spans="2:73" ht="15.75" thickTop="1" x14ac:dyDescent="0.25"/>
    <row r="31" spans="2:73" x14ac:dyDescent="0.25">
      <c r="B31" s="317" t="s">
        <v>14</v>
      </c>
      <c r="C31" s="318"/>
      <c r="D31" s="349" t="s">
        <v>15</v>
      </c>
      <c r="E31" s="318"/>
      <c r="F31" s="350"/>
      <c r="H31" s="207"/>
      <c r="I31" s="206"/>
      <c r="J31" s="208"/>
      <c r="K31" s="206"/>
    </row>
    <row r="32" spans="2:73" x14ac:dyDescent="0.25">
      <c r="B32" s="264"/>
      <c r="C32" s="265" t="s">
        <v>16</v>
      </c>
      <c r="D32" s="351">
        <v>41031</v>
      </c>
      <c r="E32" s="352"/>
      <c r="F32" s="353"/>
      <c r="H32" s="206"/>
      <c r="I32" s="207"/>
      <c r="J32" s="205"/>
      <c r="K32" s="206"/>
    </row>
  </sheetData>
  <mergeCells count="49">
    <mergeCell ref="B3:C3"/>
    <mergeCell ref="D3:J3"/>
    <mergeCell ref="B4:F4"/>
    <mergeCell ref="G4:J5"/>
    <mergeCell ref="E5:E6"/>
    <mergeCell ref="BH4:BL5"/>
    <mergeCell ref="BM4:BU5"/>
    <mergeCell ref="B5:B6"/>
    <mergeCell ref="C5:C6"/>
    <mergeCell ref="D5:D6"/>
    <mergeCell ref="F5:F6"/>
    <mergeCell ref="R4:V5"/>
    <mergeCell ref="W4:AE5"/>
    <mergeCell ref="AG4:AL5"/>
    <mergeCell ref="AM4:AQ5"/>
    <mergeCell ref="AR4:AZ5"/>
    <mergeCell ref="BB4:BG5"/>
    <mergeCell ref="L4:Q5"/>
    <mergeCell ref="K5:K6"/>
    <mergeCell ref="AF5:AF6"/>
    <mergeCell ref="BA5:BA6"/>
    <mergeCell ref="B17:C17"/>
    <mergeCell ref="D17:J17"/>
    <mergeCell ref="B18:F18"/>
    <mergeCell ref="G18:J19"/>
    <mergeCell ref="L18:Q19"/>
    <mergeCell ref="E19:E20"/>
    <mergeCell ref="K19:K20"/>
    <mergeCell ref="BB18:BG19"/>
    <mergeCell ref="BH18:BL19"/>
    <mergeCell ref="R18:V19"/>
    <mergeCell ref="AF19:AF20"/>
    <mergeCell ref="BA19:BA20"/>
    <mergeCell ref="D32:F32"/>
    <mergeCell ref="K1:AE1"/>
    <mergeCell ref="AF1:AZ1"/>
    <mergeCell ref="BA1:BU1"/>
    <mergeCell ref="B1:J1"/>
    <mergeCell ref="B31:C31"/>
    <mergeCell ref="D31:F31"/>
    <mergeCell ref="BM18:BU19"/>
    <mergeCell ref="B19:B20"/>
    <mergeCell ref="C19:C20"/>
    <mergeCell ref="D19:D20"/>
    <mergeCell ref="F19:F20"/>
    <mergeCell ref="W18:AE19"/>
    <mergeCell ref="AG18:AL19"/>
    <mergeCell ref="AM18:AQ19"/>
    <mergeCell ref="AR18:AZ19"/>
  </mergeCells>
  <conditionalFormatting sqref="BB7:BG14 BM7:BU14">
    <cfRule type="cellIs" dxfId="7" priority="6" operator="notBetween">
      <formula>0.0001</formula>
      <formula>-0.0001</formula>
    </cfRule>
  </conditionalFormatting>
  <conditionalFormatting sqref="BH7:BL14">
    <cfRule type="cellIs" dxfId="6" priority="5" operator="notBetween">
      <formula>0.0001</formula>
      <formula>-0.0001</formula>
    </cfRule>
  </conditionalFormatting>
  <conditionalFormatting sqref="BB21:BG28 BM21:BU28">
    <cfRule type="cellIs" dxfId="5" priority="4" operator="notBetween">
      <formula>0.0001</formula>
      <formula>-0.0001</formula>
    </cfRule>
  </conditionalFormatting>
  <conditionalFormatting sqref="BH21:BL28">
    <cfRule type="cellIs" dxfId="4" priority="3" operator="notBetween">
      <formula>0.0001</formula>
      <formula>-0.0001</formula>
    </cfRule>
  </conditionalFormatting>
  <conditionalFormatting sqref="BA7:BA14 BA21:BA28">
    <cfRule type="cellIs" dxfId="3" priority="1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Y46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.7109375" customWidth="1"/>
    <col min="2" max="3" width="6.85546875" customWidth="1"/>
    <col min="4" max="6" width="10.28515625" customWidth="1"/>
    <col min="8" max="11" width="9.140625" customWidth="1"/>
    <col min="12" max="13" width="12.7109375" customWidth="1"/>
    <col min="14" max="17" width="12" customWidth="1"/>
    <col min="18" max="18" width="12" bestFit="1" customWidth="1"/>
    <col min="19" max="19" width="12" customWidth="1"/>
    <col min="20" max="33" width="12" bestFit="1" customWidth="1"/>
    <col min="34" max="35" width="12.7109375" customWidth="1"/>
    <col min="36" max="55" width="12" bestFit="1" customWidth="1"/>
    <col min="56" max="56" width="15.5703125" customWidth="1"/>
    <col min="57" max="57" width="15.7109375" customWidth="1"/>
    <col min="58" max="77" width="15" bestFit="1" customWidth="1"/>
  </cols>
  <sheetData>
    <row r="1" spans="2:77" ht="21.95" customHeight="1" thickBot="1" x14ac:dyDescent="0.4">
      <c r="B1" s="319" t="s">
        <v>98</v>
      </c>
      <c r="C1" s="394"/>
      <c r="D1" s="394"/>
      <c r="E1" s="394"/>
      <c r="F1" s="394"/>
      <c r="G1" s="394"/>
      <c r="H1" s="394"/>
      <c r="I1" s="394"/>
      <c r="J1" s="394"/>
      <c r="K1" s="395"/>
      <c r="L1" s="319" t="s">
        <v>99</v>
      </c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1"/>
      <c r="AH1" s="319" t="s">
        <v>100</v>
      </c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0"/>
      <c r="BB1" s="320"/>
      <c r="BC1" s="321"/>
      <c r="BD1" s="319" t="s">
        <v>101</v>
      </c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0"/>
      <c r="BV1" s="320"/>
      <c r="BW1" s="320"/>
      <c r="BX1" s="320"/>
      <c r="BY1" s="321"/>
    </row>
    <row r="2" spans="2:77" ht="15" customHeight="1" thickBot="1" x14ac:dyDescent="0.3"/>
    <row r="3" spans="2:77" ht="30.75" customHeight="1" thickTop="1" thickBot="1" x14ac:dyDescent="0.3">
      <c r="B3" s="343" t="s">
        <v>46</v>
      </c>
      <c r="C3" s="344"/>
      <c r="D3" s="344"/>
      <c r="E3" s="356"/>
      <c r="F3" s="356"/>
      <c r="G3" s="346" t="s">
        <v>75</v>
      </c>
      <c r="H3" s="436"/>
      <c r="I3" s="436"/>
      <c r="J3" s="436"/>
      <c r="K3" s="442"/>
    </row>
    <row r="4" spans="2:77" ht="16.5" customHeight="1" thickTop="1" thickBot="1" x14ac:dyDescent="0.3">
      <c r="B4" s="337" t="s">
        <v>76</v>
      </c>
      <c r="C4" s="338"/>
      <c r="D4" s="338"/>
      <c r="E4" s="338"/>
      <c r="F4" s="338"/>
      <c r="G4" s="339"/>
      <c r="H4" s="311" t="s">
        <v>31</v>
      </c>
      <c r="I4" s="312"/>
      <c r="J4" s="312"/>
      <c r="K4" s="313"/>
      <c r="L4" s="364" t="s">
        <v>93</v>
      </c>
      <c r="M4" s="365"/>
      <c r="N4" s="340" t="s">
        <v>21</v>
      </c>
      <c r="O4" s="341"/>
      <c r="P4" s="341"/>
      <c r="Q4" s="341"/>
      <c r="R4" s="341"/>
      <c r="S4" s="341"/>
      <c r="T4" s="294" t="s">
        <v>22</v>
      </c>
      <c r="U4" s="295"/>
      <c r="V4" s="295"/>
      <c r="W4" s="295"/>
      <c r="X4" s="296"/>
      <c r="Y4" s="304" t="s">
        <v>44</v>
      </c>
      <c r="Z4" s="305"/>
      <c r="AA4" s="305"/>
      <c r="AB4" s="305"/>
      <c r="AC4" s="305"/>
      <c r="AD4" s="305"/>
      <c r="AE4" s="305"/>
      <c r="AF4" s="305"/>
      <c r="AG4" s="403"/>
      <c r="AH4" s="364" t="s">
        <v>93</v>
      </c>
      <c r="AI4" s="365"/>
      <c r="AJ4" s="405" t="s">
        <v>21</v>
      </c>
      <c r="AK4" s="301"/>
      <c r="AL4" s="301"/>
      <c r="AM4" s="301"/>
      <c r="AN4" s="301"/>
      <c r="AO4" s="301"/>
      <c r="AP4" s="294" t="s">
        <v>22</v>
      </c>
      <c r="AQ4" s="295"/>
      <c r="AR4" s="295"/>
      <c r="AS4" s="295"/>
      <c r="AT4" s="296"/>
      <c r="AU4" s="304" t="s">
        <v>45</v>
      </c>
      <c r="AV4" s="305"/>
      <c r="AW4" s="305"/>
      <c r="AX4" s="305"/>
      <c r="AY4" s="305"/>
      <c r="AZ4" s="305"/>
      <c r="BA4" s="305"/>
      <c r="BB4" s="305"/>
      <c r="BC4" s="305"/>
      <c r="BD4" s="385" t="s">
        <v>93</v>
      </c>
      <c r="BE4" s="386"/>
      <c r="BF4" s="322" t="s">
        <v>21</v>
      </c>
      <c r="BG4" s="323"/>
      <c r="BH4" s="323"/>
      <c r="BI4" s="323"/>
      <c r="BJ4" s="323"/>
      <c r="BK4" s="323"/>
      <c r="BL4" s="322" t="s">
        <v>22</v>
      </c>
      <c r="BM4" s="323"/>
      <c r="BN4" s="323"/>
      <c r="BO4" s="323"/>
      <c r="BP4" s="324"/>
      <c r="BQ4" s="328" t="s">
        <v>45</v>
      </c>
      <c r="BR4" s="323"/>
      <c r="BS4" s="323"/>
      <c r="BT4" s="323"/>
      <c r="BU4" s="323"/>
      <c r="BV4" s="323"/>
      <c r="BW4" s="323"/>
      <c r="BX4" s="323"/>
      <c r="BY4" s="329"/>
    </row>
    <row r="5" spans="2:77" s="18" customFormat="1" ht="15" customHeight="1" thickBot="1" x14ac:dyDescent="0.3">
      <c r="B5" s="331" t="s">
        <v>0</v>
      </c>
      <c r="C5" s="309" t="s">
        <v>18</v>
      </c>
      <c r="D5" s="309" t="s">
        <v>19</v>
      </c>
      <c r="E5" s="309" t="s">
        <v>82</v>
      </c>
      <c r="F5" s="371" t="s">
        <v>83</v>
      </c>
      <c r="G5" s="362" t="s">
        <v>1</v>
      </c>
      <c r="H5" s="314"/>
      <c r="I5" s="315"/>
      <c r="J5" s="315"/>
      <c r="K5" s="316"/>
      <c r="L5" s="366" t="s">
        <v>82</v>
      </c>
      <c r="M5" s="368" t="s">
        <v>83</v>
      </c>
      <c r="N5" s="342"/>
      <c r="O5" s="342"/>
      <c r="P5" s="342"/>
      <c r="Q5" s="342"/>
      <c r="R5" s="342"/>
      <c r="S5" s="342"/>
      <c r="T5" s="297"/>
      <c r="U5" s="298"/>
      <c r="V5" s="298"/>
      <c r="W5" s="298"/>
      <c r="X5" s="299"/>
      <c r="Y5" s="307"/>
      <c r="Z5" s="307"/>
      <c r="AA5" s="307"/>
      <c r="AB5" s="307"/>
      <c r="AC5" s="307"/>
      <c r="AD5" s="307"/>
      <c r="AE5" s="307"/>
      <c r="AF5" s="307"/>
      <c r="AG5" s="404"/>
      <c r="AH5" s="366" t="s">
        <v>82</v>
      </c>
      <c r="AI5" s="368" t="s">
        <v>83</v>
      </c>
      <c r="AJ5" s="406"/>
      <c r="AK5" s="303"/>
      <c r="AL5" s="303"/>
      <c r="AM5" s="303"/>
      <c r="AN5" s="303"/>
      <c r="AO5" s="303"/>
      <c r="AP5" s="297"/>
      <c r="AQ5" s="298"/>
      <c r="AR5" s="298"/>
      <c r="AS5" s="298"/>
      <c r="AT5" s="299"/>
      <c r="AU5" s="307"/>
      <c r="AV5" s="307"/>
      <c r="AW5" s="307"/>
      <c r="AX5" s="307"/>
      <c r="AY5" s="307"/>
      <c r="AZ5" s="307"/>
      <c r="BA5" s="307"/>
      <c r="BB5" s="307"/>
      <c r="BC5" s="307"/>
      <c r="BD5" s="401" t="s">
        <v>82</v>
      </c>
      <c r="BE5" s="383" t="s">
        <v>83</v>
      </c>
      <c r="BF5" s="325"/>
      <c r="BG5" s="326"/>
      <c r="BH5" s="326"/>
      <c r="BI5" s="326"/>
      <c r="BJ5" s="326"/>
      <c r="BK5" s="326"/>
      <c r="BL5" s="325"/>
      <c r="BM5" s="326"/>
      <c r="BN5" s="326"/>
      <c r="BO5" s="326"/>
      <c r="BP5" s="327"/>
      <c r="BQ5" s="326"/>
      <c r="BR5" s="326"/>
      <c r="BS5" s="326"/>
      <c r="BT5" s="326"/>
      <c r="BU5" s="326"/>
      <c r="BV5" s="326"/>
      <c r="BW5" s="326"/>
      <c r="BX5" s="326"/>
      <c r="BY5" s="330"/>
    </row>
    <row r="6" spans="2:77" s="18" customFormat="1" ht="18" thickBot="1" x14ac:dyDescent="0.3">
      <c r="B6" s="332"/>
      <c r="C6" s="310"/>
      <c r="D6" s="310"/>
      <c r="E6" s="428"/>
      <c r="F6" s="426"/>
      <c r="G6" s="435"/>
      <c r="H6" s="19" t="s">
        <v>29</v>
      </c>
      <c r="I6" s="20" t="s">
        <v>28</v>
      </c>
      <c r="J6" s="20" t="s">
        <v>30</v>
      </c>
      <c r="K6" s="21" t="s">
        <v>27</v>
      </c>
      <c r="L6" s="367"/>
      <c r="M6" s="369"/>
      <c r="N6" s="29" t="s">
        <v>32</v>
      </c>
      <c r="O6" s="24" t="s">
        <v>34</v>
      </c>
      <c r="P6" s="24" t="s">
        <v>33</v>
      </c>
      <c r="Q6" s="24" t="s">
        <v>35</v>
      </c>
      <c r="R6" s="24" t="s">
        <v>37</v>
      </c>
      <c r="S6" s="30" t="s">
        <v>36</v>
      </c>
      <c r="T6" s="111" t="s">
        <v>38</v>
      </c>
      <c r="U6" s="22" t="s">
        <v>39</v>
      </c>
      <c r="V6" s="22" t="s">
        <v>40</v>
      </c>
      <c r="W6" s="22" t="s">
        <v>41</v>
      </c>
      <c r="X6" s="112" t="s">
        <v>42</v>
      </c>
      <c r="Y6" s="25" t="s">
        <v>11</v>
      </c>
      <c r="Z6" s="23" t="s">
        <v>13</v>
      </c>
      <c r="AA6" s="23" t="s">
        <v>23</v>
      </c>
      <c r="AB6" s="23" t="s">
        <v>24</v>
      </c>
      <c r="AC6" s="23" t="s">
        <v>12</v>
      </c>
      <c r="AD6" s="23" t="s">
        <v>25</v>
      </c>
      <c r="AE6" s="23" t="s">
        <v>26</v>
      </c>
      <c r="AF6" s="23" t="s">
        <v>10</v>
      </c>
      <c r="AG6" s="25" t="s">
        <v>9</v>
      </c>
      <c r="AH6" s="367"/>
      <c r="AI6" s="369"/>
      <c r="AJ6" s="31" t="s">
        <v>32</v>
      </c>
      <c r="AK6" s="24" t="s">
        <v>34</v>
      </c>
      <c r="AL6" s="24" t="s">
        <v>33</v>
      </c>
      <c r="AM6" s="24" t="s">
        <v>35</v>
      </c>
      <c r="AN6" s="24" t="s">
        <v>37</v>
      </c>
      <c r="AO6" s="30" t="s">
        <v>36</v>
      </c>
      <c r="AP6" s="111" t="s">
        <v>38</v>
      </c>
      <c r="AQ6" s="22" t="s">
        <v>39</v>
      </c>
      <c r="AR6" s="22" t="s">
        <v>40</v>
      </c>
      <c r="AS6" s="22" t="s">
        <v>41</v>
      </c>
      <c r="AT6" s="112" t="s">
        <v>42</v>
      </c>
      <c r="AU6" s="26" t="s">
        <v>11</v>
      </c>
      <c r="AV6" s="27" t="s">
        <v>13</v>
      </c>
      <c r="AW6" s="27" t="s">
        <v>23</v>
      </c>
      <c r="AX6" s="27" t="s">
        <v>24</v>
      </c>
      <c r="AY6" s="27" t="s">
        <v>12</v>
      </c>
      <c r="AZ6" s="27" t="s">
        <v>25</v>
      </c>
      <c r="BA6" s="27" t="s">
        <v>26</v>
      </c>
      <c r="BB6" s="27" t="s">
        <v>10</v>
      </c>
      <c r="BC6" s="28" t="s">
        <v>9</v>
      </c>
      <c r="BD6" s="402"/>
      <c r="BE6" s="384"/>
      <c r="BF6" s="32" t="s">
        <v>32</v>
      </c>
      <c r="BG6" s="33" t="s">
        <v>34</v>
      </c>
      <c r="BH6" s="33" t="s">
        <v>33</v>
      </c>
      <c r="BI6" s="33" t="s">
        <v>35</v>
      </c>
      <c r="BJ6" s="33" t="s">
        <v>37</v>
      </c>
      <c r="BK6" s="34" t="s">
        <v>36</v>
      </c>
      <c r="BL6" s="103" t="s">
        <v>38</v>
      </c>
      <c r="BM6" s="33" t="s">
        <v>39</v>
      </c>
      <c r="BN6" s="33" t="s">
        <v>40</v>
      </c>
      <c r="BO6" s="33" t="s">
        <v>41</v>
      </c>
      <c r="BP6" s="104" t="s">
        <v>42</v>
      </c>
      <c r="BQ6" s="34" t="s">
        <v>11</v>
      </c>
      <c r="BR6" s="33" t="s">
        <v>13</v>
      </c>
      <c r="BS6" s="33" t="s">
        <v>23</v>
      </c>
      <c r="BT6" s="33" t="s">
        <v>24</v>
      </c>
      <c r="BU6" s="33" t="s">
        <v>12</v>
      </c>
      <c r="BV6" s="33" t="s">
        <v>25</v>
      </c>
      <c r="BW6" s="33" t="s">
        <v>26</v>
      </c>
      <c r="BX6" s="33" t="s">
        <v>10</v>
      </c>
      <c r="BY6" s="35" t="s">
        <v>9</v>
      </c>
    </row>
    <row r="7" spans="2:77" x14ac:dyDescent="0.25">
      <c r="B7" s="84">
        <v>77</v>
      </c>
      <c r="C7" s="92">
        <v>32</v>
      </c>
      <c r="D7" s="92">
        <v>14</v>
      </c>
      <c r="E7" s="195">
        <f>SQRT(B7^2+D7^2)</f>
        <v>78.262379212492633</v>
      </c>
      <c r="F7" s="189">
        <f>SQRT(B7^2+C7^2+D7^2)</f>
        <v>84.551759295711875</v>
      </c>
      <c r="G7" s="155" t="s">
        <v>2</v>
      </c>
      <c r="H7" s="62"/>
      <c r="I7" s="53"/>
      <c r="J7" s="8">
        <v>56</v>
      </c>
      <c r="K7" s="54"/>
      <c r="L7" s="237">
        <f>SQRT(B7^2+D7^2)</f>
        <v>78.262379212492633</v>
      </c>
      <c r="M7" s="238">
        <f>SQRT(B7^2+C7^2+D7^2)</f>
        <v>84.551759295711875</v>
      </c>
      <c r="N7" s="78">
        <f>R7*100000</f>
        <v>3449.6</v>
      </c>
      <c r="O7" s="65">
        <f>R7*10000</f>
        <v>344.96</v>
      </c>
      <c r="P7" s="65">
        <f>R7*10</f>
        <v>0.34495999999999999</v>
      </c>
      <c r="Q7" s="65">
        <f>R7*1000000</f>
        <v>34496</v>
      </c>
      <c r="R7" s="65">
        <f>(B7*C7*D7)/100^3</f>
        <v>3.4495999999999999E-2</v>
      </c>
      <c r="S7" s="66">
        <f>R7*1000</f>
        <v>34.496000000000002</v>
      </c>
      <c r="T7" s="113">
        <f>W7/0.45359237</f>
        <v>68.220025620570325</v>
      </c>
      <c r="U7" s="67">
        <f>W7*1000/31.1034768</f>
        <v>994.87537363331739</v>
      </c>
      <c r="V7" s="67">
        <f>W7/1000</f>
        <v>3.0944083102695218E-2</v>
      </c>
      <c r="W7" s="67">
        <f>R7*(0.45359237/0.3048^3)*J7</f>
        <v>30.944083102695217</v>
      </c>
      <c r="X7" s="114">
        <f>W7*1000</f>
        <v>30944.083102695218</v>
      </c>
      <c r="Y7" s="80">
        <f>AD7/100</f>
        <v>7.980000000000001E-3</v>
      </c>
      <c r="Z7" s="68">
        <f>AD7/4046.8564224</f>
        <v>1.9719009441079795E-4</v>
      </c>
      <c r="AA7" s="68">
        <f>AD7*10000</f>
        <v>7980</v>
      </c>
      <c r="AB7" s="68">
        <f>AD7*100</f>
        <v>79.800000000000011</v>
      </c>
      <c r="AC7" s="68">
        <f>AD7/10000</f>
        <v>7.9800000000000002E-5</v>
      </c>
      <c r="AD7" s="68">
        <f>(2*(B7*C7+B7*D7+C7*D7))/100^2</f>
        <v>0.79800000000000004</v>
      </c>
      <c r="AE7" s="68">
        <f>AD7*1000000</f>
        <v>798000</v>
      </c>
      <c r="AF7" s="68">
        <f>AD7/144*10000/(2.54*2.54)</f>
        <v>8.5896005125343589</v>
      </c>
      <c r="AG7" s="80">
        <f>AD7*10000/(2.54 *2.54)</f>
        <v>1236.9024738049477</v>
      </c>
      <c r="AH7" s="237">
        <v>78.262</v>
      </c>
      <c r="AI7" s="238">
        <v>84.552000000000007</v>
      </c>
      <c r="AJ7" s="215">
        <v>3449.6</v>
      </c>
      <c r="AK7" s="65">
        <v>344.96</v>
      </c>
      <c r="AL7" s="65">
        <v>0.34495999999999999</v>
      </c>
      <c r="AM7" s="65">
        <v>34496</v>
      </c>
      <c r="AN7" s="65">
        <v>3.4495999999999999E-2</v>
      </c>
      <c r="AO7" s="66">
        <v>34.496000000000002</v>
      </c>
      <c r="AP7" s="113">
        <v>68.22</v>
      </c>
      <c r="AQ7" s="67">
        <v>994.875</v>
      </c>
      <c r="AR7" s="67">
        <v>3.0944099999999999E-2</v>
      </c>
      <c r="AS7" s="67">
        <v>30.944099999999999</v>
      </c>
      <c r="AT7" s="114">
        <v>30944.1</v>
      </c>
      <c r="AU7" s="121">
        <v>7.9799999999999992E-3</v>
      </c>
      <c r="AV7" s="121">
        <v>1.9719E-4</v>
      </c>
      <c r="AW7" s="68">
        <v>7980</v>
      </c>
      <c r="AX7" s="68">
        <v>79.8</v>
      </c>
      <c r="AY7" s="68">
        <v>7.9800000000000002E-5</v>
      </c>
      <c r="AZ7" s="68">
        <v>0.79800000000000004</v>
      </c>
      <c r="BA7" s="68">
        <v>798000</v>
      </c>
      <c r="BB7" s="68">
        <v>8.5896000000000008</v>
      </c>
      <c r="BC7" s="216">
        <v>1236.9000000000001</v>
      </c>
      <c r="BD7" s="249">
        <f>(L7-AH7)/L7</f>
        <v>4.845399493956761E-6</v>
      </c>
      <c r="BE7" s="250">
        <f>(M7-AI7)/M7</f>
        <v>-2.8468276726184895E-6</v>
      </c>
      <c r="BF7" s="36">
        <f t="shared" ref="BF7:BY7" si="0">(N7-AJ7)/N7</f>
        <v>0</v>
      </c>
      <c r="BG7" s="37">
        <f t="shared" si="0"/>
        <v>0</v>
      </c>
      <c r="BH7" s="37">
        <f t="shared" si="0"/>
        <v>0</v>
      </c>
      <c r="BI7" s="37">
        <f t="shared" si="0"/>
        <v>0</v>
      </c>
      <c r="BJ7" s="37">
        <f t="shared" si="0"/>
        <v>0</v>
      </c>
      <c r="BK7" s="38">
        <f t="shared" si="0"/>
        <v>0</v>
      </c>
      <c r="BL7" s="105">
        <f t="shared" si="0"/>
        <v>3.7555791123739904E-7</v>
      </c>
      <c r="BM7" s="39">
        <f t="shared" si="0"/>
        <v>3.7555791136952649E-7</v>
      </c>
      <c r="BN7" s="39">
        <f t="shared" si="0"/>
        <v>-5.4605931366586388E-7</v>
      </c>
      <c r="BO7" s="39">
        <f t="shared" si="0"/>
        <v>-5.4605931369725746E-7</v>
      </c>
      <c r="BP7" s="106">
        <f t="shared" si="0"/>
        <v>-5.4605931364031122E-7</v>
      </c>
      <c r="BQ7" s="38">
        <f t="shared" si="0"/>
        <v>2.1738389423268257E-16</v>
      </c>
      <c r="BR7" s="37">
        <f t="shared" si="0"/>
        <v>4.787806315923274E-7</v>
      </c>
      <c r="BS7" s="37">
        <f t="shared" si="0"/>
        <v>0</v>
      </c>
      <c r="BT7" s="37">
        <f t="shared" si="0"/>
        <v>1.7808088615541355E-16</v>
      </c>
      <c r="BU7" s="37">
        <f t="shared" si="0"/>
        <v>0</v>
      </c>
      <c r="BV7" s="37">
        <f t="shared" si="0"/>
        <v>0</v>
      </c>
      <c r="BW7" s="37">
        <f t="shared" si="0"/>
        <v>0</v>
      </c>
      <c r="BX7" s="37">
        <f t="shared" si="0"/>
        <v>5.9669172893192052E-8</v>
      </c>
      <c r="BY7" s="40">
        <f t="shared" si="0"/>
        <v>2.0000000000022954E-6</v>
      </c>
    </row>
    <row r="8" spans="2:77" x14ac:dyDescent="0.25">
      <c r="B8" s="86">
        <v>5</v>
      </c>
      <c r="C8" s="93">
        <v>7</v>
      </c>
      <c r="D8" s="93">
        <v>6</v>
      </c>
      <c r="E8" s="101">
        <f t="shared" ref="E8:E14" si="1">SQRT(B8^2+D8^2)</f>
        <v>7.810249675906654</v>
      </c>
      <c r="F8" s="191">
        <f t="shared" ref="F8:F14" si="2">SQRT(B8^2+C8^2+D8^2)</f>
        <v>10.488088481701515</v>
      </c>
      <c r="G8" s="156" t="s">
        <v>3</v>
      </c>
      <c r="H8" s="59"/>
      <c r="I8" s="58"/>
      <c r="J8" s="58"/>
      <c r="K8" s="14">
        <v>244</v>
      </c>
      <c r="L8" s="239">
        <f t="shared" ref="L8:L14" si="3">SQRT(B8^2+D8^2)</f>
        <v>7.810249675906654</v>
      </c>
      <c r="M8" s="240">
        <f t="shared" ref="M8:M14" si="4">SQRT(B8^2+C8^2+D8^2)</f>
        <v>10.488088481701515</v>
      </c>
      <c r="N8" s="69">
        <f t="shared" ref="N8:N14" si="5">R8*100000</f>
        <v>594653.77843200008</v>
      </c>
      <c r="O8" s="70">
        <f t="shared" ref="O8:O14" si="6">R8*10000</f>
        <v>59465.377843200011</v>
      </c>
      <c r="P8" s="70">
        <f t="shared" ref="P8:P14" si="7">R8*10</f>
        <v>59.46537784320001</v>
      </c>
      <c r="Q8" s="70">
        <f t="shared" ref="Q8:Q14" si="8">R8*1000000</f>
        <v>5946537.7843200015</v>
      </c>
      <c r="R8" s="70">
        <f>(B8*C8*D8)*0.3048^3</f>
        <v>5.9465377843200011</v>
      </c>
      <c r="S8" s="71">
        <f t="shared" ref="S8:S14" si="9">R8*1000</f>
        <v>5946.5377843200013</v>
      </c>
      <c r="T8" s="115">
        <f t="shared" ref="T8:T14" si="10">W8/0.45359237</f>
        <v>3198808.6999216508</v>
      </c>
      <c r="U8" s="72">
        <f t="shared" ref="U8:U14" si="11">W8*1000/31.1034768</f>
        <v>46649293.540524073</v>
      </c>
      <c r="V8" s="72">
        <f t="shared" ref="V8:V14" si="12">W8/1000</f>
        <v>1450.9552193740803</v>
      </c>
      <c r="W8" s="72">
        <f>R8*1000*K8</f>
        <v>1450955.2193740804</v>
      </c>
      <c r="X8" s="116">
        <f t="shared" ref="X8:X14" si="13">W8*1000</f>
        <v>1450955219.3740804</v>
      </c>
      <c r="Y8" s="81">
        <f t="shared" ref="Y8:Y14" si="14">AD8/100</f>
        <v>0.19881250560000002</v>
      </c>
      <c r="Z8" s="73">
        <f t="shared" ref="Z8:Z14" si="15">AD8/4046.8564224</f>
        <v>4.9127640036730948E-3</v>
      </c>
      <c r="AA8" s="73">
        <f t="shared" ref="AA8:AA14" si="16">AD8*10000</f>
        <v>198812.5056</v>
      </c>
      <c r="AB8" s="73">
        <f t="shared" ref="AB8:AB14" si="17">AD8*100</f>
        <v>1988.1250560000001</v>
      </c>
      <c r="AC8" s="73">
        <f t="shared" ref="AC8:AC14" si="18">AD8/10000</f>
        <v>1.9881250560000001E-3</v>
      </c>
      <c r="AD8" s="73">
        <f>(2*(B8*C8+B8*D8+C8*D8))*0.3048^2</f>
        <v>19.881250560000002</v>
      </c>
      <c r="AE8" s="73">
        <f t="shared" ref="AE8:AE14" si="19">AD8*1000000</f>
        <v>19881250.560000002</v>
      </c>
      <c r="AF8" s="73">
        <f t="shared" ref="AF8:AF14" si="20">AD8/144*10000/(2.54*2.54)</f>
        <v>214</v>
      </c>
      <c r="AG8" s="81">
        <f t="shared" ref="AG8:AG14" si="21">AD8*10000/(2.54 *2.54)</f>
        <v>30816</v>
      </c>
      <c r="AH8" s="239">
        <v>7.8102</v>
      </c>
      <c r="AI8" s="240">
        <v>10.488</v>
      </c>
      <c r="AJ8" s="217">
        <v>594654</v>
      </c>
      <c r="AK8" s="69">
        <v>59465.4</v>
      </c>
      <c r="AL8" s="70">
        <v>59.465400000000002</v>
      </c>
      <c r="AM8" s="70">
        <v>5946538</v>
      </c>
      <c r="AN8" s="70">
        <v>5.9465399999999997</v>
      </c>
      <c r="AO8" s="71">
        <v>5946.54</v>
      </c>
      <c r="AP8" s="115">
        <v>3198809</v>
      </c>
      <c r="AQ8" s="72">
        <v>46649294</v>
      </c>
      <c r="AR8" s="72">
        <v>1450.96</v>
      </c>
      <c r="AS8" s="72">
        <v>1450955</v>
      </c>
      <c r="AT8" s="116">
        <v>1450955219</v>
      </c>
      <c r="AU8" s="123">
        <v>0.19881299999999999</v>
      </c>
      <c r="AV8" s="123">
        <v>4.9127600000000004E-3</v>
      </c>
      <c r="AW8" s="73">
        <v>198813</v>
      </c>
      <c r="AX8" s="73">
        <v>1988.13</v>
      </c>
      <c r="AY8" s="73">
        <v>1.9881299999999998E-3</v>
      </c>
      <c r="AZ8" s="73">
        <v>19.8813</v>
      </c>
      <c r="BA8" s="73">
        <v>19881251</v>
      </c>
      <c r="BB8" s="73">
        <v>214</v>
      </c>
      <c r="BC8" s="218">
        <v>30816</v>
      </c>
      <c r="BD8" s="251">
        <f t="shared" ref="BD8:BD14" si="22">(L8-AH8)/L8</f>
        <v>6.3603480958089541E-6</v>
      </c>
      <c r="BE8" s="252">
        <f t="shared" ref="BE8:BE14" si="23">(M8-AI8)/M8</f>
        <v>8.4363992228181391E-6</v>
      </c>
      <c r="BF8" s="41">
        <f t="shared" ref="BF8:BK14" si="24">(N8-AJ8)/N8</f>
        <v>-3.7260000349286364E-7</v>
      </c>
      <c r="BG8" s="42">
        <f t="shared" si="24"/>
        <v>-3.7260000346839238E-7</v>
      </c>
      <c r="BH8" s="42">
        <f t="shared" si="24"/>
        <v>-3.726000035075846E-7</v>
      </c>
      <c r="BI8" s="42">
        <f t="shared" si="24"/>
        <v>-3.6269844123129424E-8</v>
      </c>
      <c r="BJ8" s="42">
        <f t="shared" si="24"/>
        <v>-3.726000033880961E-7</v>
      </c>
      <c r="BK8" s="43">
        <f t="shared" si="24"/>
        <v>-3.7260000340721426E-7</v>
      </c>
      <c r="BL8" s="107">
        <f t="shared" ref="BL8:BL14" si="25">(T8-AP8)/T8</f>
        <v>-9.380940760706323E-8</v>
      </c>
      <c r="BM8" s="44">
        <f t="shared" ref="BM8:BY14" si="26">(U8-AQ8)/U8</f>
        <v>-9.849579536627644E-9</v>
      </c>
      <c r="BN8" s="44">
        <f t="shared" si="26"/>
        <v>-3.2948128624917048E-6</v>
      </c>
      <c r="BO8" s="44">
        <f t="shared" si="26"/>
        <v>1.5119286763104766E-7</v>
      </c>
      <c r="BP8" s="108">
        <f t="shared" si="26"/>
        <v>2.5781665384668299E-10</v>
      </c>
      <c r="BQ8" s="43">
        <f t="shared" si="26"/>
        <v>-2.4867650979766404E-6</v>
      </c>
      <c r="BR8" s="42">
        <f t="shared" si="26"/>
        <v>8.149532709998517E-7</v>
      </c>
      <c r="BS8" s="42">
        <f t="shared" si="26"/>
        <v>-2.4867650981204107E-6</v>
      </c>
      <c r="BT8" s="42">
        <f t="shared" si="26"/>
        <v>-2.4867650981524332E-6</v>
      </c>
      <c r="BU8" s="42">
        <f t="shared" si="26"/>
        <v>-2.4867650980202677E-6</v>
      </c>
      <c r="BV8" s="42">
        <f t="shared" si="26"/>
        <v>-2.4867650980380672E-6</v>
      </c>
      <c r="BW8" s="42">
        <f t="shared" si="26"/>
        <v>-2.2131404475182781E-8</v>
      </c>
      <c r="BX8" s="42">
        <f t="shared" si="26"/>
        <v>0</v>
      </c>
      <c r="BY8" s="45">
        <f t="shared" si="26"/>
        <v>0</v>
      </c>
    </row>
    <row r="9" spans="2:77" x14ac:dyDescent="0.25">
      <c r="B9" s="86">
        <v>19</v>
      </c>
      <c r="C9" s="93">
        <v>16</v>
      </c>
      <c r="D9" s="93">
        <v>23</v>
      </c>
      <c r="E9" s="101">
        <f t="shared" si="1"/>
        <v>29.832867780352597</v>
      </c>
      <c r="F9" s="191">
        <f t="shared" si="2"/>
        <v>33.852621759621513</v>
      </c>
      <c r="G9" s="156" t="s">
        <v>4</v>
      </c>
      <c r="H9" s="11">
        <v>67</v>
      </c>
      <c r="I9" s="56"/>
      <c r="J9" s="56"/>
      <c r="K9" s="55"/>
      <c r="L9" s="239">
        <f t="shared" si="3"/>
        <v>29.832867780352597</v>
      </c>
      <c r="M9" s="240">
        <f t="shared" si="4"/>
        <v>33.852621759621513</v>
      </c>
      <c r="N9" s="69">
        <f t="shared" si="5"/>
        <v>11457.835148799999</v>
      </c>
      <c r="O9" s="70">
        <f t="shared" si="6"/>
        <v>1145.78351488</v>
      </c>
      <c r="P9" s="70">
        <f t="shared" si="7"/>
        <v>1.14578351488</v>
      </c>
      <c r="Q9" s="70">
        <f t="shared" si="8"/>
        <v>114578.351488</v>
      </c>
      <c r="R9" s="70">
        <f>(B9*C9*D9)*(2.54/100)^3</f>
        <v>0.114578351488</v>
      </c>
      <c r="S9" s="71">
        <f t="shared" si="9"/>
        <v>114.578351488</v>
      </c>
      <c r="T9" s="115">
        <f t="shared" si="10"/>
        <v>16.924335719527203</v>
      </c>
      <c r="U9" s="72">
        <f t="shared" si="11"/>
        <v>246.81322924310507</v>
      </c>
      <c r="V9" s="72">
        <f t="shared" si="12"/>
        <v>7.6767495496959997E-3</v>
      </c>
      <c r="W9" s="72">
        <f>R9*H9</f>
        <v>7.6767495496959999</v>
      </c>
      <c r="X9" s="116">
        <f t="shared" si="13"/>
        <v>7676.749549696</v>
      </c>
      <c r="Y9" s="81">
        <f t="shared" si="14"/>
        <v>1.4309648799999998E-2</v>
      </c>
      <c r="Z9" s="73">
        <f t="shared" si="15"/>
        <v>3.5359912253851646E-4</v>
      </c>
      <c r="AA9" s="73">
        <f t="shared" si="16"/>
        <v>14309.648799999999</v>
      </c>
      <c r="AB9" s="73">
        <f t="shared" si="17"/>
        <v>143.09648799999999</v>
      </c>
      <c r="AC9" s="73">
        <f t="shared" si="18"/>
        <v>1.43096488E-4</v>
      </c>
      <c r="AD9" s="73">
        <f>(2*(B9*C9+B9*D9+C9*D9))*(2.54/100)^2</f>
        <v>1.4309648799999999</v>
      </c>
      <c r="AE9" s="73">
        <f t="shared" si="19"/>
        <v>1430964.88</v>
      </c>
      <c r="AF9" s="73">
        <f t="shared" si="20"/>
        <v>15.402777777777775</v>
      </c>
      <c r="AG9" s="81">
        <f t="shared" si="21"/>
        <v>2218</v>
      </c>
      <c r="AH9" s="239">
        <v>29.832999999999998</v>
      </c>
      <c r="AI9" s="240">
        <v>33.853000000000002</v>
      </c>
      <c r="AJ9" s="217">
        <v>11457.8</v>
      </c>
      <c r="AK9" s="70">
        <v>1145.78</v>
      </c>
      <c r="AL9" s="70">
        <v>1.14578</v>
      </c>
      <c r="AM9" s="70">
        <v>114578</v>
      </c>
      <c r="AN9" s="70">
        <v>0.114578</v>
      </c>
      <c r="AO9" s="71">
        <v>114.578</v>
      </c>
      <c r="AP9" s="115">
        <v>16.924299999999999</v>
      </c>
      <c r="AQ9" s="72">
        <v>246.81299999999999</v>
      </c>
      <c r="AR9" s="72">
        <v>7.6767500000000004E-3</v>
      </c>
      <c r="AS9" s="72">
        <v>7.6767500000000002</v>
      </c>
      <c r="AT9" s="116">
        <v>7676.75</v>
      </c>
      <c r="AU9" s="123">
        <v>1.43096E-2</v>
      </c>
      <c r="AV9" s="123">
        <v>3.5359900000000001E-4</v>
      </c>
      <c r="AW9" s="73">
        <v>14309.6</v>
      </c>
      <c r="AX9" s="73">
        <v>143.096</v>
      </c>
      <c r="AY9" s="73">
        <v>1.43096E-4</v>
      </c>
      <c r="AZ9" s="73">
        <v>1.43096</v>
      </c>
      <c r="BA9" s="73">
        <v>1430965</v>
      </c>
      <c r="BB9" s="73">
        <v>15.402799999999999</v>
      </c>
      <c r="BC9" s="218">
        <v>2218</v>
      </c>
      <c r="BD9" s="251">
        <f t="shared" si="22"/>
        <v>-4.4320126504390833E-6</v>
      </c>
      <c r="BE9" s="252">
        <f t="shared" si="23"/>
        <v>-1.1173148749718692E-5</v>
      </c>
      <c r="BF9" s="41">
        <f t="shared" si="24"/>
        <v>3.0676650120369289E-6</v>
      </c>
      <c r="BG9" s="42">
        <f t="shared" si="24"/>
        <v>3.0676650120766175E-6</v>
      </c>
      <c r="BH9" s="42">
        <f t="shared" si="24"/>
        <v>3.0676650120177043E-6</v>
      </c>
      <c r="BI9" s="42">
        <f t="shared" si="24"/>
        <v>3.0676650120686796E-6</v>
      </c>
      <c r="BJ9" s="42">
        <f t="shared" si="24"/>
        <v>3.0676650120419286E-6</v>
      </c>
      <c r="BK9" s="43">
        <f t="shared" si="24"/>
        <v>3.067665012002201E-6</v>
      </c>
      <c r="BL9" s="107">
        <f t="shared" si="25"/>
        <v>2.1105423454392308E-6</v>
      </c>
      <c r="BM9" s="44">
        <f t="shared" si="26"/>
        <v>9.2881206483498013E-7</v>
      </c>
      <c r="BN9" s="44">
        <f t="shared" si="26"/>
        <v>-5.8658159650737875E-8</v>
      </c>
      <c r="BO9" s="44">
        <f t="shared" si="26"/>
        <v>-5.8658159601928118E-8</v>
      </c>
      <c r="BP9" s="108">
        <f t="shared" si="26"/>
        <v>-5.8658159557500393E-8</v>
      </c>
      <c r="BQ9" s="43">
        <f t="shared" si="26"/>
        <v>3.410286351511236E-6</v>
      </c>
      <c r="BR9" s="42">
        <f t="shared" si="26"/>
        <v>3.4654643813451565E-7</v>
      </c>
      <c r="BS9" s="42">
        <f t="shared" si="26"/>
        <v>3.4102863515884566E-6</v>
      </c>
      <c r="BT9" s="42">
        <f t="shared" si="26"/>
        <v>3.4102863516122908E-6</v>
      </c>
      <c r="BU9" s="42">
        <f t="shared" si="26"/>
        <v>3.4102863516930766E-6</v>
      </c>
      <c r="BV9" s="42">
        <f t="shared" si="26"/>
        <v>3.4102863515936705E-6</v>
      </c>
      <c r="BW9" s="42">
        <f t="shared" si="26"/>
        <v>-8.3859500529292317E-8</v>
      </c>
      <c r="BX9" s="42">
        <f t="shared" si="26"/>
        <v>-1.442741208420541E-6</v>
      </c>
      <c r="BY9" s="45">
        <f t="shared" si="26"/>
        <v>0</v>
      </c>
    </row>
    <row r="10" spans="2:77" x14ac:dyDescent="0.25">
      <c r="B10" s="86">
        <v>45</v>
      </c>
      <c r="C10" s="93">
        <v>77</v>
      </c>
      <c r="D10" s="93">
        <v>34</v>
      </c>
      <c r="E10" s="101">
        <f t="shared" si="1"/>
        <v>56.400354608814297</v>
      </c>
      <c r="F10" s="191">
        <f t="shared" si="2"/>
        <v>95.446319991920063</v>
      </c>
      <c r="G10" s="156" t="s">
        <v>5</v>
      </c>
      <c r="H10" s="59"/>
      <c r="I10" s="5">
        <v>153</v>
      </c>
      <c r="J10" s="56"/>
      <c r="K10" s="57"/>
      <c r="L10" s="239">
        <f t="shared" si="3"/>
        <v>56.400354608814297</v>
      </c>
      <c r="M10" s="240">
        <f t="shared" si="4"/>
        <v>95.446319991920063</v>
      </c>
      <c r="N10" s="69">
        <f t="shared" si="5"/>
        <v>11781000000</v>
      </c>
      <c r="O10" s="70">
        <f t="shared" si="6"/>
        <v>1178100000</v>
      </c>
      <c r="P10" s="70">
        <f t="shared" si="7"/>
        <v>1178100</v>
      </c>
      <c r="Q10" s="70">
        <f t="shared" si="8"/>
        <v>117810000000</v>
      </c>
      <c r="R10" s="70">
        <f>B10*C10*D10</f>
        <v>117810</v>
      </c>
      <c r="S10" s="71">
        <f t="shared" si="9"/>
        <v>117810000</v>
      </c>
      <c r="T10" s="115">
        <f t="shared" si="10"/>
        <v>39738168435.240654</v>
      </c>
      <c r="U10" s="72">
        <f t="shared" si="11"/>
        <v>579514956347.25952</v>
      </c>
      <c r="V10" s="72">
        <f t="shared" si="12"/>
        <v>18024930</v>
      </c>
      <c r="W10" s="72">
        <f>R10*1000*I10</f>
        <v>18024930000</v>
      </c>
      <c r="X10" s="116">
        <f t="shared" si="13"/>
        <v>18024930000000</v>
      </c>
      <c r="Y10" s="81">
        <f t="shared" si="14"/>
        <v>152.26</v>
      </c>
      <c r="Z10" s="73">
        <f t="shared" si="15"/>
        <v>3.7624265382190591</v>
      </c>
      <c r="AA10" s="73">
        <f t="shared" si="16"/>
        <v>152260000</v>
      </c>
      <c r="AB10" s="73">
        <f t="shared" si="17"/>
        <v>1522600</v>
      </c>
      <c r="AC10" s="73">
        <f t="shared" si="18"/>
        <v>1.5226</v>
      </c>
      <c r="AD10" s="73">
        <f>2*(B10*C10+B10*D10+C10*D10)</f>
        <v>15226</v>
      </c>
      <c r="AE10" s="73">
        <f t="shared" si="19"/>
        <v>15226000000</v>
      </c>
      <c r="AF10" s="73">
        <f t="shared" si="20"/>
        <v>163891.30000482226</v>
      </c>
      <c r="AG10" s="81">
        <f t="shared" si="21"/>
        <v>23600347.200694401</v>
      </c>
      <c r="AH10" s="241">
        <v>56.4</v>
      </c>
      <c r="AI10" s="242">
        <v>95.445999999999998</v>
      </c>
      <c r="AJ10" s="217">
        <v>11781000000</v>
      </c>
      <c r="AK10" s="70">
        <v>1178100000</v>
      </c>
      <c r="AL10" s="70">
        <v>1178100</v>
      </c>
      <c r="AM10" s="70">
        <v>117810000000</v>
      </c>
      <c r="AN10" s="70">
        <v>117810</v>
      </c>
      <c r="AO10" s="71">
        <v>117810000</v>
      </c>
      <c r="AP10" s="115">
        <v>39738168435</v>
      </c>
      <c r="AQ10" s="72">
        <v>579514956347</v>
      </c>
      <c r="AR10" s="72">
        <v>18024930</v>
      </c>
      <c r="AS10" s="72">
        <v>18024930000</v>
      </c>
      <c r="AT10" s="116">
        <v>18024930000000</v>
      </c>
      <c r="AU10" s="123">
        <v>152.26</v>
      </c>
      <c r="AV10" s="123">
        <v>3.7624300000000002</v>
      </c>
      <c r="AW10" s="73">
        <v>152260000</v>
      </c>
      <c r="AX10" s="73">
        <v>1522600</v>
      </c>
      <c r="AY10" s="73">
        <v>1.5226</v>
      </c>
      <c r="AZ10" s="73">
        <v>15226</v>
      </c>
      <c r="BA10" s="73">
        <v>15226000000</v>
      </c>
      <c r="BB10" s="73">
        <v>163891</v>
      </c>
      <c r="BC10" s="218">
        <v>23600347</v>
      </c>
      <c r="BD10" s="251">
        <f t="shared" si="22"/>
        <v>6.2873507934089372E-6</v>
      </c>
      <c r="BE10" s="252">
        <f t="shared" si="23"/>
        <v>3.3525852027869209E-6</v>
      </c>
      <c r="BF10" s="41">
        <f t="shared" si="24"/>
        <v>0</v>
      </c>
      <c r="BG10" s="42">
        <f t="shared" si="24"/>
        <v>0</v>
      </c>
      <c r="BH10" s="42">
        <f t="shared" si="24"/>
        <v>0</v>
      </c>
      <c r="BI10" s="42">
        <f t="shared" si="24"/>
        <v>0</v>
      </c>
      <c r="BJ10" s="42">
        <f t="shared" si="24"/>
        <v>0</v>
      </c>
      <c r="BK10" s="43">
        <f t="shared" si="24"/>
        <v>0</v>
      </c>
      <c r="BL10" s="107">
        <f t="shared" si="25"/>
        <v>6.055991032686893E-12</v>
      </c>
      <c r="BM10" s="44">
        <f t="shared" si="26"/>
        <v>4.4782534347480822E-13</v>
      </c>
      <c r="BN10" s="44">
        <f t="shared" si="26"/>
        <v>0</v>
      </c>
      <c r="BO10" s="44">
        <f t="shared" si="26"/>
        <v>0</v>
      </c>
      <c r="BP10" s="108">
        <f t="shared" si="26"/>
        <v>0</v>
      </c>
      <c r="BQ10" s="43">
        <f t="shared" si="26"/>
        <v>0</v>
      </c>
      <c r="BR10" s="42">
        <f t="shared" si="26"/>
        <v>-9.2009263326509691E-7</v>
      </c>
      <c r="BS10" s="42">
        <f t="shared" si="26"/>
        <v>0</v>
      </c>
      <c r="BT10" s="42">
        <f t="shared" si="26"/>
        <v>0</v>
      </c>
      <c r="BU10" s="42">
        <f t="shared" si="26"/>
        <v>0</v>
      </c>
      <c r="BV10" s="42">
        <f t="shared" si="26"/>
        <v>0</v>
      </c>
      <c r="BW10" s="42">
        <f t="shared" si="26"/>
        <v>0</v>
      </c>
      <c r="BX10" s="42">
        <f t="shared" si="26"/>
        <v>1.8305109682540032E-6</v>
      </c>
      <c r="BY10" s="45">
        <f t="shared" si="26"/>
        <v>8.5038749265201808E-9</v>
      </c>
    </row>
    <row r="11" spans="2:77" x14ac:dyDescent="0.25">
      <c r="B11" s="90">
        <v>0.34</v>
      </c>
      <c r="C11" s="100">
        <v>0.44</v>
      </c>
      <c r="D11" s="100">
        <v>0.34</v>
      </c>
      <c r="E11" s="101">
        <f t="shared" si="1"/>
        <v>0.48083261120685239</v>
      </c>
      <c r="F11" s="191">
        <f t="shared" si="2"/>
        <v>0.65176682947201303</v>
      </c>
      <c r="G11" s="156" t="s">
        <v>6</v>
      </c>
      <c r="H11" s="59"/>
      <c r="I11" s="58"/>
      <c r="J11" s="4">
        <v>267</v>
      </c>
      <c r="K11" s="55"/>
      <c r="L11" s="239">
        <f t="shared" si="3"/>
        <v>0.48083261120685239</v>
      </c>
      <c r="M11" s="240">
        <f t="shared" si="4"/>
        <v>0.65176682947201303</v>
      </c>
      <c r="N11" s="69">
        <f t="shared" si="5"/>
        <v>21201040036920.969</v>
      </c>
      <c r="O11" s="70">
        <f t="shared" si="6"/>
        <v>2120104003692.0967</v>
      </c>
      <c r="P11" s="70">
        <f t="shared" si="7"/>
        <v>2120104003.6920967</v>
      </c>
      <c r="Q11" s="70">
        <f t="shared" si="8"/>
        <v>212010400369209.69</v>
      </c>
      <c r="R11" s="70">
        <f>(B11*C11*D11)*(63360*2.54/100)^3</f>
        <v>212010400.36920968</v>
      </c>
      <c r="S11" s="71">
        <f t="shared" si="9"/>
        <v>212010400369.20969</v>
      </c>
      <c r="T11" s="115">
        <f t="shared" si="10"/>
        <v>1999049460350.9761</v>
      </c>
      <c r="U11" s="72">
        <f t="shared" si="11"/>
        <v>29152804630118.402</v>
      </c>
      <c r="V11" s="72">
        <f t="shared" si="12"/>
        <v>906753582.46782029</v>
      </c>
      <c r="W11" s="72">
        <f>R11*(0.45359237/0.3048^3)*J11</f>
        <v>906753582467.82031</v>
      </c>
      <c r="X11" s="116">
        <f t="shared" si="13"/>
        <v>906753582467820.25</v>
      </c>
      <c r="Y11" s="81">
        <f t="shared" si="14"/>
        <v>21486.54136334746</v>
      </c>
      <c r="Z11" s="73">
        <f t="shared" si="15"/>
        <v>530.94400000000007</v>
      </c>
      <c r="AA11" s="73">
        <f t="shared" si="16"/>
        <v>21486541363.347462</v>
      </c>
      <c r="AB11" s="73">
        <f t="shared" si="17"/>
        <v>214865413.63347462</v>
      </c>
      <c r="AC11" s="73">
        <f t="shared" si="18"/>
        <v>214.86541363347462</v>
      </c>
      <c r="AD11" s="73">
        <f>(2*(B11*C11+B11*D11+C11*D11))*(63360*2.54/100)^2</f>
        <v>2148654.1363347461</v>
      </c>
      <c r="AE11" s="73">
        <f t="shared" si="19"/>
        <v>2148654136334.7461</v>
      </c>
      <c r="AF11" s="73">
        <f t="shared" si="20"/>
        <v>23127920.640000008</v>
      </c>
      <c r="AG11" s="81">
        <f t="shared" si="21"/>
        <v>3330420572.1600008</v>
      </c>
      <c r="AH11" s="239">
        <v>0.48080000000000001</v>
      </c>
      <c r="AI11" s="240">
        <v>0.65180000000000005</v>
      </c>
      <c r="AJ11" s="217">
        <v>21201040036921</v>
      </c>
      <c r="AK11" s="70">
        <v>2120104003692</v>
      </c>
      <c r="AL11" s="70">
        <v>2120104004</v>
      </c>
      <c r="AM11" s="70">
        <v>212010400369210</v>
      </c>
      <c r="AN11" s="70">
        <v>212010400</v>
      </c>
      <c r="AO11" s="71">
        <v>212010400369</v>
      </c>
      <c r="AP11" s="115">
        <v>1999049460351</v>
      </c>
      <c r="AQ11" s="72">
        <v>29152804630118</v>
      </c>
      <c r="AR11" s="72">
        <v>906753582</v>
      </c>
      <c r="AS11" s="72">
        <v>906753582468</v>
      </c>
      <c r="AT11" s="116">
        <v>906753582467820</v>
      </c>
      <c r="AU11" s="123">
        <v>21486.5</v>
      </c>
      <c r="AV11" s="123">
        <v>530.94399999999996</v>
      </c>
      <c r="AW11" s="73">
        <v>21486541363</v>
      </c>
      <c r="AX11" s="73">
        <v>214865414</v>
      </c>
      <c r="AY11" s="73">
        <v>214.86500000000001</v>
      </c>
      <c r="AZ11" s="73">
        <v>2148654</v>
      </c>
      <c r="BA11" s="73">
        <v>2148654136335</v>
      </c>
      <c r="BB11" s="73">
        <v>23127921</v>
      </c>
      <c r="BC11" s="218">
        <v>3330420572</v>
      </c>
      <c r="BD11" s="251">
        <f t="shared" si="22"/>
        <v>6.7822369141170961E-5</v>
      </c>
      <c r="BE11" s="252">
        <f t="shared" si="23"/>
        <v>-5.0893243545218805E-5</v>
      </c>
      <c r="BF11" s="41">
        <f t="shared" si="24"/>
        <v>-1.4739842925431522E-15</v>
      </c>
      <c r="BG11" s="42">
        <f t="shared" si="24"/>
        <v>4.5601389050553777E-14</v>
      </c>
      <c r="BH11" s="42">
        <f t="shared" si="24"/>
        <v>-1.4523027608962469E-10</v>
      </c>
      <c r="BI11" s="42">
        <f t="shared" si="24"/>
        <v>-1.4739842925431522E-15</v>
      </c>
      <c r="BJ11" s="42">
        <f t="shared" si="24"/>
        <v>1.7414696464796294E-9</v>
      </c>
      <c r="BK11" s="43">
        <f t="shared" si="24"/>
        <v>9.8903770254531237E-13</v>
      </c>
      <c r="BL11" s="107">
        <f t="shared" si="25"/>
        <v>-1.1968578929407436E-14</v>
      </c>
      <c r="BM11" s="44">
        <f t="shared" si="26"/>
        <v>1.3801202152067724E-14</v>
      </c>
      <c r="BN11" s="44">
        <f t="shared" si="26"/>
        <v>5.159287989550302E-10</v>
      </c>
      <c r="BO11" s="44">
        <f t="shared" si="26"/>
        <v>-1.9816574588099509E-13</v>
      </c>
      <c r="BP11" s="108">
        <f t="shared" si="26"/>
        <v>2.7570886383442794E-16</v>
      </c>
      <c r="BQ11" s="43">
        <f t="shared" si="26"/>
        <v>1.9250816946533359E-6</v>
      </c>
      <c r="BR11" s="42">
        <f t="shared" si="26"/>
        <v>2.1412208768084019E-16</v>
      </c>
      <c r="BS11" s="42">
        <f t="shared" si="26"/>
        <v>1.6171132178218601E-11</v>
      </c>
      <c r="BT11" s="42">
        <f t="shared" si="26"/>
        <v>-1.7058370428511363E-9</v>
      </c>
      <c r="BU11" s="42">
        <f t="shared" si="26"/>
        <v>1.9250816946903732E-6</v>
      </c>
      <c r="BV11" s="42">
        <f t="shared" si="26"/>
        <v>6.3451229231930658E-8</v>
      </c>
      <c r="BW11" s="42">
        <f t="shared" si="26"/>
        <v>-1.181699025945249E-13</v>
      </c>
      <c r="BX11" s="42">
        <f t="shared" si="26"/>
        <v>-1.5565601316131672E-8</v>
      </c>
      <c r="BY11" s="45">
        <f t="shared" si="26"/>
        <v>4.8042220980713721E-11</v>
      </c>
    </row>
    <row r="12" spans="2:77" x14ac:dyDescent="0.25">
      <c r="B12" s="86">
        <v>59</v>
      </c>
      <c r="C12" s="93">
        <v>45</v>
      </c>
      <c r="D12" s="93">
        <v>99</v>
      </c>
      <c r="E12" s="101">
        <f t="shared" si="1"/>
        <v>115.24755962709145</v>
      </c>
      <c r="F12" s="191">
        <f t="shared" si="2"/>
        <v>123.72146135574054</v>
      </c>
      <c r="G12" s="156" t="s">
        <v>7</v>
      </c>
      <c r="H12" s="59"/>
      <c r="I12" s="58"/>
      <c r="J12" s="58"/>
      <c r="K12" s="14">
        <v>443</v>
      </c>
      <c r="L12" s="239">
        <f t="shared" si="3"/>
        <v>115.24755962709145</v>
      </c>
      <c r="M12" s="240">
        <f t="shared" si="4"/>
        <v>123.72146135574054</v>
      </c>
      <c r="N12" s="69">
        <f t="shared" si="5"/>
        <v>26.284499999999998</v>
      </c>
      <c r="O12" s="70">
        <f t="shared" si="6"/>
        <v>2.62845</v>
      </c>
      <c r="P12" s="70">
        <f t="shared" si="7"/>
        <v>2.6284500000000001E-3</v>
      </c>
      <c r="Q12" s="70">
        <f t="shared" si="8"/>
        <v>262.84499999999997</v>
      </c>
      <c r="R12" s="70">
        <f>(B12*C12*D12)/1000^3</f>
        <v>2.6284499999999999E-4</v>
      </c>
      <c r="S12" s="71">
        <f t="shared" si="9"/>
        <v>0.262845</v>
      </c>
      <c r="T12" s="115">
        <f t="shared" si="10"/>
        <v>256.70699663664976</v>
      </c>
      <c r="U12" s="72">
        <f t="shared" si="11"/>
        <v>3743.6437009511428</v>
      </c>
      <c r="V12" s="72">
        <f t="shared" si="12"/>
        <v>0.11644033500000001</v>
      </c>
      <c r="W12" s="72">
        <f>R12*1000*K12</f>
        <v>116.440335</v>
      </c>
      <c r="X12" s="116">
        <f t="shared" si="13"/>
        <v>116440.33500000001</v>
      </c>
      <c r="Y12" s="81">
        <f t="shared" si="14"/>
        <v>2.5902E-4</v>
      </c>
      <c r="Z12" s="73">
        <f t="shared" si="15"/>
        <v>6.400523590762517E-6</v>
      </c>
      <c r="AA12" s="73">
        <f t="shared" si="16"/>
        <v>259.02000000000004</v>
      </c>
      <c r="AB12" s="73">
        <f t="shared" si="17"/>
        <v>2.5902000000000003</v>
      </c>
      <c r="AC12" s="73">
        <f t="shared" si="18"/>
        <v>2.5902000000000002E-6</v>
      </c>
      <c r="AD12" s="73">
        <f>(2*(B12*C12+B12*D12+C12*D12))/1000^2</f>
        <v>2.5902000000000001E-2</v>
      </c>
      <c r="AE12" s="73">
        <f t="shared" si="19"/>
        <v>25902</v>
      </c>
      <c r="AF12" s="73">
        <f t="shared" si="20"/>
        <v>0.27880680761361526</v>
      </c>
      <c r="AG12" s="81">
        <f t="shared" si="21"/>
        <v>40.1481802963606</v>
      </c>
      <c r="AH12" s="239">
        <v>115.25</v>
      </c>
      <c r="AI12" s="240">
        <v>123.72</v>
      </c>
      <c r="AJ12" s="217">
        <v>26.284500000000001</v>
      </c>
      <c r="AK12" s="70">
        <v>2.62845</v>
      </c>
      <c r="AL12" s="70">
        <v>2.6284500000000001E-3</v>
      </c>
      <c r="AM12" s="70">
        <v>262.84500000000003</v>
      </c>
      <c r="AN12" s="70">
        <v>2.6284499999999999E-4</v>
      </c>
      <c r="AO12" s="71">
        <v>0.262845</v>
      </c>
      <c r="AP12" s="115">
        <v>256.70699999999999</v>
      </c>
      <c r="AQ12" s="72">
        <v>3743.64</v>
      </c>
      <c r="AR12" s="72">
        <v>0.11644</v>
      </c>
      <c r="AS12" s="72">
        <v>116.44</v>
      </c>
      <c r="AT12" s="116">
        <v>116440</v>
      </c>
      <c r="AU12" s="123">
        <v>2.5902E-4</v>
      </c>
      <c r="AV12" s="123">
        <v>6.4005235907625196E-6</v>
      </c>
      <c r="AW12" s="73">
        <v>259.02</v>
      </c>
      <c r="AX12" s="73">
        <v>2.5901999999999998</v>
      </c>
      <c r="AY12" s="73">
        <v>2.5902000000000002E-6</v>
      </c>
      <c r="AZ12" s="73">
        <v>2.5902000000000001E-2</v>
      </c>
      <c r="BA12" s="73">
        <v>25902</v>
      </c>
      <c r="BB12" s="73">
        <v>0.27880700000000003</v>
      </c>
      <c r="BC12" s="218">
        <v>40.148200000000003</v>
      </c>
      <c r="BD12" s="251">
        <f t="shared" si="22"/>
        <v>-2.11750506166759E-5</v>
      </c>
      <c r="BE12" s="252">
        <f t="shared" si="23"/>
        <v>1.1811659226554996E-5</v>
      </c>
      <c r="BF12" s="41">
        <f t="shared" si="24"/>
        <v>-1.3516382958779894E-16</v>
      </c>
      <c r="BG12" s="42">
        <f t="shared" si="24"/>
        <v>0</v>
      </c>
      <c r="BH12" s="42">
        <f t="shared" si="24"/>
        <v>0</v>
      </c>
      <c r="BI12" s="42">
        <f t="shared" si="24"/>
        <v>-2.162621273404783E-16</v>
      </c>
      <c r="BJ12" s="42">
        <f t="shared" si="24"/>
        <v>0</v>
      </c>
      <c r="BK12" s="43">
        <f t="shared" si="24"/>
        <v>0</v>
      </c>
      <c r="BL12" s="107">
        <f t="shared" si="25"/>
        <v>-1.3101903240962109E-8</v>
      </c>
      <c r="BM12" s="44">
        <f t="shared" si="26"/>
        <v>9.8859598791565034E-7</v>
      </c>
      <c r="BN12" s="44">
        <f t="shared" si="26"/>
        <v>2.8770099296268947E-6</v>
      </c>
      <c r="BO12" s="44">
        <f t="shared" si="26"/>
        <v>2.8770099296507314E-6</v>
      </c>
      <c r="BP12" s="108">
        <f t="shared" si="26"/>
        <v>2.8770099296468258E-6</v>
      </c>
      <c r="BQ12" s="43">
        <f t="shared" si="26"/>
        <v>0</v>
      </c>
      <c r="BR12" s="42">
        <f t="shared" si="26"/>
        <v>-3.9701421387311392E-16</v>
      </c>
      <c r="BS12" s="42">
        <f t="shared" si="26"/>
        <v>2.1945571330711145E-16</v>
      </c>
      <c r="BT12" s="42">
        <f t="shared" si="26"/>
        <v>1.7144977602118083E-16</v>
      </c>
      <c r="BU12" s="42">
        <f t="shared" si="26"/>
        <v>0</v>
      </c>
      <c r="BV12" s="42">
        <f t="shared" si="26"/>
        <v>0</v>
      </c>
      <c r="BW12" s="42">
        <f t="shared" si="26"/>
        <v>0</v>
      </c>
      <c r="BX12" s="42">
        <f t="shared" si="26"/>
        <v>-6.9003474633267696E-7</v>
      </c>
      <c r="BY12" s="45">
        <f t="shared" si="26"/>
        <v>-4.9077291317537311E-7</v>
      </c>
    </row>
    <row r="13" spans="2:77" x14ac:dyDescent="0.25">
      <c r="B13" s="86">
        <v>177</v>
      </c>
      <c r="C13" s="93">
        <v>124</v>
      </c>
      <c r="D13" s="93">
        <v>167</v>
      </c>
      <c r="E13" s="101">
        <f t="shared" si="1"/>
        <v>243.34748817277733</v>
      </c>
      <c r="F13" s="191">
        <f t="shared" si="2"/>
        <v>273.11902167370181</v>
      </c>
      <c r="G13" s="156" t="s">
        <v>8</v>
      </c>
      <c r="H13" s="11">
        <v>388</v>
      </c>
      <c r="I13" s="58"/>
      <c r="J13" s="58"/>
      <c r="K13" s="55"/>
      <c r="L13" s="239">
        <f t="shared" si="3"/>
        <v>243.34748817277733</v>
      </c>
      <c r="M13" s="240">
        <f t="shared" si="4"/>
        <v>273.11902167370181</v>
      </c>
      <c r="N13" s="69">
        <f t="shared" si="5"/>
        <v>280233515384.64832</v>
      </c>
      <c r="O13" s="70">
        <f t="shared" si="6"/>
        <v>28023351538.464832</v>
      </c>
      <c r="P13" s="70">
        <f t="shared" si="7"/>
        <v>28023351.538464833</v>
      </c>
      <c r="Q13" s="70">
        <f t="shared" si="8"/>
        <v>2802335153846.4834</v>
      </c>
      <c r="R13" s="70">
        <f>(B13*C13*D13)*0.9144^3</f>
        <v>2802335.1538464832</v>
      </c>
      <c r="S13" s="71">
        <f t="shared" si="9"/>
        <v>2802335153.8464832</v>
      </c>
      <c r="T13" s="115">
        <f t="shared" si="10"/>
        <v>2397099491.9787459</v>
      </c>
      <c r="U13" s="72">
        <f t="shared" si="11"/>
        <v>34957700924.690048</v>
      </c>
      <c r="V13" s="72">
        <f t="shared" si="12"/>
        <v>1087306.0396924354</v>
      </c>
      <c r="W13" s="72">
        <f>R13*H13</f>
        <v>1087306039.6924355</v>
      </c>
      <c r="X13" s="116">
        <f t="shared" si="13"/>
        <v>1087306039692.4355</v>
      </c>
      <c r="Y13" s="81">
        <f t="shared" si="14"/>
        <v>1207.618746048</v>
      </c>
      <c r="Z13" s="73">
        <f t="shared" si="15"/>
        <v>29.84090909090909</v>
      </c>
      <c r="AA13" s="73">
        <f t="shared" si="16"/>
        <v>1207618746.0480001</v>
      </c>
      <c r="AB13" s="73">
        <f t="shared" si="17"/>
        <v>12076187.460480001</v>
      </c>
      <c r="AC13" s="73">
        <f t="shared" si="18"/>
        <v>12.07618746048</v>
      </c>
      <c r="AD13" s="73">
        <f>(2*(B13*C13+B13*D13+C13*D13))*0.9144^2</f>
        <v>120761.8746048</v>
      </c>
      <c r="AE13" s="73">
        <f t="shared" si="19"/>
        <v>120761874604.8</v>
      </c>
      <c r="AF13" s="73">
        <f t="shared" si="20"/>
        <v>1299870</v>
      </c>
      <c r="AG13" s="81">
        <f t="shared" si="21"/>
        <v>187181280.00000003</v>
      </c>
      <c r="AH13" s="239">
        <v>243.35</v>
      </c>
      <c r="AI13" s="240">
        <v>273.12</v>
      </c>
      <c r="AJ13" s="217">
        <v>280233515385</v>
      </c>
      <c r="AK13" s="70">
        <v>28023351538</v>
      </c>
      <c r="AL13" s="70">
        <v>28023352</v>
      </c>
      <c r="AM13" s="70">
        <v>2802335153846</v>
      </c>
      <c r="AN13" s="70">
        <v>2802335</v>
      </c>
      <c r="AO13" s="71">
        <v>2802335154</v>
      </c>
      <c r="AP13" s="115">
        <v>2397099492</v>
      </c>
      <c r="AQ13" s="72">
        <v>34957700925</v>
      </c>
      <c r="AR13" s="72">
        <v>1087306</v>
      </c>
      <c r="AS13" s="72">
        <v>1087306040</v>
      </c>
      <c r="AT13" s="116">
        <v>1087306039692</v>
      </c>
      <c r="AU13" s="123">
        <v>1207.6199999999999</v>
      </c>
      <c r="AV13" s="123">
        <v>29.840900000000001</v>
      </c>
      <c r="AW13" s="73">
        <v>1207618746</v>
      </c>
      <c r="AX13" s="73">
        <v>12076187</v>
      </c>
      <c r="AY13" s="73">
        <v>12.0762</v>
      </c>
      <c r="AZ13" s="73">
        <v>120762</v>
      </c>
      <c r="BA13" s="73">
        <v>120761874605</v>
      </c>
      <c r="BB13" s="73">
        <v>1299870</v>
      </c>
      <c r="BC13" s="218">
        <v>187181280</v>
      </c>
      <c r="BD13" s="251">
        <f t="shared" si="22"/>
        <v>-1.0321977192050053E-5</v>
      </c>
      <c r="BE13" s="252">
        <f t="shared" si="23"/>
        <v>-3.5820511226212376E-6</v>
      </c>
      <c r="BF13" s="41">
        <f t="shared" si="24"/>
        <v>-1.2549696985022581E-12</v>
      </c>
      <c r="BG13" s="42">
        <f t="shared" si="24"/>
        <v>1.6587320230778772E-11</v>
      </c>
      <c r="BH13" s="42">
        <f t="shared" si="24"/>
        <v>-1.6469663391815604E-8</v>
      </c>
      <c r="BI13" s="42">
        <f t="shared" si="24"/>
        <v>1.724984382530004E-13</v>
      </c>
      <c r="BJ13" s="42">
        <f t="shared" si="24"/>
        <v>5.4899387391545508E-8</v>
      </c>
      <c r="BK13" s="43">
        <f t="shared" si="24"/>
        <v>-5.4781730585816148E-11</v>
      </c>
      <c r="BL13" s="107">
        <f t="shared" si="25"/>
        <v>-8.8665750936533675E-12</v>
      </c>
      <c r="BM13" s="44">
        <f t="shared" si="26"/>
        <v>-8.8664807475267542E-12</v>
      </c>
      <c r="BN13" s="44">
        <f t="shared" si="26"/>
        <v>3.6505302062726289E-8</v>
      </c>
      <c r="BO13" s="44">
        <f t="shared" si="26"/>
        <v>-2.828683790637444E-10</v>
      </c>
      <c r="BP13" s="108">
        <f t="shared" si="26"/>
        <v>4.0057431771757878E-13</v>
      </c>
      <c r="BQ13" s="43">
        <f t="shared" si="26"/>
        <v>-1.0383674516036722E-6</v>
      </c>
      <c r="BR13" s="42">
        <f t="shared" si="26"/>
        <v>3.0464584912383229E-7</v>
      </c>
      <c r="BS13" s="42">
        <f t="shared" si="26"/>
        <v>3.9747724546230569E-11</v>
      </c>
      <c r="BT13" s="42">
        <f t="shared" si="26"/>
        <v>3.8131239874396015E-8</v>
      </c>
      <c r="BU13" s="42">
        <f t="shared" si="26"/>
        <v>-1.0383674517448842E-6</v>
      </c>
      <c r="BV13" s="42">
        <f t="shared" si="26"/>
        <v>-1.0383674517091104E-6</v>
      </c>
      <c r="BW13" s="42">
        <f t="shared" si="26"/>
        <v>-1.6561265622671783E-12</v>
      </c>
      <c r="BX13" s="42">
        <f t="shared" si="26"/>
        <v>0</v>
      </c>
      <c r="BY13" s="45">
        <f t="shared" si="26"/>
        <v>1.5921636174138411E-16</v>
      </c>
    </row>
    <row r="14" spans="2:77" ht="15.75" thickBot="1" x14ac:dyDescent="0.3">
      <c r="B14" s="88">
        <v>66</v>
      </c>
      <c r="C14" s="95">
        <v>55</v>
      </c>
      <c r="D14" s="95">
        <v>66</v>
      </c>
      <c r="E14" s="197">
        <f t="shared" si="1"/>
        <v>93.338095116624274</v>
      </c>
      <c r="F14" s="194">
        <f t="shared" si="2"/>
        <v>108.33743581975715</v>
      </c>
      <c r="G14" s="157" t="s">
        <v>43</v>
      </c>
      <c r="H14" s="63"/>
      <c r="I14" s="9">
        <v>27</v>
      </c>
      <c r="J14" s="60"/>
      <c r="K14" s="61"/>
      <c r="L14" s="243">
        <f t="shared" si="3"/>
        <v>93.338095116624274</v>
      </c>
      <c r="M14" s="244">
        <f t="shared" si="4"/>
        <v>108.33743581975715</v>
      </c>
      <c r="N14" s="79">
        <f t="shared" si="5"/>
        <v>2.3957999999999999E-8</v>
      </c>
      <c r="O14" s="74">
        <f t="shared" si="6"/>
        <v>2.3957999999999999E-9</v>
      </c>
      <c r="P14" s="74">
        <f t="shared" si="7"/>
        <v>2.3957999999999999E-12</v>
      </c>
      <c r="Q14" s="74">
        <f t="shared" si="8"/>
        <v>2.3957999999999998E-7</v>
      </c>
      <c r="R14" s="74">
        <f>(B14*C14*D14)/1000000^3</f>
        <v>2.3957999999999997E-13</v>
      </c>
      <c r="S14" s="75">
        <f t="shared" si="9"/>
        <v>2.3957999999999996E-10</v>
      </c>
      <c r="T14" s="117">
        <f t="shared" si="10"/>
        <v>1.4260954169048299E-8</v>
      </c>
      <c r="U14" s="76">
        <f t="shared" si="11"/>
        <v>2.0797224829862105E-7</v>
      </c>
      <c r="V14" s="76">
        <f t="shared" si="12"/>
        <v>6.4686599999999992E-12</v>
      </c>
      <c r="W14" s="76">
        <f>R14*1000*I14</f>
        <v>6.468659999999999E-9</v>
      </c>
      <c r="X14" s="118">
        <f t="shared" si="13"/>
        <v>6.4686599999999993E-6</v>
      </c>
      <c r="Y14" s="82">
        <f t="shared" si="14"/>
        <v>2.3231999999999998E-10</v>
      </c>
      <c r="Z14" s="77">
        <f t="shared" si="15"/>
        <v>5.7407522222451846E-12</v>
      </c>
      <c r="AA14" s="77">
        <f t="shared" si="16"/>
        <v>2.3232E-4</v>
      </c>
      <c r="AB14" s="77">
        <f t="shared" si="17"/>
        <v>2.3232000000000001E-6</v>
      </c>
      <c r="AC14" s="77">
        <f t="shared" si="18"/>
        <v>2.3232E-12</v>
      </c>
      <c r="AD14" s="77">
        <f>(2*(B14*C14+B14*D14+C14*D14))/1000000^2</f>
        <v>2.3231999999999999E-8</v>
      </c>
      <c r="AE14" s="77">
        <f t="shared" si="19"/>
        <v>2.3231999999999999E-2</v>
      </c>
      <c r="AF14" s="77">
        <f t="shared" si="20"/>
        <v>2.5006716680100026E-7</v>
      </c>
      <c r="AG14" s="82">
        <f t="shared" si="21"/>
        <v>3.6009672019344036E-5</v>
      </c>
      <c r="AH14" s="243">
        <v>93.337999999999994</v>
      </c>
      <c r="AI14" s="244">
        <v>108.34</v>
      </c>
      <c r="AJ14" s="219">
        <v>2.3957999999999999E-8</v>
      </c>
      <c r="AK14" s="74">
        <v>2.3957999999999999E-9</v>
      </c>
      <c r="AL14" s="74">
        <v>2.3957999999999999E-12</v>
      </c>
      <c r="AM14" s="74">
        <v>2.3957999999999998E-7</v>
      </c>
      <c r="AN14" s="74">
        <v>2.3957999999999997E-13</v>
      </c>
      <c r="AO14" s="75">
        <v>2.3958000000000001E-10</v>
      </c>
      <c r="AP14" s="117">
        <v>1.4260954169048301E-8</v>
      </c>
      <c r="AQ14" s="76">
        <v>2.0797224829862099E-7</v>
      </c>
      <c r="AR14" s="76">
        <v>6.46866E-12</v>
      </c>
      <c r="AS14" s="76">
        <v>6.4686599999999999E-9</v>
      </c>
      <c r="AT14" s="118">
        <v>6.4686600000000002E-6</v>
      </c>
      <c r="AU14" s="125">
        <v>2.3232000000000001E-10</v>
      </c>
      <c r="AV14" s="125">
        <v>5.7407522222451798E-12</v>
      </c>
      <c r="AW14" s="77">
        <v>2.3232E-4</v>
      </c>
      <c r="AX14" s="77">
        <v>2.3232000000000001E-6</v>
      </c>
      <c r="AY14" s="77">
        <v>2.3232E-12</v>
      </c>
      <c r="AZ14" s="77">
        <v>2.3231999999999999E-8</v>
      </c>
      <c r="BA14" s="77">
        <v>2.3231999999999999E-2</v>
      </c>
      <c r="BB14" s="77">
        <v>2.5006716680099999E-7</v>
      </c>
      <c r="BC14" s="220">
        <v>3.6009672019344002E-5</v>
      </c>
      <c r="BD14" s="253">
        <f t="shared" si="22"/>
        <v>1.0190546974536039E-6</v>
      </c>
      <c r="BE14" s="254">
        <f t="shared" si="23"/>
        <v>-2.3668459784508112E-5</v>
      </c>
      <c r="BF14" s="46">
        <f t="shared" si="24"/>
        <v>0</v>
      </c>
      <c r="BG14" s="47">
        <f t="shared" si="24"/>
        <v>0</v>
      </c>
      <c r="BH14" s="47">
        <f t="shared" si="24"/>
        <v>0</v>
      </c>
      <c r="BI14" s="47">
        <f t="shared" si="24"/>
        <v>0</v>
      </c>
      <c r="BJ14" s="47">
        <f t="shared" si="24"/>
        <v>0</v>
      </c>
      <c r="BK14" s="48">
        <f t="shared" si="24"/>
        <v>-2.157892490381678E-16</v>
      </c>
      <c r="BL14" s="109">
        <f t="shared" si="25"/>
        <v>-1.1600634890873215E-16</v>
      </c>
      <c r="BM14" s="49">
        <f t="shared" si="26"/>
        <v>2.5455107417687509E-16</v>
      </c>
      <c r="BN14" s="49">
        <f t="shared" si="26"/>
        <v>-1.2487803763782857E-16</v>
      </c>
      <c r="BO14" s="49">
        <f t="shared" si="26"/>
        <v>-1.2787511054113646E-16</v>
      </c>
      <c r="BP14" s="110">
        <f t="shared" si="26"/>
        <v>-1.3094411319412373E-16</v>
      </c>
      <c r="BQ14" s="48">
        <f t="shared" si="26"/>
        <v>-1.1126633153530525E-16</v>
      </c>
      <c r="BR14" s="47">
        <f t="shared" si="26"/>
        <v>8.4427287819475826E-16</v>
      </c>
      <c r="BS14" s="47">
        <f t="shared" si="26"/>
        <v>0</v>
      </c>
      <c r="BT14" s="47">
        <f t="shared" si="26"/>
        <v>0</v>
      </c>
      <c r="BU14" s="47">
        <f t="shared" si="26"/>
        <v>0</v>
      </c>
      <c r="BV14" s="47">
        <f t="shared" si="26"/>
        <v>0</v>
      </c>
      <c r="BW14" s="47">
        <f t="shared" si="26"/>
        <v>0</v>
      </c>
      <c r="BX14" s="47">
        <f t="shared" si="26"/>
        <v>1.058506798006039E-15</v>
      </c>
      <c r="BY14" s="50">
        <f t="shared" si="26"/>
        <v>9.408949315609237E-16</v>
      </c>
    </row>
    <row r="15" spans="2:77" ht="15.75" thickTop="1" x14ac:dyDescent="0.25"/>
    <row r="16" spans="2:77" ht="15.75" thickBot="1" x14ac:dyDescent="0.3"/>
    <row r="17" spans="2:77" ht="30.75" customHeight="1" thickTop="1" thickBot="1" x14ac:dyDescent="0.3">
      <c r="B17" s="343" t="s">
        <v>46</v>
      </c>
      <c r="C17" s="344"/>
      <c r="D17" s="344"/>
      <c r="E17" s="356"/>
      <c r="F17" s="356"/>
      <c r="G17" s="346" t="s">
        <v>75</v>
      </c>
      <c r="H17" s="436"/>
      <c r="I17" s="436"/>
      <c r="J17" s="436"/>
      <c r="K17" s="442"/>
    </row>
    <row r="18" spans="2:77" ht="16.5" customHeight="1" thickTop="1" thickBot="1" x14ac:dyDescent="0.3">
      <c r="B18" s="337" t="s">
        <v>77</v>
      </c>
      <c r="C18" s="338"/>
      <c r="D18" s="338"/>
      <c r="E18" s="338"/>
      <c r="F18" s="338"/>
      <c r="G18" s="339"/>
      <c r="H18" s="311" t="s">
        <v>31</v>
      </c>
      <c r="I18" s="312"/>
      <c r="J18" s="312"/>
      <c r="K18" s="313"/>
      <c r="L18" s="364" t="s">
        <v>93</v>
      </c>
      <c r="M18" s="365"/>
      <c r="N18" s="340" t="s">
        <v>21</v>
      </c>
      <c r="O18" s="341"/>
      <c r="P18" s="341"/>
      <c r="Q18" s="341"/>
      <c r="R18" s="341"/>
      <c r="S18" s="341"/>
      <c r="T18" s="294" t="s">
        <v>22</v>
      </c>
      <c r="U18" s="295"/>
      <c r="V18" s="295"/>
      <c r="W18" s="295"/>
      <c r="X18" s="296"/>
      <c r="Y18" s="304" t="s">
        <v>44</v>
      </c>
      <c r="Z18" s="305"/>
      <c r="AA18" s="305"/>
      <c r="AB18" s="305"/>
      <c r="AC18" s="305"/>
      <c r="AD18" s="305"/>
      <c r="AE18" s="305"/>
      <c r="AF18" s="305"/>
      <c r="AG18" s="403"/>
      <c r="AH18" s="364" t="s">
        <v>93</v>
      </c>
      <c r="AI18" s="365"/>
      <c r="AJ18" s="405" t="s">
        <v>21</v>
      </c>
      <c r="AK18" s="301"/>
      <c r="AL18" s="301"/>
      <c r="AM18" s="301"/>
      <c r="AN18" s="301"/>
      <c r="AO18" s="301"/>
      <c r="AP18" s="294" t="s">
        <v>22</v>
      </c>
      <c r="AQ18" s="295"/>
      <c r="AR18" s="295"/>
      <c r="AS18" s="295"/>
      <c r="AT18" s="296"/>
      <c r="AU18" s="304" t="s">
        <v>45</v>
      </c>
      <c r="AV18" s="305"/>
      <c r="AW18" s="305"/>
      <c r="AX18" s="305"/>
      <c r="AY18" s="305"/>
      <c r="AZ18" s="305"/>
      <c r="BA18" s="305"/>
      <c r="BB18" s="305"/>
      <c r="BC18" s="305"/>
      <c r="BD18" s="385" t="s">
        <v>93</v>
      </c>
      <c r="BE18" s="386"/>
      <c r="BF18" s="322" t="s">
        <v>21</v>
      </c>
      <c r="BG18" s="323"/>
      <c r="BH18" s="323"/>
      <c r="BI18" s="323"/>
      <c r="BJ18" s="323"/>
      <c r="BK18" s="323"/>
      <c r="BL18" s="322" t="s">
        <v>22</v>
      </c>
      <c r="BM18" s="323"/>
      <c r="BN18" s="323"/>
      <c r="BO18" s="323"/>
      <c r="BP18" s="324"/>
      <c r="BQ18" s="328" t="s">
        <v>45</v>
      </c>
      <c r="BR18" s="323"/>
      <c r="BS18" s="323"/>
      <c r="BT18" s="323"/>
      <c r="BU18" s="323"/>
      <c r="BV18" s="323"/>
      <c r="BW18" s="323"/>
      <c r="BX18" s="323"/>
      <c r="BY18" s="329"/>
    </row>
    <row r="19" spans="2:77" s="18" customFormat="1" ht="15" customHeight="1" thickBot="1" x14ac:dyDescent="0.3">
      <c r="B19" s="331" t="s">
        <v>0</v>
      </c>
      <c r="C19" s="309" t="s">
        <v>18</v>
      </c>
      <c r="D19" s="309" t="s">
        <v>82</v>
      </c>
      <c r="E19" s="309" t="s">
        <v>19</v>
      </c>
      <c r="F19" s="371" t="s">
        <v>83</v>
      </c>
      <c r="G19" s="362" t="s">
        <v>1</v>
      </c>
      <c r="H19" s="314"/>
      <c r="I19" s="315"/>
      <c r="J19" s="315"/>
      <c r="K19" s="316"/>
      <c r="L19" s="366" t="s">
        <v>19</v>
      </c>
      <c r="M19" s="368" t="s">
        <v>83</v>
      </c>
      <c r="N19" s="342"/>
      <c r="O19" s="342"/>
      <c r="P19" s="342"/>
      <c r="Q19" s="342"/>
      <c r="R19" s="342"/>
      <c r="S19" s="342"/>
      <c r="T19" s="297"/>
      <c r="U19" s="298"/>
      <c r="V19" s="298"/>
      <c r="W19" s="298"/>
      <c r="X19" s="299"/>
      <c r="Y19" s="307"/>
      <c r="Z19" s="307"/>
      <c r="AA19" s="307"/>
      <c r="AB19" s="307"/>
      <c r="AC19" s="307"/>
      <c r="AD19" s="307"/>
      <c r="AE19" s="307"/>
      <c r="AF19" s="307"/>
      <c r="AG19" s="404"/>
      <c r="AH19" s="366" t="s">
        <v>19</v>
      </c>
      <c r="AI19" s="368" t="s">
        <v>83</v>
      </c>
      <c r="AJ19" s="406"/>
      <c r="AK19" s="303"/>
      <c r="AL19" s="303"/>
      <c r="AM19" s="303"/>
      <c r="AN19" s="303"/>
      <c r="AO19" s="303"/>
      <c r="AP19" s="297"/>
      <c r="AQ19" s="298"/>
      <c r="AR19" s="298"/>
      <c r="AS19" s="298"/>
      <c r="AT19" s="299"/>
      <c r="AU19" s="307"/>
      <c r="AV19" s="307"/>
      <c r="AW19" s="307"/>
      <c r="AX19" s="307"/>
      <c r="AY19" s="307"/>
      <c r="AZ19" s="307"/>
      <c r="BA19" s="307"/>
      <c r="BB19" s="307"/>
      <c r="BC19" s="307"/>
      <c r="BD19" s="387" t="s">
        <v>19</v>
      </c>
      <c r="BE19" s="383" t="s">
        <v>83</v>
      </c>
      <c r="BF19" s="325"/>
      <c r="BG19" s="326"/>
      <c r="BH19" s="326"/>
      <c r="BI19" s="326"/>
      <c r="BJ19" s="326"/>
      <c r="BK19" s="326"/>
      <c r="BL19" s="325"/>
      <c r="BM19" s="326"/>
      <c r="BN19" s="326"/>
      <c r="BO19" s="326"/>
      <c r="BP19" s="327"/>
      <c r="BQ19" s="326"/>
      <c r="BR19" s="326"/>
      <c r="BS19" s="326"/>
      <c r="BT19" s="326"/>
      <c r="BU19" s="326"/>
      <c r="BV19" s="326"/>
      <c r="BW19" s="326"/>
      <c r="BX19" s="326"/>
      <c r="BY19" s="330"/>
    </row>
    <row r="20" spans="2:77" s="18" customFormat="1" ht="18" thickBot="1" x14ac:dyDescent="0.3">
      <c r="B20" s="332"/>
      <c r="C20" s="310"/>
      <c r="D20" s="428"/>
      <c r="E20" s="430"/>
      <c r="F20" s="426"/>
      <c r="G20" s="435"/>
      <c r="H20" s="19" t="s">
        <v>29</v>
      </c>
      <c r="I20" s="20" t="s">
        <v>28</v>
      </c>
      <c r="J20" s="20" t="s">
        <v>30</v>
      </c>
      <c r="K20" s="21" t="s">
        <v>27</v>
      </c>
      <c r="L20" s="367"/>
      <c r="M20" s="369"/>
      <c r="N20" s="29" t="s">
        <v>32</v>
      </c>
      <c r="O20" s="24" t="s">
        <v>34</v>
      </c>
      <c r="P20" s="24" t="s">
        <v>33</v>
      </c>
      <c r="Q20" s="24" t="s">
        <v>35</v>
      </c>
      <c r="R20" s="24" t="s">
        <v>37</v>
      </c>
      <c r="S20" s="30" t="s">
        <v>36</v>
      </c>
      <c r="T20" s="111" t="s">
        <v>38</v>
      </c>
      <c r="U20" s="22" t="s">
        <v>39</v>
      </c>
      <c r="V20" s="22" t="s">
        <v>40</v>
      </c>
      <c r="W20" s="22" t="s">
        <v>41</v>
      </c>
      <c r="X20" s="112" t="s">
        <v>42</v>
      </c>
      <c r="Y20" s="25" t="s">
        <v>11</v>
      </c>
      <c r="Z20" s="23" t="s">
        <v>13</v>
      </c>
      <c r="AA20" s="23" t="s">
        <v>23</v>
      </c>
      <c r="AB20" s="23" t="s">
        <v>24</v>
      </c>
      <c r="AC20" s="23" t="s">
        <v>12</v>
      </c>
      <c r="AD20" s="23" t="s">
        <v>25</v>
      </c>
      <c r="AE20" s="23" t="s">
        <v>26</v>
      </c>
      <c r="AF20" s="23" t="s">
        <v>10</v>
      </c>
      <c r="AG20" s="25" t="s">
        <v>9</v>
      </c>
      <c r="AH20" s="367"/>
      <c r="AI20" s="369"/>
      <c r="AJ20" s="31" t="s">
        <v>32</v>
      </c>
      <c r="AK20" s="24" t="s">
        <v>34</v>
      </c>
      <c r="AL20" s="24" t="s">
        <v>33</v>
      </c>
      <c r="AM20" s="24" t="s">
        <v>35</v>
      </c>
      <c r="AN20" s="24" t="s">
        <v>37</v>
      </c>
      <c r="AO20" s="30" t="s">
        <v>36</v>
      </c>
      <c r="AP20" s="111" t="s">
        <v>38</v>
      </c>
      <c r="AQ20" s="22" t="s">
        <v>39</v>
      </c>
      <c r="AR20" s="22" t="s">
        <v>40</v>
      </c>
      <c r="AS20" s="22" t="s">
        <v>41</v>
      </c>
      <c r="AT20" s="112" t="s">
        <v>42</v>
      </c>
      <c r="AU20" s="26" t="s">
        <v>11</v>
      </c>
      <c r="AV20" s="27" t="s">
        <v>13</v>
      </c>
      <c r="AW20" s="27" t="s">
        <v>23</v>
      </c>
      <c r="AX20" s="27" t="s">
        <v>24</v>
      </c>
      <c r="AY20" s="27" t="s">
        <v>12</v>
      </c>
      <c r="AZ20" s="27" t="s">
        <v>25</v>
      </c>
      <c r="BA20" s="27" t="s">
        <v>26</v>
      </c>
      <c r="BB20" s="27" t="s">
        <v>10</v>
      </c>
      <c r="BC20" s="28" t="s">
        <v>9</v>
      </c>
      <c r="BD20" s="388"/>
      <c r="BE20" s="384"/>
      <c r="BF20" s="32" t="s">
        <v>32</v>
      </c>
      <c r="BG20" s="33" t="s">
        <v>34</v>
      </c>
      <c r="BH20" s="33" t="s">
        <v>33</v>
      </c>
      <c r="BI20" s="33" t="s">
        <v>35</v>
      </c>
      <c r="BJ20" s="33" t="s">
        <v>37</v>
      </c>
      <c r="BK20" s="34" t="s">
        <v>36</v>
      </c>
      <c r="BL20" s="103" t="s">
        <v>38</v>
      </c>
      <c r="BM20" s="33" t="s">
        <v>39</v>
      </c>
      <c r="BN20" s="33" t="s">
        <v>40</v>
      </c>
      <c r="BO20" s="33" t="s">
        <v>41</v>
      </c>
      <c r="BP20" s="104" t="s">
        <v>42</v>
      </c>
      <c r="BQ20" s="34" t="s">
        <v>11</v>
      </c>
      <c r="BR20" s="33" t="s">
        <v>13</v>
      </c>
      <c r="BS20" s="33" t="s">
        <v>23</v>
      </c>
      <c r="BT20" s="33" t="s">
        <v>24</v>
      </c>
      <c r="BU20" s="33" t="s">
        <v>12</v>
      </c>
      <c r="BV20" s="33" t="s">
        <v>25</v>
      </c>
      <c r="BW20" s="33" t="s">
        <v>26</v>
      </c>
      <c r="BX20" s="33" t="s">
        <v>10</v>
      </c>
      <c r="BY20" s="35" t="s">
        <v>9</v>
      </c>
    </row>
    <row r="21" spans="2:77" x14ac:dyDescent="0.25">
      <c r="B21" s="84">
        <v>13</v>
      </c>
      <c r="C21" s="92">
        <v>67</v>
      </c>
      <c r="D21" s="92">
        <v>433</v>
      </c>
      <c r="E21" s="196">
        <f>SQRT(D21^2-B21^2)</f>
        <v>432.80480588828954</v>
      </c>
      <c r="F21" s="189">
        <f>SQRT(B21^2+C21^2+E21^2)</f>
        <v>438.15294133441574</v>
      </c>
      <c r="G21" s="155" t="s">
        <v>2</v>
      </c>
      <c r="H21" s="62"/>
      <c r="I21" s="53"/>
      <c r="J21" s="53"/>
      <c r="K21" s="13">
        <v>67</v>
      </c>
      <c r="L21" s="237">
        <f>SQRT(D21^2-B21^2)</f>
        <v>432.80480588828954</v>
      </c>
      <c r="M21" s="238">
        <f>SQRT(B21^2+C21^2+E21^2)</f>
        <v>438.15294133441574</v>
      </c>
      <c r="N21" s="78">
        <f>R21*100000</f>
        <v>37697.298592870022</v>
      </c>
      <c r="O21" s="65">
        <f>R21*10000</f>
        <v>3769.729859287002</v>
      </c>
      <c r="P21" s="65">
        <f>R21*10</f>
        <v>3.7697298592870023</v>
      </c>
      <c r="Q21" s="65">
        <f>R21*1000000</f>
        <v>376972.98592870019</v>
      </c>
      <c r="R21" s="65">
        <f>(B21*C21*(SQRT(D21^2-B21^2)))/100^3</f>
        <v>0.37697298592870021</v>
      </c>
      <c r="S21" s="66">
        <f>R21*1000</f>
        <v>376.97298592870021</v>
      </c>
      <c r="T21" s="113">
        <f>W21/0.45359237</f>
        <v>55682.572564487607</v>
      </c>
      <c r="U21" s="67">
        <f>W21*1000/31.1034768</f>
        <v>812037.51656544441</v>
      </c>
      <c r="V21" s="67">
        <f>W21/1000</f>
        <v>25.257190057222914</v>
      </c>
      <c r="W21" s="67">
        <f>R21*1000*K21</f>
        <v>25257.190057222913</v>
      </c>
      <c r="X21" s="114">
        <f>W21*1000</f>
        <v>25257190.057222914</v>
      </c>
      <c r="Y21" s="80">
        <f>AD21/100</f>
        <v>7.0990768942126345E-2</v>
      </c>
      <c r="Z21" s="68">
        <f>AD21/4046.8564224</f>
        <v>1.7542201040091521E-3</v>
      </c>
      <c r="AA21" s="68">
        <f>AD21*10000</f>
        <v>70990.768942126335</v>
      </c>
      <c r="AB21" s="68">
        <f>AD21*100</f>
        <v>709.9076894212634</v>
      </c>
      <c r="AC21" s="68">
        <f>AD21/10000</f>
        <v>7.0990768942126342E-4</v>
      </c>
      <c r="AD21" s="68">
        <f>(2*(B21*C21+B21*(SQRT(D21^2-B21^2))+C21*(SQRT(D21^2-B21^2))))/100^2</f>
        <v>7.0990768942126339</v>
      </c>
      <c r="AE21" s="68">
        <f>AD21*1000000</f>
        <v>7099076.8942126343</v>
      </c>
      <c r="AF21" s="68">
        <f>AD21/144*10000/(2.54*2.54)</f>
        <v>76.413827730638658</v>
      </c>
      <c r="AG21" s="80">
        <f>AD21*10000/(2.54 *2.54)</f>
        <v>11003.591193211969</v>
      </c>
      <c r="AH21" s="237">
        <v>432.8</v>
      </c>
      <c r="AI21" s="238">
        <v>438.15</v>
      </c>
      <c r="AJ21" s="215">
        <v>37697.300000000003</v>
      </c>
      <c r="AK21" s="65">
        <v>3769.73</v>
      </c>
      <c r="AL21" s="65">
        <v>3.76973</v>
      </c>
      <c r="AM21" s="65">
        <v>376973</v>
      </c>
      <c r="AN21" s="65">
        <v>0.376973</v>
      </c>
      <c r="AO21" s="66">
        <v>376.97300000000001</v>
      </c>
      <c r="AP21" s="113">
        <v>55682.6</v>
      </c>
      <c r="AQ21" s="67">
        <v>812038</v>
      </c>
      <c r="AR21" s="67">
        <v>25.257200000000001</v>
      </c>
      <c r="AS21" s="67">
        <v>25257.200000000001</v>
      </c>
      <c r="AT21" s="114">
        <v>25257190</v>
      </c>
      <c r="AU21" s="121">
        <v>7.0990800000000007E-2</v>
      </c>
      <c r="AV21" s="121">
        <v>1.7542199999999999E-3</v>
      </c>
      <c r="AW21" s="68">
        <v>70990.8</v>
      </c>
      <c r="AX21" s="68">
        <v>709.90800000000002</v>
      </c>
      <c r="AY21" s="68">
        <v>7.0990799999999998E-4</v>
      </c>
      <c r="AZ21" s="68">
        <v>7.0990799999999998</v>
      </c>
      <c r="BA21" s="68">
        <v>7099077</v>
      </c>
      <c r="BB21" s="68">
        <v>76.413799999999995</v>
      </c>
      <c r="BC21" s="216">
        <v>11003.6</v>
      </c>
      <c r="BD21" s="249">
        <f>(L21-AH21)/L21</f>
        <v>1.1104054816723113E-5</v>
      </c>
      <c r="BE21" s="250">
        <f>(M21-AI21)/M21</f>
        <v>6.7130313146091766E-6</v>
      </c>
      <c r="BF21" s="36">
        <f t="shared" ref="BF21:BY21" si="27">(N21-AJ21)/N21</f>
        <v>-3.7327077366639861E-8</v>
      </c>
      <c r="BG21" s="37">
        <f t="shared" si="27"/>
        <v>-3.732707734251361E-8</v>
      </c>
      <c r="BH21" s="37">
        <f t="shared" si="27"/>
        <v>-3.7327077257694735E-8</v>
      </c>
      <c r="BI21" s="37">
        <f t="shared" si="27"/>
        <v>-3.7327077366639868E-8</v>
      </c>
      <c r="BJ21" s="37">
        <f t="shared" si="27"/>
        <v>-3.7327077316596731E-8</v>
      </c>
      <c r="BK21" s="38">
        <f t="shared" si="27"/>
        <v>-3.732707734251361E-8</v>
      </c>
      <c r="BL21" s="105">
        <f t="shared" si="27"/>
        <v>-4.9271273088756429E-7</v>
      </c>
      <c r="BM21" s="39">
        <f t="shared" si="27"/>
        <v>-5.9533524710919695E-7</v>
      </c>
      <c r="BN21" s="39">
        <f t="shared" si="27"/>
        <v>-3.9366125307147898E-7</v>
      </c>
      <c r="BO21" s="39">
        <f t="shared" si="27"/>
        <v>-3.9366125308835839E-7</v>
      </c>
      <c r="BP21" s="106">
        <f t="shared" si="27"/>
        <v>2.2656088749792415E-9</v>
      </c>
      <c r="BQ21" s="38">
        <f t="shared" si="27"/>
        <v>-4.3749172074857079E-7</v>
      </c>
      <c r="BR21" s="37">
        <f t="shared" si="27"/>
        <v>5.9290822152037975E-8</v>
      </c>
      <c r="BS21" s="37">
        <f t="shared" si="27"/>
        <v>-4.3749172083699992E-7</v>
      </c>
      <c r="BT21" s="37">
        <f t="shared" si="27"/>
        <v>-4.3749172074731973E-7</v>
      </c>
      <c r="BU21" s="37">
        <f t="shared" si="27"/>
        <v>-4.3749172066304519E-7</v>
      </c>
      <c r="BV21" s="37">
        <f t="shared" si="27"/>
        <v>-4.3749172071729289E-7</v>
      </c>
      <c r="BW21" s="37">
        <f t="shared" si="27"/>
        <v>-1.4901566397113557E-8</v>
      </c>
      <c r="BX21" s="37">
        <f t="shared" si="27"/>
        <v>3.629007927900367E-7</v>
      </c>
      <c r="BY21" s="40">
        <f t="shared" si="27"/>
        <v>-8.0035579992642996E-7</v>
      </c>
    </row>
    <row r="22" spans="2:77" x14ac:dyDescent="0.25">
      <c r="B22" s="86">
        <v>43</v>
      </c>
      <c r="C22" s="93">
        <v>26</v>
      </c>
      <c r="D22" s="93">
        <v>88</v>
      </c>
      <c r="E22" s="199">
        <f t="shared" ref="E22:E28" si="28">SQRT(D22^2-B22^2)</f>
        <v>76.778903352418368</v>
      </c>
      <c r="F22" s="191">
        <f t="shared" ref="F22:F28" si="29">SQRT(B22^2+C22^2+E22^2)</f>
        <v>91.760557975635692</v>
      </c>
      <c r="G22" s="156" t="s">
        <v>3</v>
      </c>
      <c r="H22" s="11">
        <v>266</v>
      </c>
      <c r="I22" s="58"/>
      <c r="J22" s="58"/>
      <c r="K22" s="55"/>
      <c r="L22" s="239">
        <f t="shared" ref="L22:L28" si="30">SQRT(D22^2-B22^2)</f>
        <v>76.778903352418368</v>
      </c>
      <c r="M22" s="240">
        <f t="shared" ref="M22:M28" si="31">SQRT(B22^2+C22^2+E22^2)</f>
        <v>91.760557975635692</v>
      </c>
      <c r="N22" s="69">
        <f t="shared" ref="N22:N28" si="32">R22*100000</f>
        <v>243068452.62048519</v>
      </c>
      <c r="O22" s="70">
        <f t="shared" ref="O22:O28" si="33">R22*10000</f>
        <v>24306845.26204852</v>
      </c>
      <c r="P22" s="70">
        <f t="shared" ref="P22:P28" si="34">R22*10</f>
        <v>24306.845262048519</v>
      </c>
      <c r="Q22" s="70">
        <f t="shared" ref="Q22:Q28" si="35">R22*1000000</f>
        <v>2430684526.2048516</v>
      </c>
      <c r="R22" s="70">
        <f>(B22*C22*(SQRT(D22^2-B22^2)))*0.3048^3</f>
        <v>2430.6845262048519</v>
      </c>
      <c r="S22" s="71">
        <f t="shared" ref="S22:S28" si="36">R22*1000</f>
        <v>2430684.5262048519</v>
      </c>
      <c r="T22" s="115">
        <f t="shared" ref="T22:T28" si="37">W22/0.45359237</f>
        <v>1425425.3967510313</v>
      </c>
      <c r="U22" s="72">
        <f t="shared" ref="U22:U28" si="38">W22*1000/31.1034768</f>
        <v>20787453.702619206</v>
      </c>
      <c r="V22" s="72">
        <f t="shared" ref="V22:V28" si="39">W22/1000</f>
        <v>646.56208397049056</v>
      </c>
      <c r="W22" s="72">
        <f>R22*H22</f>
        <v>646562.08397049061</v>
      </c>
      <c r="X22" s="116">
        <f t="shared" ref="X22:X28" si="40">W22*1000</f>
        <v>646562083.97049057</v>
      </c>
      <c r="Y22" s="81">
        <f t="shared" ref="Y22:Y28" si="41">AD22/100</f>
        <v>11.920843044842083</v>
      </c>
      <c r="Z22" s="73">
        <f t="shared" ref="Z22:Z28" si="42">AD22/4046.8564224</f>
        <v>0.2945704468005908</v>
      </c>
      <c r="AA22" s="73">
        <f t="shared" ref="AA22:AA28" si="43">AD22*10000</f>
        <v>11920843.044842083</v>
      </c>
      <c r="AB22" s="73">
        <f t="shared" ref="AB22:AB28" si="44">AD22*100</f>
        <v>119208.43044842084</v>
      </c>
      <c r="AC22" s="73">
        <f t="shared" ref="AC22:AC28" si="45">AD22/10000</f>
        <v>0.11920843044842083</v>
      </c>
      <c r="AD22" s="73">
        <f>(2*(B22*C22+B22*(SQRT(D22^2-B22^2))+C22*(SQRT(D22^2-B22^2))))*0.3048^2</f>
        <v>1192.0843044842084</v>
      </c>
      <c r="AE22" s="73">
        <f t="shared" ref="AE22:AE28" si="46">AD22*1000000</f>
        <v>1192084304.4842083</v>
      </c>
      <c r="AF22" s="73">
        <f t="shared" ref="AF22:AF28" si="47">AD22/144*10000/(2.54*2.54)</f>
        <v>12831.488662633734</v>
      </c>
      <c r="AG22" s="81">
        <f t="shared" ref="AG22:AG28" si="48">AD22*10000/(2.54 *2.54)</f>
        <v>1847734.3674192578</v>
      </c>
      <c r="AH22" s="239">
        <v>76.778999999999996</v>
      </c>
      <c r="AI22" s="240">
        <v>91.760999999999996</v>
      </c>
      <c r="AJ22" s="217">
        <v>243068453</v>
      </c>
      <c r="AK22" s="69">
        <v>24306845</v>
      </c>
      <c r="AL22" s="70">
        <v>24306.799999999999</v>
      </c>
      <c r="AM22" s="70">
        <v>2430684526</v>
      </c>
      <c r="AN22" s="70">
        <v>2430.6799999999998</v>
      </c>
      <c r="AO22" s="71">
        <v>2430685</v>
      </c>
      <c r="AP22" s="115">
        <v>1425425</v>
      </c>
      <c r="AQ22" s="72">
        <v>20787454</v>
      </c>
      <c r="AR22" s="72">
        <v>646.56200000000001</v>
      </c>
      <c r="AS22" s="72">
        <v>646562</v>
      </c>
      <c r="AT22" s="116">
        <v>646562084</v>
      </c>
      <c r="AU22" s="123">
        <v>11.9208</v>
      </c>
      <c r="AV22" s="123">
        <v>0.29457</v>
      </c>
      <c r="AW22" s="73">
        <v>11920843</v>
      </c>
      <c r="AX22" s="73">
        <v>119208</v>
      </c>
      <c r="AY22" s="73">
        <v>0.11920799999999999</v>
      </c>
      <c r="AZ22" s="73">
        <v>1192.08</v>
      </c>
      <c r="BA22" s="73">
        <v>1192084304</v>
      </c>
      <c r="BB22" s="73">
        <v>12831.5</v>
      </c>
      <c r="BC22" s="218">
        <v>1847734</v>
      </c>
      <c r="BD22" s="251">
        <f t="shared" ref="BD22:BD28" si="49">(L22-AH22)/L22</f>
        <v>-1.2587778336035998E-6</v>
      </c>
      <c r="BE22" s="252">
        <f t="shared" ref="BE22:BE28" si="50">(M22-AI22)/M22</f>
        <v>-4.8171499177383787E-6</v>
      </c>
      <c r="BF22" s="41">
        <f t="shared" ref="BF22:BK28" si="51">(N22-AJ22)/N22</f>
        <v>-1.5613495265702457E-9</v>
      </c>
      <c r="BG22" s="42">
        <f t="shared" si="51"/>
        <v>1.0780852773064293E-8</v>
      </c>
      <c r="BH22" s="42">
        <f t="shared" si="51"/>
        <v>1.8621111884902593E-6</v>
      </c>
      <c r="BI22" s="42">
        <f t="shared" si="51"/>
        <v>8.4277340453431248E-11</v>
      </c>
      <c r="BJ22" s="42">
        <f t="shared" si="51"/>
        <v>1.8621111885276766E-6</v>
      </c>
      <c r="BK22" s="43">
        <f t="shared" si="51"/>
        <v>-1.9492251790408689E-7</v>
      </c>
      <c r="BL22" s="107">
        <f t="shared" ref="BL22:BL28" si="52">(T22-AP22)/T22</f>
        <v>2.7833868554880359E-7</v>
      </c>
      <c r="BM22" s="44">
        <f t="shared" ref="BM22:BY28" si="53">(U22-AQ22)/U22</f>
        <v>-1.4305782617436366E-8</v>
      </c>
      <c r="BN22" s="44">
        <f t="shared" si="53"/>
        <v>1.2987227774716341E-7</v>
      </c>
      <c r="BO22" s="44">
        <f t="shared" si="53"/>
        <v>1.2987227784000312E-7</v>
      </c>
      <c r="BP22" s="108">
        <f t="shared" si="53"/>
        <v>-4.5640512945104691E-11</v>
      </c>
      <c r="BQ22" s="43">
        <f t="shared" si="53"/>
        <v>3.610889089110338E-6</v>
      </c>
      <c r="BR22" s="42">
        <f t="shared" si="53"/>
        <v>1.5167868863152279E-6</v>
      </c>
      <c r="BS22" s="42">
        <f t="shared" si="53"/>
        <v>3.7616536715076998E-9</v>
      </c>
      <c r="BT22" s="42">
        <f t="shared" si="53"/>
        <v>3.6108890891470548E-6</v>
      </c>
      <c r="BU22" s="42">
        <f t="shared" si="53"/>
        <v>3.6108890891243082E-6</v>
      </c>
      <c r="BV22" s="42">
        <f t="shared" si="53"/>
        <v>3.6108890891699433E-6</v>
      </c>
      <c r="BW22" s="42">
        <f t="shared" si="53"/>
        <v>4.0618632725201053E-10</v>
      </c>
      <c r="BX22" s="42">
        <f t="shared" si="53"/>
        <v>-8.835581407772912E-7</v>
      </c>
      <c r="BY22" s="45">
        <f t="shared" si="53"/>
        <v>1.9884852727679937E-7</v>
      </c>
    </row>
    <row r="23" spans="2:77" x14ac:dyDescent="0.25">
      <c r="B23" s="86">
        <v>52</v>
      </c>
      <c r="C23" s="93">
        <v>75</v>
      </c>
      <c r="D23" s="93">
        <v>100</v>
      </c>
      <c r="E23" s="199">
        <f t="shared" si="28"/>
        <v>85.41662601625049</v>
      </c>
      <c r="F23" s="191">
        <f t="shared" si="29"/>
        <v>125</v>
      </c>
      <c r="G23" s="156" t="s">
        <v>4</v>
      </c>
      <c r="H23" s="59"/>
      <c r="I23" s="5">
        <v>588</v>
      </c>
      <c r="J23" s="56"/>
      <c r="K23" s="55"/>
      <c r="L23" s="239">
        <f t="shared" si="30"/>
        <v>85.41662601625049</v>
      </c>
      <c r="M23" s="240">
        <f t="shared" si="31"/>
        <v>125</v>
      </c>
      <c r="N23" s="69">
        <f t="shared" si="32"/>
        <v>545893.80970502109</v>
      </c>
      <c r="O23" s="70">
        <f t="shared" si="33"/>
        <v>54589.380970502105</v>
      </c>
      <c r="P23" s="70">
        <f t="shared" si="34"/>
        <v>54.589380970502106</v>
      </c>
      <c r="Q23" s="70">
        <f t="shared" si="35"/>
        <v>5458938.0970502105</v>
      </c>
      <c r="R23" s="70">
        <f>(B23*C23*(SQRT(D23^2-B23^2)))*(2.54/100)^3</f>
        <v>5.4589380970502104</v>
      </c>
      <c r="S23" s="71">
        <f t="shared" si="36"/>
        <v>5458.9380970502107</v>
      </c>
      <c r="T23" s="115">
        <f t="shared" si="37"/>
        <v>7076520.2709770529</v>
      </c>
      <c r="U23" s="72">
        <f t="shared" si="38"/>
        <v>103199253.9517487</v>
      </c>
      <c r="V23" s="72">
        <f t="shared" si="39"/>
        <v>3209.8556010655238</v>
      </c>
      <c r="W23" s="72">
        <f>R23*1000*I23</f>
        <v>3209855.6010655239</v>
      </c>
      <c r="X23" s="116">
        <f t="shared" si="40"/>
        <v>3209855601.0655241</v>
      </c>
      <c r="Y23" s="81">
        <f t="shared" si="41"/>
        <v>0.19029525171923617</v>
      </c>
      <c r="Z23" s="73">
        <f t="shared" si="42"/>
        <v>4.7022980767472099E-3</v>
      </c>
      <c r="AA23" s="73">
        <f t="shared" si="43"/>
        <v>190295.25171923617</v>
      </c>
      <c r="AB23" s="73">
        <f t="shared" si="44"/>
        <v>1902.9525171923617</v>
      </c>
      <c r="AC23" s="73">
        <f t="shared" si="45"/>
        <v>1.9029525171923617E-3</v>
      </c>
      <c r="AD23" s="73">
        <f>(2*(B23*C23+B23*(SQRT(D23^2-B23^2))+C23*(SQRT(D23^2-B23^2))))*(2.54/100)^2</f>
        <v>19.029525171923616</v>
      </c>
      <c r="AE23" s="73">
        <f t="shared" si="46"/>
        <v>19029525.171923615</v>
      </c>
      <c r="AF23" s="73">
        <f t="shared" si="47"/>
        <v>204.83210422310844</v>
      </c>
      <c r="AG23" s="81">
        <f t="shared" si="48"/>
        <v>29495.823008127623</v>
      </c>
      <c r="AH23" s="239">
        <v>85.417000000000002</v>
      </c>
      <c r="AI23" s="240">
        <v>125</v>
      </c>
      <c r="AJ23" s="217">
        <v>545894</v>
      </c>
      <c r="AK23" s="70">
        <v>54589.4</v>
      </c>
      <c r="AL23" s="70">
        <v>54.589399999999998</v>
      </c>
      <c r="AM23" s="70">
        <v>5458938</v>
      </c>
      <c r="AN23" s="70">
        <v>5.4589400000000001</v>
      </c>
      <c r="AO23" s="71">
        <v>5458.94</v>
      </c>
      <c r="AP23" s="115">
        <v>7076520</v>
      </c>
      <c r="AQ23" s="72">
        <v>103199254</v>
      </c>
      <c r="AR23" s="72">
        <v>3209.86</v>
      </c>
      <c r="AS23" s="72">
        <v>3209856</v>
      </c>
      <c r="AT23" s="116">
        <v>3209855601</v>
      </c>
      <c r="AU23" s="123">
        <v>0.19029499999999999</v>
      </c>
      <c r="AV23" s="123">
        <v>4.7023000000000004E-3</v>
      </c>
      <c r="AW23" s="73">
        <v>190295</v>
      </c>
      <c r="AX23" s="73">
        <v>1902.95</v>
      </c>
      <c r="AY23" s="73">
        <v>1.90295E-3</v>
      </c>
      <c r="AZ23" s="73">
        <v>19.029499999999999</v>
      </c>
      <c r="BA23" s="73">
        <v>19029525</v>
      </c>
      <c r="BB23" s="73">
        <v>204.83199999999999</v>
      </c>
      <c r="BC23" s="218">
        <v>29495.8</v>
      </c>
      <c r="BD23" s="251">
        <f t="shared" si="49"/>
        <v>-4.3783484194360217E-6</v>
      </c>
      <c r="BE23" s="252">
        <f t="shared" si="50"/>
        <v>0</v>
      </c>
      <c r="BF23" s="41">
        <f t="shared" si="51"/>
        <v>-3.4859339952977212E-7</v>
      </c>
      <c r="BG23" s="42">
        <f t="shared" si="51"/>
        <v>-3.4859339963640033E-7</v>
      </c>
      <c r="BH23" s="42">
        <f t="shared" si="51"/>
        <v>-3.4859339955517967E-7</v>
      </c>
      <c r="BI23" s="42">
        <f t="shared" si="51"/>
        <v>1.7778221466453794E-8</v>
      </c>
      <c r="BJ23" s="42">
        <f t="shared" si="51"/>
        <v>-3.4859339965280069E-7</v>
      </c>
      <c r="BK23" s="43">
        <f t="shared" si="51"/>
        <v>-3.4859339950311509E-7</v>
      </c>
      <c r="BL23" s="107">
        <f t="shared" si="52"/>
        <v>3.8292415266768996E-8</v>
      </c>
      <c r="BM23" s="44">
        <f t="shared" si="53"/>
        <v>-4.675547467886375E-10</v>
      </c>
      <c r="BN23" s="44">
        <f t="shared" si="53"/>
        <v>-1.3704462203298736E-6</v>
      </c>
      <c r="BO23" s="44">
        <f t="shared" si="53"/>
        <v>-1.2428424379748696E-7</v>
      </c>
      <c r="BP23" s="108">
        <f t="shared" si="53"/>
        <v>2.0413410882275589E-11</v>
      </c>
      <c r="BQ23" s="43">
        <f t="shared" si="53"/>
        <v>1.3227825387292007E-6</v>
      </c>
      <c r="BR23" s="42">
        <f t="shared" si="53"/>
        <v>-4.0900273847864175E-7</v>
      </c>
      <c r="BS23" s="42">
        <f t="shared" si="53"/>
        <v>1.3227825386918432E-6</v>
      </c>
      <c r="BT23" s="42">
        <f t="shared" si="53"/>
        <v>1.3227825386727257E-6</v>
      </c>
      <c r="BU23" s="42">
        <f t="shared" si="53"/>
        <v>1.3227825386745051E-6</v>
      </c>
      <c r="BV23" s="42">
        <f t="shared" si="53"/>
        <v>1.3227825387175324E-6</v>
      </c>
      <c r="BW23" s="42">
        <f t="shared" si="53"/>
        <v>9.0345719866963917E-9</v>
      </c>
      <c r="BX23" s="42">
        <f t="shared" si="53"/>
        <v>5.0882213433509834E-7</v>
      </c>
      <c r="BY23" s="45">
        <f t="shared" si="53"/>
        <v>7.8004697877772892E-7</v>
      </c>
    </row>
    <row r="24" spans="2:77" x14ac:dyDescent="0.25">
      <c r="B24" s="86">
        <v>21</v>
      </c>
      <c r="C24" s="93">
        <v>72</v>
      </c>
      <c r="D24" s="93">
        <v>93</v>
      </c>
      <c r="E24" s="199">
        <f t="shared" si="28"/>
        <v>90.598013223248998</v>
      </c>
      <c r="F24" s="191">
        <f t="shared" si="29"/>
        <v>117.61377470347595</v>
      </c>
      <c r="G24" s="156" t="s">
        <v>5</v>
      </c>
      <c r="H24" s="59"/>
      <c r="I24" s="56"/>
      <c r="J24" s="5">
        <v>960</v>
      </c>
      <c r="K24" s="57"/>
      <c r="L24" s="239">
        <f t="shared" si="30"/>
        <v>90.598013223248998</v>
      </c>
      <c r="M24" s="240">
        <f t="shared" si="31"/>
        <v>117.61377470347595</v>
      </c>
      <c r="N24" s="69">
        <f t="shared" si="32"/>
        <v>13698419599.355247</v>
      </c>
      <c r="O24" s="70">
        <f t="shared" si="33"/>
        <v>1369841959.9355247</v>
      </c>
      <c r="P24" s="70">
        <f t="shared" si="34"/>
        <v>1369841.9599355247</v>
      </c>
      <c r="Q24" s="70">
        <f t="shared" si="35"/>
        <v>136984195993.55247</v>
      </c>
      <c r="R24" s="70">
        <f>B24*C24*(SQRT(D24^2-B24^2))</f>
        <v>136984.19599355248</v>
      </c>
      <c r="S24" s="71">
        <f t="shared" si="36"/>
        <v>136984195.99355248</v>
      </c>
      <c r="T24" s="115">
        <f t="shared" si="37"/>
        <v>4644049178.5184422</v>
      </c>
      <c r="U24" s="72">
        <f t="shared" si="38"/>
        <v>67725717186.727295</v>
      </c>
      <c r="V24" s="72">
        <f t="shared" si="39"/>
        <v>2106505.2732807337</v>
      </c>
      <c r="W24" s="72">
        <f>R24*(0.45359237/0.3048^3)*J24</f>
        <v>2106505273.2807336</v>
      </c>
      <c r="X24" s="116">
        <f t="shared" si="40"/>
        <v>2106505273280.7336</v>
      </c>
      <c r="Y24" s="81">
        <f t="shared" si="41"/>
        <v>198.75230459524315</v>
      </c>
      <c r="Z24" s="73">
        <f t="shared" si="42"/>
        <v>4.9112764044485795</v>
      </c>
      <c r="AA24" s="73">
        <f t="shared" si="43"/>
        <v>198752304.59524316</v>
      </c>
      <c r="AB24" s="73">
        <f t="shared" si="44"/>
        <v>1987523.0459524314</v>
      </c>
      <c r="AC24" s="73">
        <f t="shared" si="45"/>
        <v>1.9875230459524316</v>
      </c>
      <c r="AD24" s="73">
        <f>2*(B24*C24+B24*(SQRT(D24^2-B24^2))+C24*(SQRT(D24^2-B24^2)))</f>
        <v>19875.230459524315</v>
      </c>
      <c r="AE24" s="73">
        <f t="shared" si="46"/>
        <v>19875230459.524315</v>
      </c>
      <c r="AF24" s="73">
        <f t="shared" si="47"/>
        <v>213935.20017778015</v>
      </c>
      <c r="AG24" s="81">
        <f t="shared" si="48"/>
        <v>30806668.825600341</v>
      </c>
      <c r="AH24" s="241">
        <v>90.597999999999999</v>
      </c>
      <c r="AI24" s="242">
        <v>117.61</v>
      </c>
      <c r="AJ24" s="217">
        <v>13698419599</v>
      </c>
      <c r="AK24" s="70">
        <v>1369841960</v>
      </c>
      <c r="AL24" s="70">
        <v>1369842</v>
      </c>
      <c r="AM24" s="70">
        <v>136984195994</v>
      </c>
      <c r="AN24" s="70">
        <v>136984</v>
      </c>
      <c r="AO24" s="71">
        <v>136984196</v>
      </c>
      <c r="AP24" s="115">
        <v>4644049179</v>
      </c>
      <c r="AQ24" s="72">
        <v>67725717187</v>
      </c>
      <c r="AR24" s="72">
        <v>2106505</v>
      </c>
      <c r="AS24" s="72">
        <v>2106505273</v>
      </c>
      <c r="AT24" s="116">
        <v>2106505273281</v>
      </c>
      <c r="AU24" s="123">
        <v>198.75200000000001</v>
      </c>
      <c r="AV24" s="123">
        <v>4.9112799999999996</v>
      </c>
      <c r="AW24" s="73">
        <v>198752305</v>
      </c>
      <c r="AX24" s="73">
        <v>1987523</v>
      </c>
      <c r="AY24" s="73">
        <v>1.98752</v>
      </c>
      <c r="AZ24" s="73">
        <v>19875.2</v>
      </c>
      <c r="BA24" s="73">
        <v>19875230460</v>
      </c>
      <c r="BB24" s="73">
        <v>213935</v>
      </c>
      <c r="BC24" s="218">
        <v>30806669</v>
      </c>
      <c r="BD24" s="251">
        <f t="shared" si="49"/>
        <v>1.4595517637124527E-7</v>
      </c>
      <c r="BE24" s="252">
        <f t="shared" si="50"/>
        <v>3.209405943709762E-5</v>
      </c>
      <c r="BF24" s="41">
        <f t="shared" si="51"/>
        <v>2.5933465899622058E-11</v>
      </c>
      <c r="BG24" s="42">
        <f t="shared" si="51"/>
        <v>-4.706769088230525E-11</v>
      </c>
      <c r="BH24" s="42">
        <f t="shared" si="51"/>
        <v>-2.9247516456678425E-8</v>
      </c>
      <c r="BI24" s="42">
        <f t="shared" si="51"/>
        <v>-3.2669828892898451E-12</v>
      </c>
      <c r="BJ24" s="42">
        <f t="shared" si="51"/>
        <v>1.4307749230314089E-6</v>
      </c>
      <c r="BK24" s="43">
        <f t="shared" si="51"/>
        <v>-4.7067647370245814E-11</v>
      </c>
      <c r="BL24" s="107">
        <f t="shared" si="52"/>
        <v>-1.0369352854763779E-10</v>
      </c>
      <c r="BM24" s="44">
        <f t="shared" si="53"/>
        <v>-4.0266104140783323E-12</v>
      </c>
      <c r="BN24" s="44">
        <f t="shared" si="53"/>
        <v>1.2973180613264189E-7</v>
      </c>
      <c r="BO24" s="44">
        <f t="shared" si="53"/>
        <v>1.3326982320839066E-10</v>
      </c>
      <c r="BP24" s="108">
        <f t="shared" si="53"/>
        <v>-1.2644517213107523E-13</v>
      </c>
      <c r="BQ24" s="43">
        <f t="shared" si="53"/>
        <v>1.5325369119956789E-6</v>
      </c>
      <c r="BR24" s="42">
        <f t="shared" si="53"/>
        <v>-7.3210121444149486E-7</v>
      </c>
      <c r="BS24" s="42">
        <f t="shared" si="53"/>
        <v>-2.0364888088619373E-9</v>
      </c>
      <c r="BT24" s="42">
        <f t="shared" si="53"/>
        <v>2.3120452105200105E-8</v>
      </c>
      <c r="BU24" s="42">
        <f t="shared" si="53"/>
        <v>1.5325369121208043E-6</v>
      </c>
      <c r="BV24" s="42">
        <f t="shared" si="53"/>
        <v>1.5325369120242789E-6</v>
      </c>
      <c r="BW24" s="42">
        <f t="shared" si="53"/>
        <v>-2.3933564976649387E-11</v>
      </c>
      <c r="BX24" s="42">
        <f t="shared" si="53"/>
        <v>9.3569351832918716E-7</v>
      </c>
      <c r="BY24" s="45">
        <f t="shared" si="53"/>
        <v>-5.6611008488092008E-9</v>
      </c>
    </row>
    <row r="25" spans="2:77" x14ac:dyDescent="0.25">
      <c r="B25" s="86">
        <v>82</v>
      </c>
      <c r="C25" s="93">
        <v>77</v>
      </c>
      <c r="D25" s="93">
        <v>143</v>
      </c>
      <c r="E25" s="199">
        <f t="shared" si="28"/>
        <v>117.15374513859982</v>
      </c>
      <c r="F25" s="191">
        <f t="shared" si="29"/>
        <v>162.41305366256739</v>
      </c>
      <c r="G25" s="156" t="s">
        <v>6</v>
      </c>
      <c r="H25" s="59"/>
      <c r="I25" s="58"/>
      <c r="J25" s="58"/>
      <c r="K25" s="14">
        <v>1200</v>
      </c>
      <c r="L25" s="239">
        <f>SQRT(D25^2-B25^2)</f>
        <v>117.15374513859982</v>
      </c>
      <c r="M25" s="240">
        <f t="shared" si="31"/>
        <v>162.41305366256739</v>
      </c>
      <c r="N25" s="69">
        <f t="shared" si="32"/>
        <v>3.0832405545525255E+20</v>
      </c>
      <c r="O25" s="70">
        <f t="shared" si="33"/>
        <v>3.0832405545525256E+19</v>
      </c>
      <c r="P25" s="70">
        <f t="shared" si="34"/>
        <v>3.0832405545525256E+16</v>
      </c>
      <c r="Q25" s="70">
        <f t="shared" si="35"/>
        <v>3.0832405545525256E+21</v>
      </c>
      <c r="R25" s="70">
        <f>(B25*C25*(SQRT(D25^2-B25^2)))*(63360*2.54/100)^3</f>
        <v>3083240554552525.5</v>
      </c>
      <c r="S25" s="71">
        <f t="shared" si="36"/>
        <v>3.0832405545525253E+18</v>
      </c>
      <c r="T25" s="115">
        <f t="shared" si="37"/>
        <v>8.156858250201674E+21</v>
      </c>
      <c r="U25" s="72">
        <f t="shared" si="38"/>
        <v>1.1895418281544107E+23</v>
      </c>
      <c r="V25" s="72">
        <f t="shared" si="39"/>
        <v>3.6998886654630303E+18</v>
      </c>
      <c r="W25" s="72">
        <f>R25*1000*K25</f>
        <v>3.6998886654630303E+21</v>
      </c>
      <c r="X25" s="116">
        <f t="shared" si="40"/>
        <v>3.69988866546303E+24</v>
      </c>
      <c r="Y25" s="81">
        <f t="shared" si="41"/>
        <v>1291960944.8024077</v>
      </c>
      <c r="Z25" s="73">
        <f t="shared" si="42"/>
        <v>31925050.21060783</v>
      </c>
      <c r="AA25" s="73">
        <f t="shared" si="43"/>
        <v>1291960944802407.7</v>
      </c>
      <c r="AB25" s="73">
        <f t="shared" si="44"/>
        <v>12919609448024.078</v>
      </c>
      <c r="AC25" s="73">
        <f t="shared" si="45"/>
        <v>12919609.448024079</v>
      </c>
      <c r="AD25" s="73">
        <f>(2*(B25*C25+B25*(SQRT(D25^2-B25^2))+C25*(SQRT(D25^2-B25^2))))*(63360*2.54/100)^2</f>
        <v>129196094480.24078</v>
      </c>
      <c r="AE25" s="73">
        <f t="shared" si="46"/>
        <v>1.2919609448024078E+17</v>
      </c>
      <c r="AF25" s="73">
        <f t="shared" si="47"/>
        <v>1390655187174.0771</v>
      </c>
      <c r="AG25" s="81">
        <f t="shared" si="48"/>
        <v>200254346953067.09</v>
      </c>
      <c r="AH25" s="239">
        <v>117.15</v>
      </c>
      <c r="AI25" s="240">
        <v>162.41</v>
      </c>
      <c r="AJ25" s="217">
        <v>3.08324055455253E+20</v>
      </c>
      <c r="AK25" s="70">
        <v>3.0832405545525301E+19</v>
      </c>
      <c r="AL25" s="70">
        <v>3.08324055455253E+16</v>
      </c>
      <c r="AM25" s="70">
        <v>3.0832405545525298E+21</v>
      </c>
      <c r="AN25" s="70">
        <v>3083240554552530</v>
      </c>
      <c r="AO25" s="71">
        <v>3.0832405545525299E+18</v>
      </c>
      <c r="AP25" s="115">
        <v>8.1568582502016803E+21</v>
      </c>
      <c r="AQ25" s="72">
        <v>1.1895418281544101E+23</v>
      </c>
      <c r="AR25" s="72">
        <v>3.6998886654630298E+18</v>
      </c>
      <c r="AS25" s="72">
        <v>3.6998886654630298E+21</v>
      </c>
      <c r="AT25" s="116">
        <v>3.69988866546303E+24</v>
      </c>
      <c r="AU25" s="123">
        <v>1291960945</v>
      </c>
      <c r="AV25" s="123">
        <v>31925050</v>
      </c>
      <c r="AW25" s="73">
        <v>1291960944802410</v>
      </c>
      <c r="AX25" s="73">
        <v>12919609448024</v>
      </c>
      <c r="AY25" s="73">
        <v>12919609</v>
      </c>
      <c r="AZ25" s="73">
        <v>129196094480</v>
      </c>
      <c r="BA25" s="73">
        <v>1.2919609448024099E+17</v>
      </c>
      <c r="BB25" s="73">
        <v>1390655187174</v>
      </c>
      <c r="BC25" s="218">
        <v>200254346953067</v>
      </c>
      <c r="BD25" s="251">
        <f t="shared" si="49"/>
        <v>3.1967724082404279E-5</v>
      </c>
      <c r="BE25" s="252">
        <f t="shared" si="50"/>
        <v>1.8801829646897608E-5</v>
      </c>
      <c r="BF25" s="41">
        <f t="shared" si="51"/>
        <v>-1.4878890955252737E-15</v>
      </c>
      <c r="BG25" s="42">
        <f t="shared" si="51"/>
        <v>-1.4613196473908935E-15</v>
      </c>
      <c r="BH25" s="42">
        <f t="shared" si="51"/>
        <v>-1.4270699681551696E-15</v>
      </c>
      <c r="BI25" s="42">
        <f t="shared" si="51"/>
        <v>-1.36035574448025E-15</v>
      </c>
      <c r="BJ25" s="42">
        <f t="shared" si="51"/>
        <v>-1.4595033765223325E-15</v>
      </c>
      <c r="BK25" s="43">
        <f t="shared" si="51"/>
        <v>-1.4945314575588685E-15</v>
      </c>
      <c r="BL25" s="107">
        <f t="shared" si="52"/>
        <v>-7.713087327273889E-16</v>
      </c>
      <c r="BM25" s="44">
        <f t="shared" si="53"/>
        <v>5.6415724450917595E-16</v>
      </c>
      <c r="BN25" s="44">
        <f t="shared" si="53"/>
        <v>1.3838254236656191E-16</v>
      </c>
      <c r="BO25" s="44">
        <f t="shared" si="53"/>
        <v>1.417037233833594E-16</v>
      </c>
      <c r="BP25" s="108">
        <f t="shared" si="53"/>
        <v>0</v>
      </c>
      <c r="BQ25" s="43">
        <f t="shared" si="53"/>
        <v>-1.5293980769951903E-10</v>
      </c>
      <c r="BR25" s="42">
        <f t="shared" si="53"/>
        <v>6.5969459420006907E-9</v>
      </c>
      <c r="BS25" s="42">
        <f t="shared" si="53"/>
        <v>-1.7415387121815161E-15</v>
      </c>
      <c r="BT25" s="42">
        <f t="shared" si="53"/>
        <v>6.0470094172969308E-15</v>
      </c>
      <c r="BU25" s="42">
        <f t="shared" si="53"/>
        <v>3.4677834574335859E-8</v>
      </c>
      <c r="BV25" s="42">
        <f t="shared" si="53"/>
        <v>1.8637071993153432E-12</v>
      </c>
      <c r="BW25" s="42">
        <f t="shared" si="53"/>
        <v>-1.6099557872611347E-15</v>
      </c>
      <c r="BX25" s="42">
        <f t="shared" si="53"/>
        <v>5.5476323830331954E-14</v>
      </c>
      <c r="BY25" s="45">
        <f t="shared" si="53"/>
        <v>4.6815463147959459E-16</v>
      </c>
    </row>
    <row r="26" spans="2:77" x14ac:dyDescent="0.25">
      <c r="B26" s="86">
        <v>543</v>
      </c>
      <c r="C26" s="93">
        <v>23</v>
      </c>
      <c r="D26" s="93">
        <v>655</v>
      </c>
      <c r="E26" s="199">
        <f t="shared" si="28"/>
        <v>366.30042315017874</v>
      </c>
      <c r="F26" s="191">
        <f t="shared" si="29"/>
        <v>655.4036923911857</v>
      </c>
      <c r="G26" s="156" t="s">
        <v>7</v>
      </c>
      <c r="H26" s="11">
        <v>655</v>
      </c>
      <c r="I26" s="58"/>
      <c r="J26" s="58"/>
      <c r="K26" s="55"/>
      <c r="L26" s="239">
        <f t="shared" si="30"/>
        <v>366.30042315017874</v>
      </c>
      <c r="M26" s="240">
        <f t="shared" si="31"/>
        <v>655.4036923911857</v>
      </c>
      <c r="N26" s="69">
        <f t="shared" si="32"/>
        <v>457.47259847225831</v>
      </c>
      <c r="O26" s="70">
        <f t="shared" si="33"/>
        <v>45.747259847225827</v>
      </c>
      <c r="P26" s="70">
        <f t="shared" si="34"/>
        <v>4.574725984722583E-2</v>
      </c>
      <c r="Q26" s="70">
        <f t="shared" si="35"/>
        <v>4574.7259847225832</v>
      </c>
      <c r="R26" s="70">
        <f>(B26*C26*(SQRT(D26^2-B26^2)))/1000^3</f>
        <v>4.574725984722583E-3</v>
      </c>
      <c r="S26" s="71">
        <f t="shared" si="36"/>
        <v>4.5747259847225834</v>
      </c>
      <c r="T26" s="115">
        <f t="shared" si="37"/>
        <v>6.6060315785146297</v>
      </c>
      <c r="U26" s="72">
        <f t="shared" si="38"/>
        <v>96.337960520005012</v>
      </c>
      <c r="V26" s="72">
        <f t="shared" si="39"/>
        <v>2.9964455199932918E-3</v>
      </c>
      <c r="W26" s="72">
        <f>R26*H26</f>
        <v>2.996445519993292</v>
      </c>
      <c r="X26" s="116">
        <f t="shared" si="40"/>
        <v>2996.4455199932918</v>
      </c>
      <c r="Y26" s="81">
        <f t="shared" si="41"/>
        <v>4.3963007900600232E-3</v>
      </c>
      <c r="Z26" s="73">
        <f t="shared" si="42"/>
        <v>1.0863495837721823E-4</v>
      </c>
      <c r="AA26" s="73">
        <f t="shared" si="43"/>
        <v>4396.3007900600232</v>
      </c>
      <c r="AB26" s="73">
        <f t="shared" si="44"/>
        <v>43.963007900600232</v>
      </c>
      <c r="AC26" s="73">
        <f t="shared" si="45"/>
        <v>4.3963007900600231E-5</v>
      </c>
      <c r="AD26" s="73">
        <f>(2*(B26*C26+B26*(SQRT(D26^2-B26^2))+C26*(SQRT(D26^2-B26^2))))/1000^2</f>
        <v>0.43963007900600232</v>
      </c>
      <c r="AE26" s="73">
        <f t="shared" si="46"/>
        <v>439630.07900600234</v>
      </c>
      <c r="AF26" s="73">
        <f t="shared" si="47"/>
        <v>4.7321387869116265</v>
      </c>
      <c r="AG26" s="81">
        <f t="shared" si="48"/>
        <v>681.42798531527421</v>
      </c>
      <c r="AH26" s="239">
        <v>366.3</v>
      </c>
      <c r="AI26" s="240">
        <v>655.4</v>
      </c>
      <c r="AJ26" s="217">
        <v>457.47300000000001</v>
      </c>
      <c r="AK26" s="70">
        <v>45.747300000000003</v>
      </c>
      <c r="AL26" s="70">
        <v>4.5747299999999998E-2</v>
      </c>
      <c r="AM26" s="70">
        <v>4574.7299999999996</v>
      </c>
      <c r="AN26" s="70">
        <v>4.5747299999999999E-3</v>
      </c>
      <c r="AO26" s="71">
        <v>4.5747299999999997</v>
      </c>
      <c r="AP26" s="115">
        <v>6.6060299999999996</v>
      </c>
      <c r="AQ26" s="72">
        <v>96.337999999999994</v>
      </c>
      <c r="AR26" s="72">
        <v>2.9964499999999999E-3</v>
      </c>
      <c r="AS26" s="72">
        <v>2.9964499999999998</v>
      </c>
      <c r="AT26" s="116">
        <v>2996.45</v>
      </c>
      <c r="AU26" s="123">
        <v>4.3962999999999997E-3</v>
      </c>
      <c r="AV26" s="123">
        <v>1.0863500000000001E-4</v>
      </c>
      <c r="AW26" s="73">
        <v>4396.3</v>
      </c>
      <c r="AX26" s="73">
        <v>43.963000000000001</v>
      </c>
      <c r="AY26" s="73">
        <v>4.3963007900600197E-5</v>
      </c>
      <c r="AZ26" s="73">
        <v>0.43963000000000002</v>
      </c>
      <c r="BA26" s="73">
        <v>439630</v>
      </c>
      <c r="BB26" s="73">
        <v>4.7321400000000002</v>
      </c>
      <c r="BC26" s="218">
        <v>681.428</v>
      </c>
      <c r="BD26" s="251">
        <f t="shared" si="49"/>
        <v>1.155199808654277E-6</v>
      </c>
      <c r="BE26" s="252">
        <f t="shared" si="50"/>
        <v>5.6337662246783705E-6</v>
      </c>
      <c r="BF26" s="41">
        <f t="shared" si="51"/>
        <v>-8.7770883554996393E-7</v>
      </c>
      <c r="BG26" s="42">
        <f t="shared" si="51"/>
        <v>-8.7770883567421943E-7</v>
      </c>
      <c r="BH26" s="42">
        <f t="shared" si="51"/>
        <v>-8.7770883550555241E-7</v>
      </c>
      <c r="BI26" s="42">
        <f t="shared" si="51"/>
        <v>-8.7770883540085755E-7</v>
      </c>
      <c r="BJ26" s="42">
        <f t="shared" si="51"/>
        <v>-8.7770883554347217E-7</v>
      </c>
      <c r="BK26" s="43">
        <f t="shared" si="51"/>
        <v>-8.7770883540241069E-7</v>
      </c>
      <c r="BL26" s="107">
        <f t="shared" si="52"/>
        <v>2.3895051232457282E-7</v>
      </c>
      <c r="BM26" s="44">
        <f t="shared" si="53"/>
        <v>-4.098072532214687E-7</v>
      </c>
      <c r="BN26" s="44">
        <f t="shared" si="53"/>
        <v>-1.4951070120124962E-6</v>
      </c>
      <c r="BO26" s="44">
        <f t="shared" si="53"/>
        <v>-1.4951070119372354E-6</v>
      </c>
      <c r="BP26" s="108">
        <f t="shared" si="53"/>
        <v>-1.4951070120060028E-6</v>
      </c>
      <c r="BQ26" s="43">
        <f t="shared" si="53"/>
        <v>1.7971018390417462E-7</v>
      </c>
      <c r="BR26" s="42">
        <f t="shared" si="53"/>
        <v>-3.8314353311888344E-7</v>
      </c>
      <c r="BS26" s="42">
        <f t="shared" si="53"/>
        <v>1.7971018380963789E-7</v>
      </c>
      <c r="BT26" s="42">
        <f t="shared" si="53"/>
        <v>1.7971018381610281E-7</v>
      </c>
      <c r="BU26" s="42">
        <f t="shared" si="53"/>
        <v>7.7067788370571041E-16</v>
      </c>
      <c r="BV26" s="42">
        <f t="shared" si="53"/>
        <v>1.7971018378579851E-7</v>
      </c>
      <c r="BW26" s="42">
        <f t="shared" si="53"/>
        <v>1.7971018389238877E-7</v>
      </c>
      <c r="BX26" s="42">
        <f t="shared" si="53"/>
        <v>-2.56350971173518E-7</v>
      </c>
      <c r="BY26" s="45">
        <f t="shared" si="53"/>
        <v>-2.1549930587331006E-8</v>
      </c>
    </row>
    <row r="27" spans="2:77" x14ac:dyDescent="0.25">
      <c r="B27" s="86">
        <v>2</v>
      </c>
      <c r="C27" s="93">
        <v>17</v>
      </c>
      <c r="D27" s="93">
        <v>32</v>
      </c>
      <c r="E27" s="199">
        <f t="shared" si="28"/>
        <v>31.937438845342623</v>
      </c>
      <c r="F27" s="191">
        <f t="shared" si="29"/>
        <v>36.235341863986875</v>
      </c>
      <c r="G27" s="156" t="s">
        <v>8</v>
      </c>
      <c r="H27" s="59"/>
      <c r="I27" s="4">
        <v>710</v>
      </c>
      <c r="J27" s="58"/>
      <c r="K27" s="55"/>
      <c r="L27" s="239">
        <f t="shared" si="30"/>
        <v>31.937438845342623</v>
      </c>
      <c r="M27" s="240">
        <f t="shared" si="31"/>
        <v>36.235341863986875</v>
      </c>
      <c r="N27" s="69">
        <f t="shared" si="32"/>
        <v>83020941.670630276</v>
      </c>
      <c r="O27" s="70">
        <f t="shared" si="33"/>
        <v>8302094.1670630286</v>
      </c>
      <c r="P27" s="70">
        <f t="shared" si="34"/>
        <v>8302.0941670630273</v>
      </c>
      <c r="Q27" s="70">
        <f t="shared" si="35"/>
        <v>830209416.70630276</v>
      </c>
      <c r="R27" s="70">
        <f>(B27*C27*(SQRT(D27^2-B27^2)))*0.9144^3</f>
        <v>830.20941670630282</v>
      </c>
      <c r="S27" s="71">
        <f t="shared" si="36"/>
        <v>830209.41670630279</v>
      </c>
      <c r="T27" s="115">
        <f t="shared" si="37"/>
        <v>1299511907.2692404</v>
      </c>
      <c r="U27" s="72">
        <f t="shared" si="38"/>
        <v>18951215314.34309</v>
      </c>
      <c r="V27" s="72">
        <f t="shared" si="39"/>
        <v>589448.68586147495</v>
      </c>
      <c r="W27" s="72">
        <f>R27*1000*I27</f>
        <v>589448685.86147499</v>
      </c>
      <c r="X27" s="116">
        <f t="shared" si="40"/>
        <v>589448685861.47498</v>
      </c>
      <c r="Y27" s="81">
        <f t="shared" si="41"/>
        <v>10.715997847028754</v>
      </c>
      <c r="Z27" s="73">
        <f t="shared" si="42"/>
        <v>0.26479807357913626</v>
      </c>
      <c r="AA27" s="73">
        <f t="shared" si="43"/>
        <v>10715997.847028755</v>
      </c>
      <c r="AB27" s="73">
        <f t="shared" si="44"/>
        <v>107159.97847028755</v>
      </c>
      <c r="AC27" s="73">
        <f t="shared" si="45"/>
        <v>0.10715997847028755</v>
      </c>
      <c r="AD27" s="73">
        <f>(2*(B27*C27+B27*(SQRT(D27^2-B27^2))+C27*(SQRT(D27^2-B27^2))))*0.9144^2</f>
        <v>1071.5997847028755</v>
      </c>
      <c r="AE27" s="73">
        <f t="shared" si="46"/>
        <v>1071599784.7028755</v>
      </c>
      <c r="AF27" s="73">
        <f t="shared" si="47"/>
        <v>11534.604085107178</v>
      </c>
      <c r="AG27" s="81">
        <f t="shared" si="48"/>
        <v>1660982.9882554335</v>
      </c>
      <c r="AH27" s="239">
        <v>31.937000000000001</v>
      </c>
      <c r="AI27" s="240">
        <v>36.234999999999999</v>
      </c>
      <c r="AJ27" s="217">
        <v>83020942</v>
      </c>
      <c r="AK27" s="70">
        <v>8302094</v>
      </c>
      <c r="AL27" s="70">
        <v>8302.09</v>
      </c>
      <c r="AM27" s="70">
        <v>830209417</v>
      </c>
      <c r="AN27" s="70">
        <v>830.20899999999995</v>
      </c>
      <c r="AO27" s="71">
        <v>830209</v>
      </c>
      <c r="AP27" s="115">
        <v>1299511907</v>
      </c>
      <c r="AQ27" s="72">
        <v>18951215314</v>
      </c>
      <c r="AR27" s="72">
        <v>589449</v>
      </c>
      <c r="AS27" s="72">
        <v>589448686</v>
      </c>
      <c r="AT27" s="116">
        <v>589448685861</v>
      </c>
      <c r="AU27" s="123">
        <v>10.715999999999999</v>
      </c>
      <c r="AV27" s="123">
        <v>0.26479799999999998</v>
      </c>
      <c r="AW27" s="73">
        <v>10715998</v>
      </c>
      <c r="AX27" s="73">
        <v>107160</v>
      </c>
      <c r="AY27" s="73">
        <v>0.10716000000000001</v>
      </c>
      <c r="AZ27" s="73">
        <v>1071.5999999999999</v>
      </c>
      <c r="BA27" s="73">
        <v>1071599785</v>
      </c>
      <c r="BB27" s="73">
        <v>11534.6</v>
      </c>
      <c r="BC27" s="218">
        <v>1660983</v>
      </c>
      <c r="BD27" s="251">
        <f t="shared" si="49"/>
        <v>1.3740780678962138E-5</v>
      </c>
      <c r="BE27" s="252">
        <f t="shared" si="50"/>
        <v>9.4345456476923988E-6</v>
      </c>
      <c r="BF27" s="41">
        <f t="shared" si="51"/>
        <v>-3.9673089363832556E-9</v>
      </c>
      <c r="BG27" s="42">
        <f t="shared" si="51"/>
        <v>2.0122998509752968E-8</v>
      </c>
      <c r="BH27" s="42">
        <f t="shared" si="51"/>
        <v>5.0192914501711829E-7</v>
      </c>
      <c r="BI27" s="42">
        <f t="shared" si="51"/>
        <v>-3.5376283628970686E-10</v>
      </c>
      <c r="BJ27" s="42">
        <f t="shared" si="51"/>
        <v>5.0192914520883086E-7</v>
      </c>
      <c r="BK27" s="43">
        <f t="shared" si="51"/>
        <v>5.0192914510475835E-7</v>
      </c>
      <c r="BL27" s="107">
        <f t="shared" si="52"/>
        <v>2.0718577323332929E-10</v>
      </c>
      <c r="BM27" s="44">
        <f t="shared" si="53"/>
        <v>1.8103855171408541E-11</v>
      </c>
      <c r="BN27" s="44">
        <f t="shared" si="53"/>
        <v>-5.3293616999093138E-7</v>
      </c>
      <c r="BO27" s="44">
        <f t="shared" si="53"/>
        <v>-2.3500774957674244E-10</v>
      </c>
      <c r="BP27" s="108">
        <f t="shared" si="53"/>
        <v>8.0579632685638551E-13</v>
      </c>
      <c r="BQ27" s="43">
        <f t="shared" si="53"/>
        <v>-2.0091187732337751E-7</v>
      </c>
      <c r="BR27" s="42">
        <f t="shared" si="53"/>
        <v>2.7786885036313663E-7</v>
      </c>
      <c r="BS27" s="42">
        <f t="shared" si="53"/>
        <v>-1.4275035095389474E-8</v>
      </c>
      <c r="BT27" s="42">
        <f t="shared" si="53"/>
        <v>-2.0091187735997881E-7</v>
      </c>
      <c r="BU27" s="42">
        <f t="shared" si="53"/>
        <v>-2.009118774062609E-7</v>
      </c>
      <c r="BV27" s="42">
        <f t="shared" si="53"/>
        <v>-2.0091187728359346E-7</v>
      </c>
      <c r="BW27" s="42">
        <f t="shared" si="53"/>
        <v>-2.7727189691944002E-10</v>
      </c>
      <c r="BX27" s="42">
        <f t="shared" si="53"/>
        <v>3.5416102252141622E-7</v>
      </c>
      <c r="BY27" s="45">
        <f t="shared" si="53"/>
        <v>-7.070852969382039E-9</v>
      </c>
    </row>
    <row r="28" spans="2:77" ht="15.75" thickBot="1" x14ac:dyDescent="0.3">
      <c r="B28" s="88">
        <v>43</v>
      </c>
      <c r="C28" s="95">
        <v>3</v>
      </c>
      <c r="D28" s="95">
        <v>87</v>
      </c>
      <c r="E28" s="198">
        <f t="shared" si="28"/>
        <v>75.630681604756148</v>
      </c>
      <c r="F28" s="194">
        <f t="shared" si="29"/>
        <v>87.051708771281454</v>
      </c>
      <c r="G28" s="157" t="s">
        <v>43</v>
      </c>
      <c r="H28" s="63"/>
      <c r="I28" s="60"/>
      <c r="J28" s="9">
        <v>830</v>
      </c>
      <c r="K28" s="61"/>
      <c r="L28" s="243">
        <f t="shared" si="30"/>
        <v>75.630681604756148</v>
      </c>
      <c r="M28" s="244">
        <f t="shared" si="31"/>
        <v>87.051708771281454</v>
      </c>
      <c r="N28" s="79">
        <f t="shared" si="32"/>
        <v>9.7563579270135435E-10</v>
      </c>
      <c r="O28" s="74">
        <f t="shared" si="33"/>
        <v>9.7563579270135437E-11</v>
      </c>
      <c r="P28" s="74">
        <f t="shared" si="34"/>
        <v>9.7563579270135429E-14</v>
      </c>
      <c r="Q28" s="74">
        <f t="shared" si="35"/>
        <v>9.7563579270135431E-9</v>
      </c>
      <c r="R28" s="74">
        <f>(B28*C28*(SQRT(D28^2-B28^2)))/1000000^3</f>
        <v>9.7563579270135432E-15</v>
      </c>
      <c r="S28" s="75">
        <f t="shared" si="36"/>
        <v>9.7563579270135424E-12</v>
      </c>
      <c r="T28" s="117">
        <f t="shared" si="37"/>
        <v>2.8597029874467028E-10</v>
      </c>
      <c r="U28" s="76">
        <f t="shared" si="38"/>
        <v>4.1704001900264423E-9</v>
      </c>
      <c r="V28" s="76">
        <f t="shared" si="39"/>
        <v>1.2971394555720303E-13</v>
      </c>
      <c r="W28" s="76">
        <f>R28*(0.45359237/0.3048^3)*J28</f>
        <v>1.2971394555720303E-10</v>
      </c>
      <c r="X28" s="118">
        <f t="shared" si="40"/>
        <v>1.2971394555720303E-7</v>
      </c>
      <c r="Y28" s="82">
        <f t="shared" si="41"/>
        <v>7.2160227076375662E-11</v>
      </c>
      <c r="Z28" s="77">
        <f t="shared" si="42"/>
        <v>1.783118043846508E-12</v>
      </c>
      <c r="AA28" s="77">
        <f t="shared" si="43"/>
        <v>7.2160227076375661E-5</v>
      </c>
      <c r="AB28" s="77">
        <f t="shared" si="44"/>
        <v>7.2160227076375656E-7</v>
      </c>
      <c r="AC28" s="77">
        <f t="shared" si="45"/>
        <v>7.2160227076375663E-13</v>
      </c>
      <c r="AD28" s="77">
        <f>(2*(B28*C28+B28*(SQRT(D28^2-B28^2))+C28*(SQRT(D28^2-B28^2))))/1000000^2</f>
        <v>7.2160227076375659E-9</v>
      </c>
      <c r="AE28" s="77">
        <f t="shared" si="46"/>
        <v>7.2160227076375656E-3</v>
      </c>
      <c r="AF28" s="77">
        <f t="shared" si="47"/>
        <v>7.7672621989953887E-8</v>
      </c>
      <c r="AG28" s="82">
        <f t="shared" si="48"/>
        <v>1.1184857566553361E-5</v>
      </c>
      <c r="AH28" s="243">
        <v>75.631</v>
      </c>
      <c r="AI28" s="244">
        <v>87.052000000000007</v>
      </c>
      <c r="AJ28" s="219">
        <v>9.7563579270135393E-10</v>
      </c>
      <c r="AK28" s="74">
        <v>9.7563579270135399E-11</v>
      </c>
      <c r="AL28" s="74">
        <v>9.7563579270135404E-14</v>
      </c>
      <c r="AM28" s="74">
        <v>9.7563579270135398E-9</v>
      </c>
      <c r="AN28" s="74">
        <v>9.7563579270135401E-15</v>
      </c>
      <c r="AO28" s="75">
        <v>9.7563579270135392E-12</v>
      </c>
      <c r="AP28" s="117">
        <v>2.8597029874467002E-10</v>
      </c>
      <c r="AQ28" s="76">
        <v>4.1704001900264398E-9</v>
      </c>
      <c r="AR28" s="76">
        <v>1.29713945557203E-13</v>
      </c>
      <c r="AS28" s="76">
        <v>1.2971394555720301E-10</v>
      </c>
      <c r="AT28" s="118">
        <v>1.29713945557203E-7</v>
      </c>
      <c r="AU28" s="125">
        <v>7.2160227076375597E-11</v>
      </c>
      <c r="AV28" s="125">
        <v>1.78311804384651E-12</v>
      </c>
      <c r="AW28" s="77">
        <v>7.2160227076375593E-5</v>
      </c>
      <c r="AX28" s="77">
        <v>7.2160227076375603E-7</v>
      </c>
      <c r="AY28" s="77">
        <v>7.2160227076375704E-13</v>
      </c>
      <c r="AZ28" s="77">
        <v>7.21602270763757E-9</v>
      </c>
      <c r="BA28" s="77">
        <v>7.2160200000000001E-3</v>
      </c>
      <c r="BB28" s="77">
        <v>7.76726219899539E-8</v>
      </c>
      <c r="BC28" s="220">
        <v>1.11848575665534E-5</v>
      </c>
      <c r="BD28" s="253">
        <f t="shared" si="49"/>
        <v>-4.2098687608798067E-6</v>
      </c>
      <c r="BE28" s="254">
        <f t="shared" si="50"/>
        <v>-3.3454681437389309E-6</v>
      </c>
      <c r="BF28" s="46">
        <f t="shared" si="51"/>
        <v>4.2391875059376315E-16</v>
      </c>
      <c r="BG28" s="47">
        <f t="shared" si="51"/>
        <v>3.9742382868165295E-16</v>
      </c>
      <c r="BH28" s="47">
        <f t="shared" si="51"/>
        <v>2.5873947179795115E-16</v>
      </c>
      <c r="BI28" s="47">
        <f t="shared" si="51"/>
        <v>3.3913500047501051E-16</v>
      </c>
      <c r="BJ28" s="47">
        <f t="shared" si="51"/>
        <v>3.2342433974743893E-16</v>
      </c>
      <c r="BK28" s="48">
        <f t="shared" si="51"/>
        <v>3.3118652390137748E-16</v>
      </c>
      <c r="BL28" s="109">
        <f t="shared" si="52"/>
        <v>9.0391884247258306E-16</v>
      </c>
      <c r="BM28" s="49">
        <f t="shared" si="53"/>
        <v>5.9503686087338033E-16</v>
      </c>
      <c r="BN28" s="49">
        <f t="shared" si="53"/>
        <v>1.9460936801078286E-16</v>
      </c>
      <c r="BO28" s="49">
        <f t="shared" si="53"/>
        <v>1.9927999284304164E-16</v>
      </c>
      <c r="BP28" s="110">
        <f t="shared" si="53"/>
        <v>2.0406271267127466E-16</v>
      </c>
      <c r="BQ28" s="48">
        <f t="shared" si="53"/>
        <v>8.9555546003626959E-16</v>
      </c>
      <c r="BR28" s="47">
        <f t="shared" si="53"/>
        <v>-1.1325576140822389E-15</v>
      </c>
      <c r="BS28" s="47">
        <f t="shared" si="53"/>
        <v>9.3905796206299146E-16</v>
      </c>
      <c r="BT28" s="47">
        <f t="shared" si="53"/>
        <v>7.3363903286171215E-16</v>
      </c>
      <c r="BU28" s="47">
        <f t="shared" si="53"/>
        <v>-5.5972216252266857E-16</v>
      </c>
      <c r="BV28" s="47">
        <f t="shared" si="53"/>
        <v>-5.7315549442321257E-16</v>
      </c>
      <c r="BW28" s="47">
        <f t="shared" si="53"/>
        <v>3.7522575458095264E-7</v>
      </c>
      <c r="BX28" s="47">
        <f t="shared" si="53"/>
        <v>-1.703932410387824E-16</v>
      </c>
      <c r="BY28" s="50">
        <f t="shared" si="53"/>
        <v>-3.4835951501262175E-15</v>
      </c>
    </row>
    <row r="29" spans="2:77" ht="15.75" thickTop="1" x14ac:dyDescent="0.25"/>
    <row r="30" spans="2:77" ht="15.75" thickBot="1" x14ac:dyDescent="0.3"/>
    <row r="31" spans="2:77" ht="30.75" customHeight="1" thickTop="1" thickBot="1" x14ac:dyDescent="0.3">
      <c r="B31" s="343" t="s">
        <v>46</v>
      </c>
      <c r="C31" s="344"/>
      <c r="D31" s="344"/>
      <c r="E31" s="356"/>
      <c r="F31" s="356"/>
      <c r="G31" s="346" t="s">
        <v>75</v>
      </c>
      <c r="H31" s="436"/>
      <c r="I31" s="436"/>
      <c r="J31" s="436"/>
      <c r="K31" s="442"/>
    </row>
    <row r="32" spans="2:77" ht="16.5" customHeight="1" thickTop="1" thickBot="1" x14ac:dyDescent="0.3">
      <c r="B32" s="337" t="s">
        <v>78</v>
      </c>
      <c r="C32" s="338"/>
      <c r="D32" s="338"/>
      <c r="E32" s="338"/>
      <c r="F32" s="338"/>
      <c r="G32" s="339"/>
      <c r="H32" s="311" t="s">
        <v>31</v>
      </c>
      <c r="I32" s="312"/>
      <c r="J32" s="312"/>
      <c r="K32" s="313"/>
      <c r="L32" s="364" t="s">
        <v>93</v>
      </c>
      <c r="M32" s="365"/>
      <c r="N32" s="340" t="s">
        <v>21</v>
      </c>
      <c r="O32" s="341"/>
      <c r="P32" s="341"/>
      <c r="Q32" s="341"/>
      <c r="R32" s="341"/>
      <c r="S32" s="341"/>
      <c r="T32" s="294" t="s">
        <v>22</v>
      </c>
      <c r="U32" s="295"/>
      <c r="V32" s="295"/>
      <c r="W32" s="295"/>
      <c r="X32" s="296"/>
      <c r="Y32" s="304" t="s">
        <v>44</v>
      </c>
      <c r="Z32" s="305"/>
      <c r="AA32" s="305"/>
      <c r="AB32" s="305"/>
      <c r="AC32" s="305"/>
      <c r="AD32" s="305"/>
      <c r="AE32" s="305"/>
      <c r="AF32" s="305"/>
      <c r="AG32" s="403"/>
      <c r="AH32" s="364" t="s">
        <v>93</v>
      </c>
      <c r="AI32" s="365"/>
      <c r="AJ32" s="405" t="s">
        <v>21</v>
      </c>
      <c r="AK32" s="301"/>
      <c r="AL32" s="301"/>
      <c r="AM32" s="301"/>
      <c r="AN32" s="301"/>
      <c r="AO32" s="301"/>
      <c r="AP32" s="294" t="s">
        <v>22</v>
      </c>
      <c r="AQ32" s="295"/>
      <c r="AR32" s="295"/>
      <c r="AS32" s="295"/>
      <c r="AT32" s="296"/>
      <c r="AU32" s="304" t="s">
        <v>45</v>
      </c>
      <c r="AV32" s="305"/>
      <c r="AW32" s="305"/>
      <c r="AX32" s="305"/>
      <c r="AY32" s="305"/>
      <c r="AZ32" s="305"/>
      <c r="BA32" s="305"/>
      <c r="BB32" s="305"/>
      <c r="BC32" s="305"/>
      <c r="BD32" s="385" t="s">
        <v>93</v>
      </c>
      <c r="BE32" s="386"/>
      <c r="BF32" s="322" t="s">
        <v>21</v>
      </c>
      <c r="BG32" s="323"/>
      <c r="BH32" s="323"/>
      <c r="BI32" s="323"/>
      <c r="BJ32" s="323"/>
      <c r="BK32" s="323"/>
      <c r="BL32" s="322" t="s">
        <v>22</v>
      </c>
      <c r="BM32" s="323"/>
      <c r="BN32" s="323"/>
      <c r="BO32" s="323"/>
      <c r="BP32" s="324"/>
      <c r="BQ32" s="328" t="s">
        <v>45</v>
      </c>
      <c r="BR32" s="323"/>
      <c r="BS32" s="323"/>
      <c r="BT32" s="323"/>
      <c r="BU32" s="323"/>
      <c r="BV32" s="323"/>
      <c r="BW32" s="323"/>
      <c r="BX32" s="323"/>
      <c r="BY32" s="329"/>
    </row>
    <row r="33" spans="2:77" s="18" customFormat="1" ht="15" customHeight="1" thickBot="1" x14ac:dyDescent="0.3">
      <c r="B33" s="331" t="s">
        <v>0</v>
      </c>
      <c r="C33" s="309" t="s">
        <v>18</v>
      </c>
      <c r="D33" s="309" t="s">
        <v>83</v>
      </c>
      <c r="E33" s="309" t="s">
        <v>19</v>
      </c>
      <c r="F33" s="371" t="s">
        <v>82</v>
      </c>
      <c r="G33" s="362" t="s">
        <v>1</v>
      </c>
      <c r="H33" s="314"/>
      <c r="I33" s="315"/>
      <c r="J33" s="315"/>
      <c r="K33" s="316"/>
      <c r="L33" s="366" t="s">
        <v>19</v>
      </c>
      <c r="M33" s="368" t="s">
        <v>82</v>
      </c>
      <c r="N33" s="342"/>
      <c r="O33" s="342"/>
      <c r="P33" s="342"/>
      <c r="Q33" s="342"/>
      <c r="R33" s="342"/>
      <c r="S33" s="342"/>
      <c r="T33" s="297"/>
      <c r="U33" s="298"/>
      <c r="V33" s="298"/>
      <c r="W33" s="298"/>
      <c r="X33" s="299"/>
      <c r="Y33" s="307"/>
      <c r="Z33" s="307"/>
      <c r="AA33" s="307"/>
      <c r="AB33" s="307"/>
      <c r="AC33" s="307"/>
      <c r="AD33" s="307"/>
      <c r="AE33" s="307"/>
      <c r="AF33" s="307"/>
      <c r="AG33" s="404"/>
      <c r="AH33" s="366" t="s">
        <v>19</v>
      </c>
      <c r="AI33" s="368" t="s">
        <v>82</v>
      </c>
      <c r="AJ33" s="406"/>
      <c r="AK33" s="303"/>
      <c r="AL33" s="303"/>
      <c r="AM33" s="303"/>
      <c r="AN33" s="303"/>
      <c r="AO33" s="303"/>
      <c r="AP33" s="297"/>
      <c r="AQ33" s="298"/>
      <c r="AR33" s="298"/>
      <c r="AS33" s="298"/>
      <c r="AT33" s="299"/>
      <c r="AU33" s="307"/>
      <c r="AV33" s="307"/>
      <c r="AW33" s="307"/>
      <c r="AX33" s="307"/>
      <c r="AY33" s="307"/>
      <c r="AZ33" s="307"/>
      <c r="BA33" s="307"/>
      <c r="BB33" s="307"/>
      <c r="BC33" s="307"/>
      <c r="BD33" s="387" t="s">
        <v>19</v>
      </c>
      <c r="BE33" s="383" t="s">
        <v>82</v>
      </c>
      <c r="BF33" s="325"/>
      <c r="BG33" s="326"/>
      <c r="BH33" s="326"/>
      <c r="BI33" s="326"/>
      <c r="BJ33" s="326"/>
      <c r="BK33" s="326"/>
      <c r="BL33" s="325"/>
      <c r="BM33" s="326"/>
      <c r="BN33" s="326"/>
      <c r="BO33" s="326"/>
      <c r="BP33" s="327"/>
      <c r="BQ33" s="326"/>
      <c r="BR33" s="326"/>
      <c r="BS33" s="326"/>
      <c r="BT33" s="326"/>
      <c r="BU33" s="326"/>
      <c r="BV33" s="326"/>
      <c r="BW33" s="326"/>
      <c r="BX33" s="326"/>
      <c r="BY33" s="330"/>
    </row>
    <row r="34" spans="2:77" s="18" customFormat="1" ht="18" thickBot="1" x14ac:dyDescent="0.3">
      <c r="B34" s="332"/>
      <c r="C34" s="310"/>
      <c r="D34" s="310"/>
      <c r="E34" s="430"/>
      <c r="F34" s="429"/>
      <c r="G34" s="435"/>
      <c r="H34" s="19" t="s">
        <v>29</v>
      </c>
      <c r="I34" s="20" t="s">
        <v>28</v>
      </c>
      <c r="J34" s="20" t="s">
        <v>30</v>
      </c>
      <c r="K34" s="21" t="s">
        <v>27</v>
      </c>
      <c r="L34" s="367"/>
      <c r="M34" s="369"/>
      <c r="N34" s="29" t="s">
        <v>32</v>
      </c>
      <c r="O34" s="24" t="s">
        <v>34</v>
      </c>
      <c r="P34" s="24" t="s">
        <v>33</v>
      </c>
      <c r="Q34" s="24" t="s">
        <v>35</v>
      </c>
      <c r="R34" s="24" t="s">
        <v>37</v>
      </c>
      <c r="S34" s="30" t="s">
        <v>36</v>
      </c>
      <c r="T34" s="111" t="s">
        <v>38</v>
      </c>
      <c r="U34" s="22" t="s">
        <v>39</v>
      </c>
      <c r="V34" s="22" t="s">
        <v>40</v>
      </c>
      <c r="W34" s="22" t="s">
        <v>41</v>
      </c>
      <c r="X34" s="112" t="s">
        <v>42</v>
      </c>
      <c r="Y34" s="25" t="s">
        <v>11</v>
      </c>
      <c r="Z34" s="23" t="s">
        <v>13</v>
      </c>
      <c r="AA34" s="23" t="s">
        <v>23</v>
      </c>
      <c r="AB34" s="23" t="s">
        <v>24</v>
      </c>
      <c r="AC34" s="23" t="s">
        <v>12</v>
      </c>
      <c r="AD34" s="23" t="s">
        <v>25</v>
      </c>
      <c r="AE34" s="23" t="s">
        <v>26</v>
      </c>
      <c r="AF34" s="23" t="s">
        <v>10</v>
      </c>
      <c r="AG34" s="25" t="s">
        <v>9</v>
      </c>
      <c r="AH34" s="367"/>
      <c r="AI34" s="369"/>
      <c r="AJ34" s="31" t="s">
        <v>32</v>
      </c>
      <c r="AK34" s="24" t="s">
        <v>34</v>
      </c>
      <c r="AL34" s="24" t="s">
        <v>33</v>
      </c>
      <c r="AM34" s="24" t="s">
        <v>35</v>
      </c>
      <c r="AN34" s="24" t="s">
        <v>37</v>
      </c>
      <c r="AO34" s="30" t="s">
        <v>36</v>
      </c>
      <c r="AP34" s="111" t="s">
        <v>38</v>
      </c>
      <c r="AQ34" s="22" t="s">
        <v>39</v>
      </c>
      <c r="AR34" s="22" t="s">
        <v>40</v>
      </c>
      <c r="AS34" s="22" t="s">
        <v>41</v>
      </c>
      <c r="AT34" s="112" t="s">
        <v>42</v>
      </c>
      <c r="AU34" s="26" t="s">
        <v>11</v>
      </c>
      <c r="AV34" s="27" t="s">
        <v>13</v>
      </c>
      <c r="AW34" s="27" t="s">
        <v>23</v>
      </c>
      <c r="AX34" s="27" t="s">
        <v>24</v>
      </c>
      <c r="AY34" s="27" t="s">
        <v>12</v>
      </c>
      <c r="AZ34" s="27" t="s">
        <v>25</v>
      </c>
      <c r="BA34" s="27" t="s">
        <v>26</v>
      </c>
      <c r="BB34" s="27" t="s">
        <v>10</v>
      </c>
      <c r="BC34" s="28" t="s">
        <v>9</v>
      </c>
      <c r="BD34" s="388"/>
      <c r="BE34" s="384"/>
      <c r="BF34" s="32" t="s">
        <v>32</v>
      </c>
      <c r="BG34" s="33" t="s">
        <v>34</v>
      </c>
      <c r="BH34" s="33" t="s">
        <v>33</v>
      </c>
      <c r="BI34" s="33" t="s">
        <v>35</v>
      </c>
      <c r="BJ34" s="33" t="s">
        <v>37</v>
      </c>
      <c r="BK34" s="34" t="s">
        <v>36</v>
      </c>
      <c r="BL34" s="103" t="s">
        <v>38</v>
      </c>
      <c r="BM34" s="33" t="s">
        <v>39</v>
      </c>
      <c r="BN34" s="33" t="s">
        <v>40</v>
      </c>
      <c r="BO34" s="33" t="s">
        <v>41</v>
      </c>
      <c r="BP34" s="104" t="s">
        <v>42</v>
      </c>
      <c r="BQ34" s="34" t="s">
        <v>11</v>
      </c>
      <c r="BR34" s="33" t="s">
        <v>13</v>
      </c>
      <c r="BS34" s="33" t="s">
        <v>23</v>
      </c>
      <c r="BT34" s="33" t="s">
        <v>24</v>
      </c>
      <c r="BU34" s="33" t="s">
        <v>12</v>
      </c>
      <c r="BV34" s="33" t="s">
        <v>25</v>
      </c>
      <c r="BW34" s="33" t="s">
        <v>26</v>
      </c>
      <c r="BX34" s="33" t="s">
        <v>10</v>
      </c>
      <c r="BY34" s="35" t="s">
        <v>9</v>
      </c>
    </row>
    <row r="35" spans="2:77" x14ac:dyDescent="0.25">
      <c r="B35" s="84">
        <v>64</v>
      </c>
      <c r="C35" s="92">
        <v>23</v>
      </c>
      <c r="D35" s="92">
        <v>78</v>
      </c>
      <c r="E35" s="196">
        <f>SQRT(D35^2-B35^2-C35^2)</f>
        <v>38.196858509568557</v>
      </c>
      <c r="F35" s="189">
        <f>SQRT(D35^2-C35^2)</f>
        <v>74.531872376856327</v>
      </c>
      <c r="G35" s="155" t="s">
        <v>2</v>
      </c>
      <c r="H35" s="10">
        <v>5</v>
      </c>
      <c r="I35" s="53"/>
      <c r="J35" s="53"/>
      <c r="K35" s="54"/>
      <c r="L35" s="237">
        <f>SQRT(D35^2-B35^2-C35^2)</f>
        <v>38.196858509568557</v>
      </c>
      <c r="M35" s="238">
        <f>SQRT(D35^2-C35^2)</f>
        <v>74.531872376856327</v>
      </c>
      <c r="N35" s="78">
        <f>R35*100000</f>
        <v>5622.5775726084921</v>
      </c>
      <c r="O35" s="65">
        <f>R35*10000</f>
        <v>562.25775726084919</v>
      </c>
      <c r="P35" s="65">
        <f>R35*10</f>
        <v>0.56225775726084914</v>
      </c>
      <c r="Q35" s="65">
        <f>R35*1000000</f>
        <v>56225.775726084918</v>
      </c>
      <c r="R35" s="65">
        <f>(B35*C35*(SQRT(D35^2-B35^2-C35^2)))/100^3</f>
        <v>5.622577572608492E-2</v>
      </c>
      <c r="S35" s="66">
        <f>R35*1000</f>
        <v>56.225775726084919</v>
      </c>
      <c r="T35" s="113">
        <f>W35/0.45359237</f>
        <v>0.61978308548361283</v>
      </c>
      <c r="U35" s="67">
        <f>W35*1000/31.1034768</f>
        <v>9.0385033299693553</v>
      </c>
      <c r="V35" s="67">
        <f>W35/1000</f>
        <v>2.8112887863042456E-4</v>
      </c>
      <c r="W35" s="67">
        <f>R35*H35</f>
        <v>0.28112887863042457</v>
      </c>
      <c r="X35" s="114">
        <f>W35*1000</f>
        <v>281.12887863042459</v>
      </c>
      <c r="Y35" s="80">
        <f>AD35/100</f>
        <v>9.5902533806649301E-3</v>
      </c>
      <c r="Z35" s="68">
        <f>AD35/4046.8564224</f>
        <v>2.3698032199959796E-4</v>
      </c>
      <c r="AA35" s="68">
        <f>AD35*10000</f>
        <v>9590.2533806649299</v>
      </c>
      <c r="AB35" s="68">
        <f>AD35*100</f>
        <v>95.902533806649302</v>
      </c>
      <c r="AC35" s="68">
        <f>AD35/10000</f>
        <v>9.5902533806649305E-5</v>
      </c>
      <c r="AD35" s="68">
        <f>(2*(B35*C35+B35*(SQRT(D35^2-B35^2-C35^2))+C35*(SQRT(D35^2-B35^2-C35^2))))/100^2</f>
        <v>0.95902533806649304</v>
      </c>
      <c r="AE35" s="68">
        <f>AD35*1000000</f>
        <v>959025.33806649304</v>
      </c>
      <c r="AF35" s="68">
        <f>AD35/144*10000/(2.54*2.54)</f>
        <v>10.322862826302488</v>
      </c>
      <c r="AG35" s="80">
        <f>AD35*10000/(2.54 *2.54)</f>
        <v>1486.492246987558</v>
      </c>
      <c r="AH35" s="237">
        <v>38.197000000000003</v>
      </c>
      <c r="AI35" s="238">
        <v>74.531999999999996</v>
      </c>
      <c r="AJ35" s="215">
        <v>5622.58</v>
      </c>
      <c r="AK35" s="65">
        <v>562.25800000000004</v>
      </c>
      <c r="AL35" s="65">
        <v>0.56225800000000004</v>
      </c>
      <c r="AM35" s="65">
        <v>56225.8</v>
      </c>
      <c r="AN35" s="65">
        <v>5.6225799999999999E-2</v>
      </c>
      <c r="AO35" s="66">
        <v>56.2258</v>
      </c>
      <c r="AP35" s="113">
        <v>0.61978299999999997</v>
      </c>
      <c r="AQ35" s="67">
        <v>9.0385000000000009</v>
      </c>
      <c r="AR35" s="67">
        <v>2.8112900000000003E-4</v>
      </c>
      <c r="AS35" s="67">
        <v>0.28112900000000002</v>
      </c>
      <c r="AT35" s="114">
        <v>281.12900000000002</v>
      </c>
      <c r="AU35" s="121">
        <v>9.5902499999999998E-3</v>
      </c>
      <c r="AV35" s="121">
        <v>2.3698E-4</v>
      </c>
      <c r="AW35" s="68">
        <v>9590.25</v>
      </c>
      <c r="AX35" s="68">
        <v>95.902500000000003</v>
      </c>
      <c r="AY35" s="68">
        <v>9.5902533806649305E-5</v>
      </c>
      <c r="AZ35" s="68">
        <v>0.95902500000000002</v>
      </c>
      <c r="BA35" s="68">
        <v>959025</v>
      </c>
      <c r="BB35" s="68">
        <v>10.322900000000001</v>
      </c>
      <c r="BC35" s="216">
        <v>1486.49</v>
      </c>
      <c r="BD35" s="249">
        <f>(L35-AH35)/L35</f>
        <v>-3.7042426253562485E-6</v>
      </c>
      <c r="BE35" s="250">
        <f>(M35-AI35)/M35</f>
        <v>-1.7123297671068221E-6</v>
      </c>
      <c r="BF35" s="36">
        <f t="shared" ref="BF35:BL35" si="54">(N35-AJ35)/N35</f>
        <v>-4.3172219083892658E-7</v>
      </c>
      <c r="BG35" s="37">
        <f t="shared" si="54"/>
        <v>-4.3172219096024478E-7</v>
      </c>
      <c r="BH35" s="37">
        <f t="shared" si="54"/>
        <v>-4.3172219103448902E-7</v>
      </c>
      <c r="BI35" s="37">
        <f t="shared" si="54"/>
        <v>-4.3172219096833268E-7</v>
      </c>
      <c r="BJ35" s="37">
        <f t="shared" si="54"/>
        <v>-4.317221908617132E-7</v>
      </c>
      <c r="BK35" s="38">
        <f t="shared" si="54"/>
        <v>-4.3172219088442088E-7</v>
      </c>
      <c r="BL35" s="105">
        <f t="shared" si="54"/>
        <v>1.3792504967812079E-7</v>
      </c>
      <c r="BM35" s="39">
        <f t="shared" ref="BM35:BM42" si="55">(U35-AQ35)/U35</f>
        <v>3.6842043786614636E-7</v>
      </c>
      <c r="BN35" s="39">
        <f t="shared" ref="BN35:BN42" si="56">(V35-AR35)/V35</f>
        <v>-4.3172219111624904E-7</v>
      </c>
      <c r="BO35" s="39">
        <f t="shared" ref="BO35:BO42" si="57">(W35-AS35)/W35</f>
        <v>-4.3172219103448902E-7</v>
      </c>
      <c r="BP35" s="106">
        <f t="shared" ref="BP35:BP42" si="58">(X35-AT35)/X35</f>
        <v>-4.3172219096024478E-7</v>
      </c>
      <c r="BQ35" s="38">
        <f t="shared" ref="BQ35:BY42" si="59">(Y35-AU35)/Y35</f>
        <v>3.5251049123524435E-7</v>
      </c>
      <c r="BR35" s="37">
        <f t="shared" si="59"/>
        <v>1.3587609099698572E-6</v>
      </c>
      <c r="BS35" s="37">
        <f t="shared" si="59"/>
        <v>3.5251049119096395E-7</v>
      </c>
      <c r="BT35" s="37">
        <f t="shared" si="59"/>
        <v>3.525104911909639E-7</v>
      </c>
      <c r="BU35" s="37">
        <f t="shared" si="59"/>
        <v>0</v>
      </c>
      <c r="BV35" s="37">
        <f t="shared" si="59"/>
        <v>3.5251049122800894E-7</v>
      </c>
      <c r="BW35" s="37">
        <f t="shared" si="59"/>
        <v>3.5251049125165852E-7</v>
      </c>
      <c r="BX35" s="37">
        <f t="shared" si="59"/>
        <v>-3.6011035056571833E-6</v>
      </c>
      <c r="BY35" s="40">
        <f t="shared" si="59"/>
        <v>1.5116039539147442E-6</v>
      </c>
    </row>
    <row r="36" spans="2:77" x14ac:dyDescent="0.25">
      <c r="B36" s="86">
        <v>356</v>
      </c>
      <c r="C36" s="93">
        <v>543</v>
      </c>
      <c r="D36" s="93">
        <v>4556</v>
      </c>
      <c r="E36" s="199">
        <f t="shared" ref="E36:E42" si="60">SQRT(D36^2-B36^2-C36^2)</f>
        <v>4509.4956480741839</v>
      </c>
      <c r="F36" s="191">
        <f t="shared" ref="F36:F42" si="61">SQRT(D36^2-C36^2)</f>
        <v>4523.5259477535883</v>
      </c>
      <c r="G36" s="156" t="s">
        <v>3</v>
      </c>
      <c r="H36" s="59"/>
      <c r="I36" s="4">
        <v>190</v>
      </c>
      <c r="J36" s="58"/>
      <c r="K36" s="55"/>
      <c r="L36" s="239">
        <f t="shared" ref="L36:L42" si="62">SQRT(D36^2-B36^2-C36^2)</f>
        <v>4509.4956480741839</v>
      </c>
      <c r="M36" s="240">
        <f t="shared" ref="M36:M42" si="63">SQRT(D36^2-C36^2)</f>
        <v>4523.5259477535883</v>
      </c>
      <c r="N36" s="69">
        <f t="shared" ref="N36:N42" si="64">R36*100000</f>
        <v>2468440638595.8936</v>
      </c>
      <c r="O36" s="70">
        <f t="shared" ref="O36:O42" si="65">R36*10000</f>
        <v>246844063859.58936</v>
      </c>
      <c r="P36" s="70">
        <f t="shared" ref="P36:P42" si="66">R36*10</f>
        <v>246844063.85958937</v>
      </c>
      <c r="Q36" s="70">
        <f t="shared" ref="Q36:Q42" si="67">R36*1000000</f>
        <v>24684406385958.937</v>
      </c>
      <c r="R36" s="70">
        <f>(B36*C36*(SQRT(D36^2-B36^2-C36^2)))*0.3048^3</f>
        <v>24684406.385958936</v>
      </c>
      <c r="S36" s="71">
        <f t="shared" ref="S36:S42" si="68">R36*1000</f>
        <v>24684406385.958935</v>
      </c>
      <c r="T36" s="115">
        <f t="shared" ref="T36:T42" si="69">W36/0.45359237</f>
        <v>10339762137824.754</v>
      </c>
      <c r="U36" s="72">
        <f t="shared" ref="U36:U42" si="70">W36*1000/31.1034768</f>
        <v>150788197843277.69</v>
      </c>
      <c r="V36" s="72">
        <f t="shared" ref="V36:V42" si="71">W36/1000</f>
        <v>4690037213.3321972</v>
      </c>
      <c r="W36" s="72">
        <f>R36*1000*I36</f>
        <v>4690037213332.1973</v>
      </c>
      <c r="X36" s="116">
        <f t="shared" ref="X36:X42" si="72">W36*1000</f>
        <v>4690037213332197</v>
      </c>
      <c r="Y36" s="81">
        <f t="shared" ref="Y36:Y42" si="73">AD36/100</f>
        <v>7891.8244823464574</v>
      </c>
      <c r="Z36" s="73">
        <f t="shared" ref="Z36:Z42" si="74">AD36/4046.8564224</f>
        <v>195.01122991821359</v>
      </c>
      <c r="AA36" s="73">
        <f t="shared" ref="AA36:AA42" si="75">AD36*10000</f>
        <v>7891824482.3464575</v>
      </c>
      <c r="AB36" s="73">
        <f t="shared" ref="AB36:AB42" si="76">AD36*100</f>
        <v>78918244.823464572</v>
      </c>
      <c r="AC36" s="73">
        <f t="shared" ref="AC36:AC42" si="77">AD36/10000</f>
        <v>78.918244823464576</v>
      </c>
      <c r="AD36" s="73">
        <f>(2*(B36*C36+B36*(SQRT(D36^2-B36^2-C36^2))+C36*(SQRT(D36^2-B36^2-C36^2))))*0.3048^2</f>
        <v>789182.44823464577</v>
      </c>
      <c r="AE36" s="73">
        <f t="shared" ref="AE36:AE42" si="78">AD36*1000000</f>
        <v>789182448234.64575</v>
      </c>
      <c r="AF36" s="73">
        <f t="shared" ref="AF36:AF42" si="79">AD36/144*10000/(2.54*2.54)</f>
        <v>8494689.1752373837</v>
      </c>
      <c r="AG36" s="81">
        <f t="shared" ref="AG36:AG42" si="80">AD36*10000/(2.54 *2.54)</f>
        <v>1223235241.2341833</v>
      </c>
      <c r="AH36" s="239">
        <v>4509.5</v>
      </c>
      <c r="AI36" s="240">
        <v>4523.5</v>
      </c>
      <c r="AJ36" s="217">
        <v>2468440638596</v>
      </c>
      <c r="AK36" s="69">
        <v>246844063860</v>
      </c>
      <c r="AL36" s="70">
        <v>246844064</v>
      </c>
      <c r="AM36" s="70">
        <v>24684406385959</v>
      </c>
      <c r="AN36" s="70">
        <v>24684406</v>
      </c>
      <c r="AO36" s="71">
        <v>24684406386</v>
      </c>
      <c r="AP36" s="115">
        <v>10339762137825</v>
      </c>
      <c r="AQ36" s="72">
        <v>150788197843278</v>
      </c>
      <c r="AR36" s="72">
        <v>4690037213</v>
      </c>
      <c r="AS36" s="72">
        <v>4690037213332</v>
      </c>
      <c r="AT36" s="116">
        <v>4690037213332200</v>
      </c>
      <c r="AU36" s="123">
        <v>7891.82</v>
      </c>
      <c r="AV36" s="123">
        <v>195.011</v>
      </c>
      <c r="AW36" s="73">
        <v>7891824482</v>
      </c>
      <c r="AX36" s="73">
        <v>78918245</v>
      </c>
      <c r="AY36" s="73">
        <v>78.918199999999999</v>
      </c>
      <c r="AZ36" s="73">
        <v>789182</v>
      </c>
      <c r="BA36" s="73">
        <v>789182448235</v>
      </c>
      <c r="BB36" s="73">
        <v>8494689</v>
      </c>
      <c r="BC36" s="218">
        <v>1223235241</v>
      </c>
      <c r="BD36" s="251">
        <f t="shared" ref="BD36:BD42" si="81">(L36-AH36)/L36</f>
        <v>-9.6505821398006499E-7</v>
      </c>
      <c r="BE36" s="252">
        <f t="shared" ref="BE36:BE42" si="82">(M36-AI36)/M36</f>
        <v>5.7361787879615785E-6</v>
      </c>
      <c r="BF36" s="41">
        <f t="shared" ref="BF36:BK42" si="83">(N36-AJ36)/N36</f>
        <v>-4.3122492328010191E-14</v>
      </c>
      <c r="BG36" s="42">
        <f t="shared" si="83"/>
        <v>-1.6635787177915858E-12</v>
      </c>
      <c r="BH36" s="42">
        <f t="shared" si="83"/>
        <v>-5.6882320643908263E-10</v>
      </c>
      <c r="BI36" s="42">
        <f t="shared" si="83"/>
        <v>-2.5319628522868369E-15</v>
      </c>
      <c r="BJ36" s="42">
        <f t="shared" si="83"/>
        <v>1.5635739018013325E-8</v>
      </c>
      <c r="BK36" s="43">
        <f t="shared" si="83"/>
        <v>-1.6636096255412475E-12</v>
      </c>
      <c r="BL36" s="107">
        <f t="shared" ref="BL36:BL42" si="84">(T36-AP36)/T36</f>
        <v>-2.380071675921284E-14</v>
      </c>
      <c r="BM36" s="44">
        <f t="shared" si="55"/>
        <v>-2.0724433640675124E-15</v>
      </c>
      <c r="BN36" s="44">
        <f t="shared" si="56"/>
        <v>7.083039520171181E-11</v>
      </c>
      <c r="BO36" s="44">
        <f t="shared" si="57"/>
        <v>4.2060567118580686E-14</v>
      </c>
      <c r="BP36" s="108">
        <f t="shared" si="58"/>
        <v>-6.3965377320930632E-16</v>
      </c>
      <c r="BQ36" s="43">
        <f t="shared" si="59"/>
        <v>5.6797340941395273E-7</v>
      </c>
      <c r="BR36" s="42">
        <f t="shared" si="59"/>
        <v>1.178999864201893E-6</v>
      </c>
      <c r="BS36" s="42">
        <f t="shared" si="59"/>
        <v>4.3900809269045722E-11</v>
      </c>
      <c r="BT36" s="42">
        <f t="shared" si="59"/>
        <v>-2.2369406208316248E-9</v>
      </c>
      <c r="BU36" s="42">
        <f t="shared" si="59"/>
        <v>5.6797340941395273E-7</v>
      </c>
      <c r="BV36" s="42">
        <f t="shared" si="59"/>
        <v>5.679734094047332E-7</v>
      </c>
      <c r="BW36" s="42">
        <f t="shared" si="59"/>
        <v>-4.4887978396812022E-13</v>
      </c>
      <c r="BX36" s="42">
        <f t="shared" si="59"/>
        <v>2.0629051879177161E-8</v>
      </c>
      <c r="BY36" s="45">
        <f t="shared" si="59"/>
        <v>1.9144585078020078E-10</v>
      </c>
    </row>
    <row r="37" spans="2:77" x14ac:dyDescent="0.25">
      <c r="B37" s="86">
        <v>864</v>
      </c>
      <c r="C37" s="93">
        <v>255</v>
      </c>
      <c r="D37" s="93">
        <v>2342</v>
      </c>
      <c r="E37" s="199">
        <f t="shared" si="60"/>
        <v>2161.8147469198188</v>
      </c>
      <c r="F37" s="191">
        <f t="shared" si="61"/>
        <v>2328.0762444559241</v>
      </c>
      <c r="G37" s="156" t="s">
        <v>4</v>
      </c>
      <c r="H37" s="59"/>
      <c r="I37" s="56"/>
      <c r="J37" s="5">
        <v>330</v>
      </c>
      <c r="K37" s="55"/>
      <c r="L37" s="239">
        <f t="shared" si="62"/>
        <v>2161.8147469198188</v>
      </c>
      <c r="M37" s="240">
        <f t="shared" si="63"/>
        <v>2328.0762444559241</v>
      </c>
      <c r="N37" s="69">
        <f t="shared" si="64"/>
        <v>780501150.99786067</v>
      </c>
      <c r="O37" s="70">
        <f t="shared" si="65"/>
        <v>78050115.099786058</v>
      </c>
      <c r="P37" s="70">
        <f t="shared" si="66"/>
        <v>78050.115099786068</v>
      </c>
      <c r="Q37" s="70">
        <f t="shared" si="67"/>
        <v>7805011509.9786062</v>
      </c>
      <c r="R37" s="70">
        <f>(B37*C37*(SQRT(D37^2-B37^2-C37^2)))*(2.54/100)^3</f>
        <v>7805.0115099786062</v>
      </c>
      <c r="S37" s="71">
        <f t="shared" si="68"/>
        <v>7805011.5099786064</v>
      </c>
      <c r="T37" s="115">
        <f t="shared" si="69"/>
        <v>90958355.476651356</v>
      </c>
      <c r="U37" s="72">
        <f t="shared" si="70"/>
        <v>1326476017.3678324</v>
      </c>
      <c r="V37" s="72">
        <f t="shared" si="71"/>
        <v>41258.016031956773</v>
      </c>
      <c r="W37" s="72">
        <f>R37*(0.45359237/0.3048^3)*J37</f>
        <v>41258016.03195677</v>
      </c>
      <c r="X37" s="116">
        <f t="shared" si="72"/>
        <v>41258016031.956772</v>
      </c>
      <c r="Y37" s="81">
        <f t="shared" si="73"/>
        <v>34.056586103508046</v>
      </c>
      <c r="Z37" s="73">
        <f t="shared" si="74"/>
        <v>0.84155657005767182</v>
      </c>
      <c r="AA37" s="73">
        <f t="shared" si="75"/>
        <v>34056586.103508048</v>
      </c>
      <c r="AB37" s="73">
        <f t="shared" si="76"/>
        <v>340565.86103508045</v>
      </c>
      <c r="AC37" s="73">
        <f t="shared" si="77"/>
        <v>0.34056586103508046</v>
      </c>
      <c r="AD37" s="73">
        <f>(2*(B37*C37+B37*(SQRT(D37^2-B37^2-C37^2))+C37*(SQRT(D37^2-B37^2-C37^2))))*(2.54/100)^2</f>
        <v>3405.6586103508048</v>
      </c>
      <c r="AE37" s="73">
        <f t="shared" si="78"/>
        <v>3405658610.3508048</v>
      </c>
      <c r="AF37" s="73">
        <f t="shared" si="79"/>
        <v>36658.204191712182</v>
      </c>
      <c r="AG37" s="81">
        <f t="shared" si="80"/>
        <v>5278781.4036065545</v>
      </c>
      <c r="AH37" s="239">
        <v>2161.8000000000002</v>
      </c>
      <c r="AI37" s="240">
        <v>2328.1</v>
      </c>
      <c r="AJ37" s="217">
        <v>780501151</v>
      </c>
      <c r="AK37" s="70">
        <v>78050115</v>
      </c>
      <c r="AL37" s="70">
        <v>78050.100000000006</v>
      </c>
      <c r="AM37" s="70">
        <v>7805011510</v>
      </c>
      <c r="AN37" s="70">
        <v>7805.01</v>
      </c>
      <c r="AO37" s="71">
        <v>7805012</v>
      </c>
      <c r="AP37" s="115">
        <v>90958355</v>
      </c>
      <c r="AQ37" s="72">
        <v>1326476017</v>
      </c>
      <c r="AR37" s="72">
        <v>41258</v>
      </c>
      <c r="AS37" s="72">
        <v>41258016</v>
      </c>
      <c r="AT37" s="116">
        <v>41258016032</v>
      </c>
      <c r="AU37" s="123">
        <v>34.056600000000003</v>
      </c>
      <c r="AV37" s="123">
        <v>0.841557</v>
      </c>
      <c r="AW37" s="73">
        <v>34056586</v>
      </c>
      <c r="AX37" s="73">
        <v>340566</v>
      </c>
      <c r="AY37" s="73">
        <v>0.34056599999999998</v>
      </c>
      <c r="AZ37" s="73">
        <v>3405.66</v>
      </c>
      <c r="BA37" s="73">
        <v>3405658610</v>
      </c>
      <c r="BB37" s="73">
        <v>36658.199999999997</v>
      </c>
      <c r="BC37" s="218">
        <v>5278781</v>
      </c>
      <c r="BD37" s="251">
        <f t="shared" si="81"/>
        <v>6.8215464991504551E-6</v>
      </c>
      <c r="BE37" s="252">
        <f t="shared" si="82"/>
        <v>-1.0203937320516409E-5</v>
      </c>
      <c r="BF37" s="41">
        <f t="shared" si="83"/>
        <v>-2.7409695777427293E-12</v>
      </c>
      <c r="BG37" s="42">
        <f t="shared" si="83"/>
        <v>1.2784870072350346E-9</v>
      </c>
      <c r="BH37" s="42">
        <f t="shared" si="83"/>
        <v>1.9346270076098029E-7</v>
      </c>
      <c r="BI37" s="42">
        <f t="shared" si="83"/>
        <v>-2.7410306714589388E-12</v>
      </c>
      <c r="BJ37" s="42">
        <f t="shared" si="83"/>
        <v>1.9346270073767489E-7</v>
      </c>
      <c r="BK37" s="43">
        <f t="shared" si="83"/>
        <v>-6.2782917489345522E-8</v>
      </c>
      <c r="BL37" s="107">
        <f t="shared" si="84"/>
        <v>5.2403251260028927E-9</v>
      </c>
      <c r="BM37" s="44">
        <f t="shared" si="55"/>
        <v>2.7730046939436647E-10</v>
      </c>
      <c r="BN37" s="44">
        <f t="shared" si="56"/>
        <v>3.885779859278491E-7</v>
      </c>
      <c r="BO37" s="44">
        <f t="shared" si="57"/>
        <v>7.7455904571980352E-10</v>
      </c>
      <c r="BP37" s="108">
        <f t="shared" si="58"/>
        <v>-1.0477515298016206E-12</v>
      </c>
      <c r="BQ37" s="43">
        <f t="shared" si="59"/>
        <v>-4.0804124978702709E-7</v>
      </c>
      <c r="BR37" s="42">
        <f t="shared" si="59"/>
        <v>-5.1088939648403795E-7</v>
      </c>
      <c r="BS37" s="42">
        <f t="shared" si="59"/>
        <v>3.0392960540713425E-9</v>
      </c>
      <c r="BT37" s="42">
        <f t="shared" si="59"/>
        <v>-4.0804124971792689E-7</v>
      </c>
      <c r="BU37" s="42">
        <f t="shared" si="59"/>
        <v>-4.0804124962403027E-7</v>
      </c>
      <c r="BV37" s="42">
        <f t="shared" si="59"/>
        <v>-4.0804124959508202E-7</v>
      </c>
      <c r="BW37" s="42">
        <f t="shared" si="59"/>
        <v>1.0300645070219767E-10</v>
      </c>
      <c r="BX37" s="42">
        <f t="shared" si="59"/>
        <v>1.1434581365069943E-7</v>
      </c>
      <c r="BY37" s="45">
        <f t="shared" si="59"/>
        <v>7.6458281492307509E-8</v>
      </c>
    </row>
    <row r="38" spans="2:77" x14ac:dyDescent="0.25">
      <c r="B38" s="86">
        <v>34</v>
      </c>
      <c r="C38" s="93">
        <v>632</v>
      </c>
      <c r="D38" s="93">
        <v>4111</v>
      </c>
      <c r="E38" s="199">
        <f t="shared" si="60"/>
        <v>4061.9873214967079</v>
      </c>
      <c r="F38" s="191">
        <f t="shared" si="61"/>
        <v>4062.1296138848156</v>
      </c>
      <c r="G38" s="156" t="s">
        <v>5</v>
      </c>
      <c r="H38" s="59"/>
      <c r="I38" s="56"/>
      <c r="J38" s="56"/>
      <c r="K38" s="17">
        <v>321</v>
      </c>
      <c r="L38" s="239">
        <f t="shared" si="62"/>
        <v>4061.9873214967079</v>
      </c>
      <c r="M38" s="240">
        <f t="shared" si="63"/>
        <v>4062.1296138848156</v>
      </c>
      <c r="N38" s="69">
        <f t="shared" si="64"/>
        <v>8728398356432.126</v>
      </c>
      <c r="O38" s="70">
        <f t="shared" si="65"/>
        <v>872839835643.21265</v>
      </c>
      <c r="P38" s="70">
        <f t="shared" si="66"/>
        <v>872839835.64321268</v>
      </c>
      <c r="Q38" s="70">
        <f t="shared" si="67"/>
        <v>87283983564321.266</v>
      </c>
      <c r="R38" s="70">
        <f>B38*C38*(SQRT(D38^2-B38^2-C38^2))</f>
        <v>87283983.564321265</v>
      </c>
      <c r="S38" s="71">
        <f t="shared" si="68"/>
        <v>87283983564.321259</v>
      </c>
      <c r="T38" s="115">
        <f t="shared" si="69"/>
        <v>61769466545804.383</v>
      </c>
      <c r="U38" s="72">
        <f t="shared" si="70"/>
        <v>900804720459647.25</v>
      </c>
      <c r="V38" s="72">
        <f t="shared" si="71"/>
        <v>28018158724.147125</v>
      </c>
      <c r="W38" s="72">
        <f>R38*1000*K38</f>
        <v>28018158724147.125</v>
      </c>
      <c r="X38" s="116">
        <f t="shared" si="72"/>
        <v>2.8018158724147124E+16</v>
      </c>
      <c r="Y38" s="81">
        <f t="shared" si="73"/>
        <v>54535.431122336144</v>
      </c>
      <c r="Z38" s="73">
        <f t="shared" si="74"/>
        <v>1347.5998510961194</v>
      </c>
      <c r="AA38" s="73">
        <f t="shared" si="75"/>
        <v>54535431122.336143</v>
      </c>
      <c r="AB38" s="73">
        <f t="shared" si="76"/>
        <v>545354311.22336149</v>
      </c>
      <c r="AC38" s="73">
        <f t="shared" si="77"/>
        <v>545.35431122336149</v>
      </c>
      <c r="AD38" s="73">
        <f>2*(B38*C38+B38*(SQRT(D38^2-B38^2-C38^2))+C38*(SQRT(D38^2-B38^2-C38^2)))</f>
        <v>5453543.1122336145</v>
      </c>
      <c r="AE38" s="73">
        <f t="shared" si="78"/>
        <v>5453543112233.6143</v>
      </c>
      <c r="AF38" s="73">
        <f t="shared" si="79"/>
        <v>58701449.513746962</v>
      </c>
      <c r="AG38" s="81">
        <f t="shared" si="80"/>
        <v>8453008729.9795618</v>
      </c>
      <c r="AH38" s="241">
        <v>4062</v>
      </c>
      <c r="AI38" s="242">
        <v>4062.1</v>
      </c>
      <c r="AJ38" s="217">
        <v>8728398356432</v>
      </c>
      <c r="AK38" s="70">
        <v>872839835643</v>
      </c>
      <c r="AL38" s="70">
        <v>872839836</v>
      </c>
      <c r="AM38" s="70">
        <v>87283983564321</v>
      </c>
      <c r="AN38" s="70">
        <v>87283984</v>
      </c>
      <c r="AO38" s="71">
        <v>87283983564</v>
      </c>
      <c r="AP38" s="115">
        <v>61769466545804</v>
      </c>
      <c r="AQ38" s="72">
        <v>900804720459647</v>
      </c>
      <c r="AR38" s="72">
        <v>28018158724</v>
      </c>
      <c r="AS38" s="72">
        <v>28018158724147</v>
      </c>
      <c r="AT38" s="116">
        <v>2.80181587241471E+16</v>
      </c>
      <c r="AU38" s="123">
        <v>54535.4</v>
      </c>
      <c r="AV38" s="123">
        <v>1347.6</v>
      </c>
      <c r="AW38" s="73">
        <v>54535431122</v>
      </c>
      <c r="AX38" s="73">
        <v>545354311</v>
      </c>
      <c r="AY38" s="73">
        <v>545.35400000000004</v>
      </c>
      <c r="AZ38" s="73">
        <v>5453543</v>
      </c>
      <c r="BA38" s="73">
        <v>5453543112234</v>
      </c>
      <c r="BB38" s="73">
        <v>58701450</v>
      </c>
      <c r="BC38" s="218">
        <v>8453008730</v>
      </c>
      <c r="BD38" s="251">
        <f t="shared" si="81"/>
        <v>-3.1212562444593123E-6</v>
      </c>
      <c r="BE38" s="252">
        <f t="shared" si="82"/>
        <v>7.2902363121288503E-6</v>
      </c>
      <c r="BF38" s="41">
        <f t="shared" si="83"/>
        <v>1.4432952914799706E-14</v>
      </c>
      <c r="BG38" s="42">
        <f t="shared" si="83"/>
        <v>2.4362600753470041E-13</v>
      </c>
      <c r="BH38" s="42">
        <f t="shared" si="83"/>
        <v>-4.0876608672288389E-10</v>
      </c>
      <c r="BI38" s="42">
        <f t="shared" si="83"/>
        <v>3.0432272812600925E-15</v>
      </c>
      <c r="BJ38" s="42">
        <f t="shared" si="83"/>
        <v>-4.9915083797057016E-9</v>
      </c>
      <c r="BK38" s="43">
        <f t="shared" si="83"/>
        <v>3.6806127745662912E-12</v>
      </c>
      <c r="BL38" s="107">
        <f t="shared" si="84"/>
        <v>6.1974389841319116E-15</v>
      </c>
      <c r="BM38" s="44">
        <f t="shared" si="55"/>
        <v>2.7752962914363312E-16</v>
      </c>
      <c r="BN38" s="44">
        <f t="shared" si="56"/>
        <v>5.2510675519097124E-12</v>
      </c>
      <c r="BO38" s="44">
        <f t="shared" si="57"/>
        <v>4.4613923859411293E-15</v>
      </c>
      <c r="BP38" s="108">
        <f t="shared" si="58"/>
        <v>8.5658733810069684E-16</v>
      </c>
      <c r="BQ38" s="43">
        <f t="shared" si="59"/>
        <v>5.7068103252863391E-7</v>
      </c>
      <c r="BR38" s="42">
        <f t="shared" si="59"/>
        <v>-1.1049561956462504E-7</v>
      </c>
      <c r="BS38" s="42">
        <f t="shared" si="59"/>
        <v>6.1637633871141997E-12</v>
      </c>
      <c r="BT38" s="42">
        <f t="shared" si="59"/>
        <v>4.0957133291186171E-10</v>
      </c>
      <c r="BU38" s="42">
        <f t="shared" si="59"/>
        <v>5.7068103257866529E-7</v>
      </c>
      <c r="BV38" s="42">
        <f t="shared" si="59"/>
        <v>2.0579944494666905E-8</v>
      </c>
      <c r="BW38" s="42">
        <f t="shared" si="59"/>
        <v>-7.0732399022332307E-14</v>
      </c>
      <c r="BX38" s="42">
        <f t="shared" si="59"/>
        <v>-8.2834928622140989E-9</v>
      </c>
      <c r="BY38" s="45">
        <f t="shared" si="59"/>
        <v>-2.4178603060488925E-12</v>
      </c>
    </row>
    <row r="39" spans="2:77" x14ac:dyDescent="0.25">
      <c r="B39" s="86">
        <v>13</v>
      </c>
      <c r="C39" s="93">
        <v>55</v>
      </c>
      <c r="D39" s="93">
        <v>112</v>
      </c>
      <c r="E39" s="199">
        <f t="shared" si="60"/>
        <v>96.695398029068585</v>
      </c>
      <c r="F39" s="191">
        <f t="shared" si="61"/>
        <v>97.565362706239142</v>
      </c>
      <c r="G39" s="156" t="s">
        <v>6</v>
      </c>
      <c r="H39" s="11">
        <v>340</v>
      </c>
      <c r="I39" s="58"/>
      <c r="J39" s="58"/>
      <c r="K39" s="55"/>
      <c r="L39" s="239">
        <f t="shared" si="62"/>
        <v>96.695398029068585</v>
      </c>
      <c r="M39" s="240">
        <f t="shared" si="63"/>
        <v>97.565362706239142</v>
      </c>
      <c r="N39" s="69">
        <f t="shared" si="64"/>
        <v>2.8817646047798219E+19</v>
      </c>
      <c r="O39" s="70">
        <f t="shared" si="65"/>
        <v>2.8817646047798221E+18</v>
      </c>
      <c r="P39" s="70">
        <f t="shared" si="66"/>
        <v>2881764604779822</v>
      </c>
      <c r="Q39" s="70">
        <f t="shared" si="67"/>
        <v>2.8817646047798218E+20</v>
      </c>
      <c r="R39" s="70">
        <f>(B39*C39*(SQRT(D39^2-B39^2-C39^2)))*(63360*2.54/100)^3</f>
        <v>288176460477982.19</v>
      </c>
      <c r="S39" s="71">
        <f t="shared" si="68"/>
        <v>2.8817646047798218E+17</v>
      </c>
      <c r="T39" s="115">
        <f t="shared" si="69"/>
        <v>2.1600891691038349E+17</v>
      </c>
      <c r="U39" s="72">
        <f t="shared" si="70"/>
        <v>3.1501300382764262E+18</v>
      </c>
      <c r="V39" s="72">
        <f t="shared" si="71"/>
        <v>97979996562513.937</v>
      </c>
      <c r="W39" s="72">
        <f>R39*H39</f>
        <v>9.7979996562513936E+16</v>
      </c>
      <c r="X39" s="116">
        <f t="shared" si="72"/>
        <v>9.7979996562513936E+19</v>
      </c>
      <c r="Y39" s="81">
        <f t="shared" si="73"/>
        <v>377635136.43631762</v>
      </c>
      <c r="Z39" s="73">
        <f t="shared" si="74"/>
        <v>9331567.4444501288</v>
      </c>
      <c r="AA39" s="73">
        <f t="shared" si="75"/>
        <v>377635136436317.62</v>
      </c>
      <c r="AB39" s="73">
        <f t="shared" si="76"/>
        <v>3776351364363.1758</v>
      </c>
      <c r="AC39" s="73">
        <f t="shared" si="77"/>
        <v>3776351.3643631758</v>
      </c>
      <c r="AD39" s="73">
        <f>(2*(B39*C39+B39*(SQRT(D39^2-B39^2-C39^2))+C39*(SQRT(D39^2-B39^2-C39^2))))*(63360*2.54/100)^2</f>
        <v>37763513643.63176</v>
      </c>
      <c r="AE39" s="73">
        <f t="shared" si="78"/>
        <v>3.776351364363176E+16</v>
      </c>
      <c r="AF39" s="73">
        <f t="shared" si="79"/>
        <v>406483077880.24762</v>
      </c>
      <c r="AG39" s="81">
        <f t="shared" si="80"/>
        <v>58533563214755.664</v>
      </c>
      <c r="AH39" s="239">
        <v>96.694999999999993</v>
      </c>
      <c r="AI39" s="240">
        <v>97.564999999999998</v>
      </c>
      <c r="AJ39" s="217">
        <v>2.8817646047798198E+19</v>
      </c>
      <c r="AK39" s="70">
        <v>2.88176460477982E+18</v>
      </c>
      <c r="AL39" s="70">
        <v>2881764604779820</v>
      </c>
      <c r="AM39" s="70">
        <v>2.8817646047798202E+20</v>
      </c>
      <c r="AN39" s="70">
        <v>288176460477982</v>
      </c>
      <c r="AO39" s="71">
        <v>2.8817646047798202E+17</v>
      </c>
      <c r="AP39" s="115">
        <v>2.1600891691038301E+17</v>
      </c>
      <c r="AQ39" s="72">
        <v>3.1501300382764298E+18</v>
      </c>
      <c r="AR39" s="72">
        <v>97979996562514</v>
      </c>
      <c r="AS39" s="72">
        <v>9.7979996562513904E+16</v>
      </c>
      <c r="AT39" s="116">
        <v>9.7979996562513904E+19</v>
      </c>
      <c r="AU39" s="123">
        <v>377635136</v>
      </c>
      <c r="AV39" s="123">
        <v>9331567</v>
      </c>
      <c r="AW39" s="73">
        <v>377635136436318</v>
      </c>
      <c r="AX39" s="73">
        <v>3776351364363</v>
      </c>
      <c r="AY39" s="73">
        <v>3776351</v>
      </c>
      <c r="AZ39" s="73">
        <v>37763513644</v>
      </c>
      <c r="BA39" s="73">
        <v>3.77635136436318E+16</v>
      </c>
      <c r="BB39" s="73">
        <v>406483077880</v>
      </c>
      <c r="BC39" s="218">
        <v>58533563214756</v>
      </c>
      <c r="BD39" s="251">
        <f t="shared" si="81"/>
        <v>4.1163186325785512E-6</v>
      </c>
      <c r="BE39" s="252">
        <f t="shared" si="82"/>
        <v>3.7175717804334872E-6</v>
      </c>
      <c r="BF39" s="41">
        <f t="shared" si="83"/>
        <v>7.1067567302447144E-16</v>
      </c>
      <c r="BG39" s="42">
        <f t="shared" si="83"/>
        <v>7.1067567302447144E-16</v>
      </c>
      <c r="BH39" s="42">
        <f t="shared" si="83"/>
        <v>6.940192119379604E-16</v>
      </c>
      <c r="BI39" s="42">
        <f t="shared" si="83"/>
        <v>5.685405384195772E-16</v>
      </c>
      <c r="BJ39" s="42">
        <f t="shared" si="83"/>
        <v>6.5064301119183788E-16</v>
      </c>
      <c r="BK39" s="43">
        <f t="shared" si="83"/>
        <v>5.5521536955036834E-16</v>
      </c>
      <c r="BL39" s="107">
        <f t="shared" si="84"/>
        <v>2.2221304882480366E-15</v>
      </c>
      <c r="BM39" s="44">
        <f t="shared" si="55"/>
        <v>-1.1377308099829946E-15</v>
      </c>
      <c r="BN39" s="44">
        <f t="shared" si="56"/>
        <v>-6.3788530509003719E-16</v>
      </c>
      <c r="BO39" s="44">
        <f t="shared" si="57"/>
        <v>3.2659727620609907E-16</v>
      </c>
      <c r="BP39" s="108">
        <f t="shared" si="58"/>
        <v>3.3443561083504543E-16</v>
      </c>
      <c r="BQ39" s="43">
        <f t="shared" si="59"/>
        <v>1.155394666870912E-9</v>
      </c>
      <c r="BR39" s="42">
        <f t="shared" si="59"/>
        <v>4.7628668117043048E-8</v>
      </c>
      <c r="BS39" s="42">
        <f t="shared" si="59"/>
        <v>-9.9302200409319704E-16</v>
      </c>
      <c r="BT39" s="42">
        <f t="shared" si="59"/>
        <v>4.6547906441868615E-14</v>
      </c>
      <c r="BU39" s="42">
        <f t="shared" si="59"/>
        <v>9.6485506951305167E-8</v>
      </c>
      <c r="BV39" s="42">
        <f t="shared" si="59"/>
        <v>-9.7512207132084658E-12</v>
      </c>
      <c r="BW39" s="42">
        <f t="shared" si="59"/>
        <v>-1.0592234710327434E-15</v>
      </c>
      <c r="BX39" s="42">
        <f t="shared" si="59"/>
        <v>6.0917573788692928E-13</v>
      </c>
      <c r="BY39" s="45">
        <f t="shared" si="59"/>
        <v>-5.7392285989402035E-15</v>
      </c>
    </row>
    <row r="40" spans="2:77" x14ac:dyDescent="0.25">
      <c r="B40" s="86">
        <v>4</v>
      </c>
      <c r="C40" s="93">
        <v>23</v>
      </c>
      <c r="D40" s="93">
        <v>62</v>
      </c>
      <c r="E40" s="199">
        <f t="shared" si="60"/>
        <v>57.436921923097515</v>
      </c>
      <c r="F40" s="191">
        <f t="shared" si="61"/>
        <v>57.576036681939129</v>
      </c>
      <c r="G40" s="156" t="s">
        <v>7</v>
      </c>
      <c r="H40" s="59"/>
      <c r="I40" s="4">
        <v>760</v>
      </c>
      <c r="J40" s="58"/>
      <c r="K40" s="55"/>
      <c r="L40" s="239">
        <f t="shared" si="62"/>
        <v>57.436921923097515</v>
      </c>
      <c r="M40" s="240">
        <f t="shared" si="63"/>
        <v>57.576036681939129</v>
      </c>
      <c r="N40" s="69">
        <f t="shared" si="64"/>
        <v>0.5284196816924972</v>
      </c>
      <c r="O40" s="70">
        <f t="shared" si="65"/>
        <v>5.2841968169249715E-2</v>
      </c>
      <c r="P40" s="70">
        <f t="shared" si="66"/>
        <v>5.2841968169249718E-5</v>
      </c>
      <c r="Q40" s="70">
        <f t="shared" si="67"/>
        <v>5.2841968169249718</v>
      </c>
      <c r="R40" s="70">
        <f>(B40*C40*(SQRT(D40^2-B40^2-C40^2)))/1000^3</f>
        <v>5.2841968169249715E-6</v>
      </c>
      <c r="S40" s="71">
        <f t="shared" si="68"/>
        <v>5.2841968169249718E-3</v>
      </c>
      <c r="T40" s="115">
        <f t="shared" si="69"/>
        <v>8.8537414790795061</v>
      </c>
      <c r="U40" s="72">
        <f t="shared" si="70"/>
        <v>129.11706323657614</v>
      </c>
      <c r="V40" s="72">
        <f t="shared" si="71"/>
        <v>4.0159895808629786E-3</v>
      </c>
      <c r="W40" s="72">
        <f>R40*1000*I40</f>
        <v>4.0159895808629784</v>
      </c>
      <c r="X40" s="116">
        <f t="shared" si="72"/>
        <v>4015.9895808629785</v>
      </c>
      <c r="Y40" s="81">
        <f t="shared" si="73"/>
        <v>3.2855937838472656E-5</v>
      </c>
      <c r="Z40" s="73">
        <f t="shared" si="74"/>
        <v>8.1188790530372576E-7</v>
      </c>
      <c r="AA40" s="73">
        <f t="shared" si="75"/>
        <v>32.855937838472656</v>
      </c>
      <c r="AB40" s="73">
        <f t="shared" si="76"/>
        <v>0.32855937838472654</v>
      </c>
      <c r="AC40" s="73">
        <f t="shared" si="77"/>
        <v>3.2855937838472654E-7</v>
      </c>
      <c r="AD40" s="73">
        <f>(2*(B40*C40+B40*(SQRT(D40^2-B40^2-C40^2))+C40*(SQRT(D40^2-B40^2-C40^2))))/1000^2</f>
        <v>3.2855937838472656E-3</v>
      </c>
      <c r="AE40" s="73">
        <f t="shared" si="78"/>
        <v>3285.5937838472655</v>
      </c>
      <c r="AF40" s="73">
        <f t="shared" si="79"/>
        <v>3.5365837155030298E-2</v>
      </c>
      <c r="AG40" s="81">
        <f t="shared" si="80"/>
        <v>5.0926805503243626</v>
      </c>
      <c r="AH40" s="239">
        <v>57.436999999999998</v>
      </c>
      <c r="AI40" s="240">
        <v>57.576000000000001</v>
      </c>
      <c r="AJ40" s="217">
        <v>0.52842</v>
      </c>
      <c r="AK40" s="70">
        <v>5.2842E-2</v>
      </c>
      <c r="AL40" s="70">
        <v>5.2841968169249698E-5</v>
      </c>
      <c r="AM40" s="70">
        <v>5.2842000000000002</v>
      </c>
      <c r="AN40" s="70">
        <v>5.2841968169249698E-6</v>
      </c>
      <c r="AO40" s="71">
        <v>5.2842000000000002E-3</v>
      </c>
      <c r="AP40" s="115">
        <v>8.8537400000000002</v>
      </c>
      <c r="AQ40" s="72">
        <v>129.11699999999999</v>
      </c>
      <c r="AR40" s="72">
        <v>4.0159899999999997E-3</v>
      </c>
      <c r="AS40" s="72">
        <v>4.0159900000000004</v>
      </c>
      <c r="AT40" s="116">
        <v>4015.99</v>
      </c>
      <c r="AU40" s="123">
        <v>3.2855937838472703E-5</v>
      </c>
      <c r="AV40" s="123">
        <v>8.1188790530372597E-7</v>
      </c>
      <c r="AW40" s="73">
        <v>32.855899999999998</v>
      </c>
      <c r="AX40" s="73">
        <v>0.32855899999999999</v>
      </c>
      <c r="AY40" s="73">
        <v>3.2855937838472702E-7</v>
      </c>
      <c r="AZ40" s="73">
        <v>3.2855900000000001E-3</v>
      </c>
      <c r="BA40" s="73">
        <v>3285.59</v>
      </c>
      <c r="BB40" s="73">
        <v>3.5365800000000003E-2</v>
      </c>
      <c r="BC40" s="218">
        <v>5.0926799999999997</v>
      </c>
      <c r="BD40" s="251">
        <f t="shared" si="81"/>
        <v>-1.3593503946361564E-6</v>
      </c>
      <c r="BE40" s="252">
        <f t="shared" si="82"/>
        <v>6.3710427536904935E-7</v>
      </c>
      <c r="BF40" s="41">
        <f t="shared" si="83"/>
        <v>-6.0237631910422466E-7</v>
      </c>
      <c r="BG40" s="42">
        <f t="shared" si="83"/>
        <v>-6.0237631920927602E-7</v>
      </c>
      <c r="BH40" s="42">
        <f t="shared" si="83"/>
        <v>3.8470918927529887E-16</v>
      </c>
      <c r="BI40" s="42">
        <f t="shared" si="83"/>
        <v>-6.0237631918826568E-7</v>
      </c>
      <c r="BJ40" s="42">
        <f t="shared" si="83"/>
        <v>3.2059099106274909E-16</v>
      </c>
      <c r="BK40" s="43">
        <f t="shared" si="83"/>
        <v>-6.0237631917644746E-7</v>
      </c>
      <c r="BL40" s="107">
        <f t="shared" si="84"/>
        <v>1.6705700177475474E-7</v>
      </c>
      <c r="BM40" s="44">
        <f t="shared" si="55"/>
        <v>4.8976157424981374E-7</v>
      </c>
      <c r="BN40" s="44">
        <f t="shared" si="56"/>
        <v>-1.04367058892442E-7</v>
      </c>
      <c r="BO40" s="44">
        <f t="shared" si="57"/>
        <v>-1.0436705911187472E-7</v>
      </c>
      <c r="BP40" s="108">
        <f t="shared" si="58"/>
        <v>-1.0436705893140772E-7</v>
      </c>
      <c r="BQ40" s="43">
        <f t="shared" si="59"/>
        <v>-1.4436917089214286E-15</v>
      </c>
      <c r="BR40" s="42">
        <f t="shared" si="59"/>
        <v>-2.6082201179528191E-16</v>
      </c>
      <c r="BS40" s="42">
        <f t="shared" si="59"/>
        <v>1.1516479256624048E-6</v>
      </c>
      <c r="BT40" s="42">
        <f t="shared" si="59"/>
        <v>1.1516479255948236E-6</v>
      </c>
      <c r="BU40" s="42">
        <f t="shared" si="59"/>
        <v>-1.4501367611933994E-15</v>
      </c>
      <c r="BV40" s="42">
        <f t="shared" si="59"/>
        <v>1.1516479255789841E-6</v>
      </c>
      <c r="BW40" s="42">
        <f t="shared" si="59"/>
        <v>1.1516479255499495E-6</v>
      </c>
      <c r="BX40" s="42">
        <f t="shared" si="59"/>
        <v>1.0505910020629749E-6</v>
      </c>
      <c r="BY40" s="45">
        <f t="shared" si="59"/>
        <v>1.0806182668063245E-7</v>
      </c>
    </row>
    <row r="41" spans="2:77" x14ac:dyDescent="0.25">
      <c r="B41" s="86">
        <v>78</v>
      </c>
      <c r="C41" s="93">
        <v>213</v>
      </c>
      <c r="D41" s="93">
        <v>321</v>
      </c>
      <c r="E41" s="199">
        <f t="shared" si="60"/>
        <v>227.1299187689724</v>
      </c>
      <c r="F41" s="191">
        <f t="shared" si="61"/>
        <v>240.14995315427402</v>
      </c>
      <c r="G41" s="156" t="s">
        <v>8</v>
      </c>
      <c r="H41" s="59"/>
      <c r="I41" s="58"/>
      <c r="J41" s="4">
        <v>580</v>
      </c>
      <c r="K41" s="55"/>
      <c r="L41" s="239">
        <f t="shared" si="62"/>
        <v>227.1299187689724</v>
      </c>
      <c r="M41" s="240">
        <f t="shared" si="63"/>
        <v>240.14995315427402</v>
      </c>
      <c r="N41" s="69">
        <f t="shared" si="64"/>
        <v>288507564024.53003</v>
      </c>
      <c r="O41" s="70">
        <f t="shared" si="65"/>
        <v>28850756402.453003</v>
      </c>
      <c r="P41" s="70">
        <f t="shared" si="66"/>
        <v>28850756.402453002</v>
      </c>
      <c r="Q41" s="70">
        <f t="shared" si="67"/>
        <v>2885075640245.3003</v>
      </c>
      <c r="R41" s="70">
        <f>(B41*C41*(SQRT(D41^2-B41^2-C41^2)))*0.9144^3</f>
        <v>2885075.6402453003</v>
      </c>
      <c r="S41" s="71">
        <f t="shared" si="68"/>
        <v>2885075640.2453003</v>
      </c>
      <c r="T41" s="115">
        <f t="shared" si="69"/>
        <v>59093581126.897881</v>
      </c>
      <c r="U41" s="72">
        <f t="shared" si="70"/>
        <v>861781391433.92749</v>
      </c>
      <c r="V41" s="72">
        <f t="shared" si="71"/>
        <v>26804397.515136883</v>
      </c>
      <c r="W41" s="72">
        <f>R41*(0.45359237/0.3048^3)*J41</f>
        <v>26804397515.136883</v>
      </c>
      <c r="X41" s="116">
        <f t="shared" si="72"/>
        <v>26804397515136.883</v>
      </c>
      <c r="Y41" s="81">
        <f t="shared" si="73"/>
        <v>1383.1019182403752</v>
      </c>
      <c r="Z41" s="73">
        <f t="shared" si="74"/>
        <v>34.177192711475605</v>
      </c>
      <c r="AA41" s="73">
        <f t="shared" si="75"/>
        <v>1383101918.2403753</v>
      </c>
      <c r="AB41" s="73">
        <f t="shared" si="76"/>
        <v>13831019.182403753</v>
      </c>
      <c r="AC41" s="73">
        <f t="shared" si="77"/>
        <v>13.831019182403752</v>
      </c>
      <c r="AD41" s="73">
        <f>(2*(B41*C41+B41*(SQRT(D41^2-B41^2-C41^2))+C41*(SQRT(D41^2-B41^2-C41^2))))*0.9144^2</f>
        <v>138310.19182403752</v>
      </c>
      <c r="AE41" s="73">
        <f t="shared" si="78"/>
        <v>138310191824.03754</v>
      </c>
      <c r="AF41" s="73">
        <f t="shared" si="79"/>
        <v>1488758.5145118774</v>
      </c>
      <c r="AG41" s="81">
        <f t="shared" si="80"/>
        <v>214381226.08971035</v>
      </c>
      <c r="AH41" s="239">
        <v>227.13</v>
      </c>
      <c r="AI41" s="240">
        <v>240.15</v>
      </c>
      <c r="AJ41" s="217">
        <v>288507564025</v>
      </c>
      <c r="AK41" s="70">
        <v>28850756402</v>
      </c>
      <c r="AL41" s="70">
        <v>28850756</v>
      </c>
      <c r="AM41" s="70">
        <v>2885075640245</v>
      </c>
      <c r="AN41" s="70">
        <v>2885076</v>
      </c>
      <c r="AO41" s="71">
        <v>2885075640</v>
      </c>
      <c r="AP41" s="115">
        <v>59093581127</v>
      </c>
      <c r="AQ41" s="72">
        <v>861781391434</v>
      </c>
      <c r="AR41" s="72">
        <v>26804398</v>
      </c>
      <c r="AS41" s="72">
        <v>26804397515</v>
      </c>
      <c r="AT41" s="116">
        <v>26804397515137</v>
      </c>
      <c r="AU41" s="123">
        <v>1383.1</v>
      </c>
      <c r="AV41" s="123">
        <v>34.177199999999999</v>
      </c>
      <c r="AW41" s="73">
        <v>1383101918</v>
      </c>
      <c r="AX41" s="73">
        <v>13831019</v>
      </c>
      <c r="AY41" s="73">
        <v>13.831</v>
      </c>
      <c r="AZ41" s="73">
        <v>138310</v>
      </c>
      <c r="BA41" s="73">
        <v>138310191824</v>
      </c>
      <c r="BB41" s="73">
        <v>1488759</v>
      </c>
      <c r="BC41" s="218">
        <v>214381226</v>
      </c>
      <c r="BD41" s="251">
        <f t="shared" si="81"/>
        <v>-3.5764124794101182E-7</v>
      </c>
      <c r="BE41" s="252">
        <f t="shared" si="82"/>
        <v>-1.9506864513024854E-7</v>
      </c>
      <c r="BF41" s="41">
        <f t="shared" si="83"/>
        <v>-1.6289718597639308E-12</v>
      </c>
      <c r="BG41" s="42">
        <f t="shared" si="83"/>
        <v>1.5701596289828433E-11</v>
      </c>
      <c r="BH41" s="42">
        <f t="shared" si="83"/>
        <v>1.3949478342077884E-8</v>
      </c>
      <c r="BI41" s="42">
        <f t="shared" si="83"/>
        <v>1.0408495519530571E-13</v>
      </c>
      <c r="BJ41" s="42">
        <f t="shared" si="83"/>
        <v>-1.2469506682238034E-7</v>
      </c>
      <c r="BK41" s="43">
        <f t="shared" si="83"/>
        <v>8.5023868888197892E-11</v>
      </c>
      <c r="BL41" s="107">
        <f t="shared" si="84"/>
        <v>-1.7280970936841582E-12</v>
      </c>
      <c r="BM41" s="44">
        <f t="shared" si="55"/>
        <v>-8.4139395844171348E-14</v>
      </c>
      <c r="BN41" s="44">
        <f t="shared" si="56"/>
        <v>-1.8088939214672395E-8</v>
      </c>
      <c r="BO41" s="44">
        <f t="shared" si="57"/>
        <v>5.10672854725132E-12</v>
      </c>
      <c r="BP41" s="108">
        <f t="shared" si="58"/>
        <v>-4.3719505328863406E-15</v>
      </c>
      <c r="BQ41" s="43">
        <f t="shared" si="59"/>
        <v>1.3869118030938455E-6</v>
      </c>
      <c r="BR41" s="42">
        <f t="shared" si="59"/>
        <v>-2.1325696511501635E-7</v>
      </c>
      <c r="BS41" s="42">
        <f t="shared" si="59"/>
        <v>1.7379433663577146E-10</v>
      </c>
      <c r="BT41" s="42">
        <f t="shared" si="59"/>
        <v>1.3188019637218401E-8</v>
      </c>
      <c r="BU41" s="42">
        <f t="shared" si="59"/>
        <v>1.3869118030681588E-6</v>
      </c>
      <c r="BV41" s="42">
        <f t="shared" si="59"/>
        <v>1.3869118030543909E-6</v>
      </c>
      <c r="BW41" s="42">
        <f t="shared" si="59"/>
        <v>2.7139446919071038E-13</v>
      </c>
      <c r="BX41" s="42">
        <f t="shared" si="59"/>
        <v>-3.26102667309429E-7</v>
      </c>
      <c r="BY41" s="45">
        <f t="shared" si="59"/>
        <v>4.1846180489448417E-10</v>
      </c>
    </row>
    <row r="42" spans="2:77" ht="15.75" thickBot="1" x14ac:dyDescent="0.3">
      <c r="B42" s="88">
        <v>43</v>
      </c>
      <c r="C42" s="95">
        <v>234</v>
      </c>
      <c r="D42" s="95">
        <v>322</v>
      </c>
      <c r="E42" s="198">
        <f t="shared" si="60"/>
        <v>216.9769573019218</v>
      </c>
      <c r="F42" s="194">
        <f t="shared" si="61"/>
        <v>221.19674500317586</v>
      </c>
      <c r="G42" s="157" t="s">
        <v>43</v>
      </c>
      <c r="H42" s="63"/>
      <c r="I42" s="60"/>
      <c r="J42" s="60"/>
      <c r="K42" s="15">
        <v>988</v>
      </c>
      <c r="L42" s="243">
        <f t="shared" si="62"/>
        <v>216.9769573019218</v>
      </c>
      <c r="M42" s="244">
        <f t="shared" si="63"/>
        <v>221.19674500317586</v>
      </c>
      <c r="N42" s="79">
        <f t="shared" si="64"/>
        <v>2.1832221443719372E-7</v>
      </c>
      <c r="O42" s="74">
        <f t="shared" si="65"/>
        <v>2.1832221443719372E-8</v>
      </c>
      <c r="P42" s="74">
        <f t="shared" si="66"/>
        <v>2.1832221443719371E-11</v>
      </c>
      <c r="Q42" s="74">
        <f t="shared" si="67"/>
        <v>2.1832221443719372E-6</v>
      </c>
      <c r="R42" s="74">
        <f>(B42*C42*(SQRT(D42^2-B42^2-C42^2)))/1000000^3</f>
        <v>2.1832221443719371E-12</v>
      </c>
      <c r="S42" s="75">
        <f t="shared" si="68"/>
        <v>2.1832221443719372E-9</v>
      </c>
      <c r="T42" s="117">
        <f t="shared" si="69"/>
        <v>4.7554227568675237E-6</v>
      </c>
      <c r="U42" s="76">
        <f t="shared" si="70"/>
        <v>6.9349915204318068E-5</v>
      </c>
      <c r="V42" s="76">
        <f t="shared" si="71"/>
        <v>2.1570234786394739E-9</v>
      </c>
      <c r="W42" s="76">
        <f>R42*1000*K42</f>
        <v>2.157023478639474E-6</v>
      </c>
      <c r="X42" s="118">
        <f t="shared" si="72"/>
        <v>2.1570234786394741E-3</v>
      </c>
      <c r="Y42" s="82">
        <f t="shared" si="73"/>
        <v>1.4032923434526468E-9</v>
      </c>
      <c r="Z42" s="77">
        <f t="shared" si="74"/>
        <v>3.4676108983881868E-11</v>
      </c>
      <c r="AA42" s="77">
        <f t="shared" si="75"/>
        <v>1.4032923434526467E-3</v>
      </c>
      <c r="AB42" s="77">
        <f t="shared" si="76"/>
        <v>1.4032923434526467E-5</v>
      </c>
      <c r="AC42" s="77">
        <f t="shared" si="77"/>
        <v>1.4032923434526467E-11</v>
      </c>
      <c r="AD42" s="77">
        <f>(2*(B42*C42+B42*(SQRT(D42^2-B42^2-C42^2))+C42*(SQRT(D42^2-B42^2-C42^2))))/1000000^2</f>
        <v>1.4032923434526467E-7</v>
      </c>
      <c r="AE42" s="77">
        <f t="shared" si="78"/>
        <v>0.14032923434526468</v>
      </c>
      <c r="AF42" s="77">
        <f t="shared" si="79"/>
        <v>1.510491307337894E-6</v>
      </c>
      <c r="AG42" s="82">
        <f t="shared" si="80"/>
        <v>2.1751074825665675E-4</v>
      </c>
      <c r="AH42" s="243">
        <v>216.98</v>
      </c>
      <c r="AI42" s="244">
        <v>221.2</v>
      </c>
      <c r="AJ42" s="219">
        <v>2.1832221443719399E-7</v>
      </c>
      <c r="AK42" s="74">
        <v>2.1832221443719401E-8</v>
      </c>
      <c r="AL42" s="74">
        <v>2.18322214437194E-11</v>
      </c>
      <c r="AM42" s="74">
        <v>2.1832221443719402E-6</v>
      </c>
      <c r="AN42" s="74">
        <v>2.1832221443719399E-12</v>
      </c>
      <c r="AO42" s="75">
        <v>2.1832221443719401E-9</v>
      </c>
      <c r="AP42" s="117">
        <v>4.7554227568675203E-6</v>
      </c>
      <c r="AQ42" s="76">
        <v>6.9349915204318095E-5</v>
      </c>
      <c r="AR42" s="76">
        <v>2.1570234786394701E-9</v>
      </c>
      <c r="AS42" s="76">
        <v>2.1570234786394702E-6</v>
      </c>
      <c r="AT42" s="118">
        <v>2.1570199999999999E-3</v>
      </c>
      <c r="AU42" s="125">
        <v>1.4032923434526499E-9</v>
      </c>
      <c r="AV42" s="125">
        <v>3.4676108983881901E-11</v>
      </c>
      <c r="AW42" s="77">
        <v>1.40329E-3</v>
      </c>
      <c r="AX42" s="77">
        <v>1.40329234345265E-5</v>
      </c>
      <c r="AY42" s="77">
        <v>1.4032923434526499E-11</v>
      </c>
      <c r="AZ42" s="77">
        <v>1.4032923434526499E-7</v>
      </c>
      <c r="BA42" s="77">
        <v>0.14032900000000001</v>
      </c>
      <c r="BB42" s="77">
        <v>1.51049130733789E-6</v>
      </c>
      <c r="BC42" s="220">
        <v>2.1751100000000001E-4</v>
      </c>
      <c r="BD42" s="253">
        <f t="shared" si="81"/>
        <v>-1.4023139212685133E-5</v>
      </c>
      <c r="BE42" s="254">
        <f t="shared" si="82"/>
        <v>-1.47153920555152E-5</v>
      </c>
      <c r="BF42" s="46">
        <f t="shared" si="83"/>
        <v>-1.2124180615304097E-15</v>
      </c>
      <c r="BG42" s="47">
        <f t="shared" si="83"/>
        <v>-1.3639703192217111E-15</v>
      </c>
      <c r="BH42" s="47">
        <f t="shared" si="83"/>
        <v>-1.3320022648649523E-15</v>
      </c>
      <c r="BI42" s="47">
        <f t="shared" si="83"/>
        <v>-1.3579082289140589E-15</v>
      </c>
      <c r="BJ42" s="47">
        <f t="shared" si="83"/>
        <v>-1.2950022019520368E-15</v>
      </c>
      <c r="BK42" s="48">
        <f t="shared" si="83"/>
        <v>-1.3260822547988857E-15</v>
      </c>
      <c r="BL42" s="109">
        <f t="shared" si="84"/>
        <v>7.1247751509037659E-16</v>
      </c>
      <c r="BM42" s="49">
        <f t="shared" si="55"/>
        <v>-3.9084480827814939E-16</v>
      </c>
      <c r="BN42" s="49">
        <f t="shared" si="56"/>
        <v>1.7256709504323269E-15</v>
      </c>
      <c r="BO42" s="49">
        <f t="shared" si="57"/>
        <v>1.7670870532427025E-15</v>
      </c>
      <c r="BP42" s="110">
        <f t="shared" si="58"/>
        <v>1.6127035744299019E-6</v>
      </c>
      <c r="BQ42" s="48">
        <f t="shared" si="59"/>
        <v>-2.2104640644171849E-15</v>
      </c>
      <c r="BR42" s="47">
        <f t="shared" si="59"/>
        <v>-9.3181569745532208E-16</v>
      </c>
      <c r="BS42" s="47">
        <f t="shared" si="59"/>
        <v>1.669967528657473E-6</v>
      </c>
      <c r="BT42" s="47">
        <f t="shared" si="59"/>
        <v>-2.2936954046560399E-15</v>
      </c>
      <c r="BU42" s="47">
        <f t="shared" si="59"/>
        <v>-2.3025667337679011E-15</v>
      </c>
      <c r="BV42" s="47">
        <f t="shared" si="59"/>
        <v>-2.2635152019631973E-15</v>
      </c>
      <c r="BW42" s="47">
        <f t="shared" si="59"/>
        <v>1.6699675285709403E-6</v>
      </c>
      <c r="BX42" s="47">
        <f t="shared" si="59"/>
        <v>2.6636409490822036E-15</v>
      </c>
      <c r="BY42" s="50">
        <f t="shared" si="59"/>
        <v>-1.1573834639638354E-6</v>
      </c>
    </row>
    <row r="43" spans="2:77" ht="15.75" thickTop="1" x14ac:dyDescent="0.25"/>
    <row r="45" spans="2:77" x14ac:dyDescent="0.25">
      <c r="B45" s="317" t="s">
        <v>14</v>
      </c>
      <c r="C45" s="318"/>
      <c r="D45" s="349" t="s">
        <v>15</v>
      </c>
      <c r="E45" s="318"/>
      <c r="F45" s="350"/>
      <c r="H45" s="207"/>
      <c r="I45" s="206"/>
      <c r="J45" s="208"/>
      <c r="K45" s="206"/>
    </row>
    <row r="46" spans="2:77" x14ac:dyDescent="0.25">
      <c r="B46" s="264"/>
      <c r="C46" s="265" t="s">
        <v>16</v>
      </c>
      <c r="D46" s="351">
        <v>41031</v>
      </c>
      <c r="E46" s="352"/>
      <c r="F46" s="353"/>
      <c r="H46" s="206"/>
      <c r="I46" s="207"/>
      <c r="J46" s="205"/>
      <c r="K46" s="206"/>
    </row>
  </sheetData>
  <mergeCells count="91">
    <mergeCell ref="B3:F3"/>
    <mergeCell ref="B17:F17"/>
    <mergeCell ref="B31:F31"/>
    <mergeCell ref="E5:E6"/>
    <mergeCell ref="F5:F6"/>
    <mergeCell ref="E19:E20"/>
    <mergeCell ref="F19:F20"/>
    <mergeCell ref="C19:C20"/>
    <mergeCell ref="D19:D20"/>
    <mergeCell ref="E33:E34"/>
    <mergeCell ref="F33:F34"/>
    <mergeCell ref="G3:K3"/>
    <mergeCell ref="B4:G4"/>
    <mergeCell ref="H4:K5"/>
    <mergeCell ref="G17:K17"/>
    <mergeCell ref="B18:G18"/>
    <mergeCell ref="H18:K19"/>
    <mergeCell ref="G31:K31"/>
    <mergeCell ref="B32:G32"/>
    <mergeCell ref="H32:K33"/>
    <mergeCell ref="B33:B34"/>
    <mergeCell ref="C33:C34"/>
    <mergeCell ref="D33:D34"/>
    <mergeCell ref="G33:G34"/>
    <mergeCell ref="B19:B20"/>
    <mergeCell ref="BL4:BP5"/>
    <mergeCell ref="BQ4:BY5"/>
    <mergeCell ref="B5:B6"/>
    <mergeCell ref="C5:C6"/>
    <mergeCell ref="D5:D6"/>
    <mergeCell ref="G5:G6"/>
    <mergeCell ref="T4:X5"/>
    <mergeCell ref="Y4:AG5"/>
    <mergeCell ref="AJ4:AO5"/>
    <mergeCell ref="AP4:AT5"/>
    <mergeCell ref="AU4:BC5"/>
    <mergeCell ref="BF4:BK5"/>
    <mergeCell ref="BD4:BE4"/>
    <mergeCell ref="BD5:BD6"/>
    <mergeCell ref="BE5:BE6"/>
    <mergeCell ref="L4:M4"/>
    <mergeCell ref="BQ18:BY19"/>
    <mergeCell ref="BF18:BK19"/>
    <mergeCell ref="BL18:BP19"/>
    <mergeCell ref="T18:X19"/>
    <mergeCell ref="BD18:BE18"/>
    <mergeCell ref="AH18:AI18"/>
    <mergeCell ref="AI19:AI20"/>
    <mergeCell ref="BD19:BD20"/>
    <mergeCell ref="BE19:BE20"/>
    <mergeCell ref="L5:L6"/>
    <mergeCell ref="M5:M6"/>
    <mergeCell ref="L18:M18"/>
    <mergeCell ref="AH4:AI4"/>
    <mergeCell ref="AH5:AH6"/>
    <mergeCell ref="AI5:AI6"/>
    <mergeCell ref="N18:S19"/>
    <mergeCell ref="N4:S5"/>
    <mergeCell ref="AH19:AH20"/>
    <mergeCell ref="L19:L20"/>
    <mergeCell ref="M19:M20"/>
    <mergeCell ref="BD33:BD34"/>
    <mergeCell ref="BE33:BE34"/>
    <mergeCell ref="BQ32:BY33"/>
    <mergeCell ref="AU32:BC33"/>
    <mergeCell ref="BF32:BK33"/>
    <mergeCell ref="BL32:BP33"/>
    <mergeCell ref="BD32:BE32"/>
    <mergeCell ref="AP32:AT33"/>
    <mergeCell ref="T32:X33"/>
    <mergeCell ref="AH32:AI32"/>
    <mergeCell ref="AH33:AH34"/>
    <mergeCell ref="AI33:AI34"/>
    <mergeCell ref="Y32:AG33"/>
    <mergeCell ref="AJ32:AO33"/>
    <mergeCell ref="D46:F46"/>
    <mergeCell ref="B1:K1"/>
    <mergeCell ref="L1:AG1"/>
    <mergeCell ref="AH1:BC1"/>
    <mergeCell ref="BD1:BY1"/>
    <mergeCell ref="B45:C45"/>
    <mergeCell ref="D45:F45"/>
    <mergeCell ref="G19:G20"/>
    <mergeCell ref="Y18:AG19"/>
    <mergeCell ref="AJ18:AO19"/>
    <mergeCell ref="AP18:AT19"/>
    <mergeCell ref="AU18:BC19"/>
    <mergeCell ref="L32:M32"/>
    <mergeCell ref="L33:L34"/>
    <mergeCell ref="M33:M34"/>
    <mergeCell ref="N32:S33"/>
  </mergeCells>
  <conditionalFormatting sqref="BF7:BY14 BF21:BY28 BF35:BY42">
    <cfRule type="cellIs" dxfId="2" priority="7" operator="notBetween">
      <formula>0.0001</formula>
      <formula>-0.0001</formula>
    </cfRule>
  </conditionalFormatting>
  <conditionalFormatting sqref="BD7:BE14 BD21:BE28 BD35:BE42">
    <cfRule type="cellIs" dxfId="1" priority="1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T32"/>
  <sheetViews>
    <sheetView zoomScaleNormal="100" workbookViewId="0">
      <pane ySplit="1" topLeftCell="A3" activePane="bottomLeft" state="frozen"/>
      <selection pane="bottomLeft"/>
    </sheetView>
  </sheetViews>
  <sheetFormatPr defaultRowHeight="15" x14ac:dyDescent="0.25"/>
  <cols>
    <col min="1" max="1" width="3.7109375" customWidth="1"/>
    <col min="2" max="2" width="8.5703125" bestFit="1" customWidth="1"/>
    <col min="3" max="3" width="7.140625" bestFit="1" customWidth="1"/>
    <col min="4" max="4" width="8.5703125" bestFit="1" customWidth="1"/>
    <col min="5" max="5" width="9.28515625" customWidth="1"/>
    <col min="6" max="9" width="9.140625" customWidth="1"/>
    <col min="10" max="10" width="8.5703125" bestFit="1" customWidth="1"/>
    <col min="11" max="30" width="12" customWidth="1"/>
    <col min="31" max="31" width="8.5703125" bestFit="1" customWidth="1"/>
    <col min="32" max="51" width="12" bestFit="1" customWidth="1"/>
    <col min="52" max="52" width="14.28515625" bestFit="1" customWidth="1"/>
    <col min="53" max="72" width="15" bestFit="1" customWidth="1"/>
  </cols>
  <sheetData>
    <row r="1" spans="2:72" ht="21.95" customHeight="1" thickBot="1" x14ac:dyDescent="0.4">
      <c r="B1" s="415" t="s">
        <v>98</v>
      </c>
      <c r="C1" s="416"/>
      <c r="D1" s="416"/>
      <c r="E1" s="416"/>
      <c r="F1" s="416"/>
      <c r="G1" s="416"/>
      <c r="H1" s="416"/>
      <c r="I1" s="417"/>
      <c r="J1" s="319" t="s">
        <v>99</v>
      </c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1"/>
      <c r="AE1" s="319" t="s">
        <v>100</v>
      </c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1"/>
      <c r="AZ1" s="319" t="s">
        <v>101</v>
      </c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1"/>
    </row>
    <row r="2" spans="2:72" ht="15" customHeight="1" thickBot="1" x14ac:dyDescent="0.3"/>
    <row r="3" spans="2:72" ht="30.75" customHeight="1" thickTop="1" thickBot="1" x14ac:dyDescent="0.3">
      <c r="B3" s="343" t="s">
        <v>46</v>
      </c>
      <c r="C3" s="344"/>
      <c r="D3" s="344"/>
      <c r="E3" s="345"/>
      <c r="F3" s="436" t="s">
        <v>79</v>
      </c>
      <c r="G3" s="436"/>
      <c r="H3" s="436"/>
      <c r="I3" s="442"/>
    </row>
    <row r="4" spans="2:72" ht="16.5" customHeight="1" thickTop="1" thickBot="1" x14ac:dyDescent="0.3">
      <c r="B4" s="337" t="s">
        <v>66</v>
      </c>
      <c r="C4" s="338"/>
      <c r="D4" s="338"/>
      <c r="E4" s="338"/>
      <c r="F4" s="311" t="s">
        <v>31</v>
      </c>
      <c r="G4" s="312"/>
      <c r="H4" s="312"/>
      <c r="I4" s="312"/>
      <c r="J4" s="165" t="s">
        <v>89</v>
      </c>
      <c r="K4" s="340" t="s">
        <v>21</v>
      </c>
      <c r="L4" s="341"/>
      <c r="M4" s="341"/>
      <c r="N4" s="341"/>
      <c r="O4" s="341"/>
      <c r="P4" s="341"/>
      <c r="Q4" s="294" t="s">
        <v>22</v>
      </c>
      <c r="R4" s="295"/>
      <c r="S4" s="295"/>
      <c r="T4" s="295"/>
      <c r="U4" s="296"/>
      <c r="V4" s="304" t="s">
        <v>44</v>
      </c>
      <c r="W4" s="305"/>
      <c r="X4" s="305"/>
      <c r="Y4" s="305"/>
      <c r="Z4" s="305"/>
      <c r="AA4" s="305"/>
      <c r="AB4" s="305"/>
      <c r="AC4" s="305"/>
      <c r="AD4" s="305"/>
      <c r="AE4" s="165" t="s">
        <v>89</v>
      </c>
      <c r="AF4" s="405" t="s">
        <v>21</v>
      </c>
      <c r="AG4" s="301"/>
      <c r="AH4" s="301"/>
      <c r="AI4" s="301"/>
      <c r="AJ4" s="301"/>
      <c r="AK4" s="301"/>
      <c r="AL4" s="294" t="s">
        <v>22</v>
      </c>
      <c r="AM4" s="295"/>
      <c r="AN4" s="295"/>
      <c r="AO4" s="295"/>
      <c r="AP4" s="296"/>
      <c r="AQ4" s="304" t="s">
        <v>45</v>
      </c>
      <c r="AR4" s="305"/>
      <c r="AS4" s="305"/>
      <c r="AT4" s="305"/>
      <c r="AU4" s="305"/>
      <c r="AV4" s="305"/>
      <c r="AW4" s="305"/>
      <c r="AX4" s="305"/>
      <c r="AY4" s="305"/>
      <c r="AZ4" s="245" t="s">
        <v>89</v>
      </c>
      <c r="BA4" s="322" t="s">
        <v>21</v>
      </c>
      <c r="BB4" s="323"/>
      <c r="BC4" s="323"/>
      <c r="BD4" s="323"/>
      <c r="BE4" s="323"/>
      <c r="BF4" s="323"/>
      <c r="BG4" s="322" t="s">
        <v>22</v>
      </c>
      <c r="BH4" s="323"/>
      <c r="BI4" s="323"/>
      <c r="BJ4" s="323"/>
      <c r="BK4" s="324"/>
      <c r="BL4" s="328" t="s">
        <v>45</v>
      </c>
      <c r="BM4" s="323"/>
      <c r="BN4" s="323"/>
      <c r="BO4" s="323"/>
      <c r="BP4" s="323"/>
      <c r="BQ4" s="323"/>
      <c r="BR4" s="323"/>
      <c r="BS4" s="323"/>
      <c r="BT4" s="329"/>
    </row>
    <row r="5" spans="2:72" s="18" customFormat="1" ht="15" customHeight="1" thickBot="1" x14ac:dyDescent="0.3">
      <c r="B5" s="331" t="s">
        <v>80</v>
      </c>
      <c r="C5" s="333" t="s">
        <v>20</v>
      </c>
      <c r="D5" s="373" t="s">
        <v>81</v>
      </c>
      <c r="E5" s="335" t="s">
        <v>1</v>
      </c>
      <c r="F5" s="314"/>
      <c r="G5" s="315"/>
      <c r="H5" s="315"/>
      <c r="I5" s="315"/>
      <c r="J5" s="399" t="s">
        <v>81</v>
      </c>
      <c r="K5" s="342"/>
      <c r="L5" s="342"/>
      <c r="M5" s="342"/>
      <c r="N5" s="342"/>
      <c r="O5" s="342"/>
      <c r="P5" s="342"/>
      <c r="Q5" s="297"/>
      <c r="R5" s="298"/>
      <c r="S5" s="298"/>
      <c r="T5" s="298"/>
      <c r="U5" s="299"/>
      <c r="V5" s="307"/>
      <c r="W5" s="307"/>
      <c r="X5" s="307"/>
      <c r="Y5" s="307"/>
      <c r="Z5" s="307"/>
      <c r="AA5" s="307"/>
      <c r="AB5" s="307"/>
      <c r="AC5" s="307"/>
      <c r="AD5" s="307"/>
      <c r="AE5" s="399" t="s">
        <v>81</v>
      </c>
      <c r="AF5" s="406"/>
      <c r="AG5" s="303"/>
      <c r="AH5" s="303"/>
      <c r="AI5" s="303"/>
      <c r="AJ5" s="303"/>
      <c r="AK5" s="303"/>
      <c r="AL5" s="297"/>
      <c r="AM5" s="298"/>
      <c r="AN5" s="298"/>
      <c r="AO5" s="298"/>
      <c r="AP5" s="299"/>
      <c r="AQ5" s="307"/>
      <c r="AR5" s="307"/>
      <c r="AS5" s="307"/>
      <c r="AT5" s="307"/>
      <c r="AU5" s="307"/>
      <c r="AV5" s="307"/>
      <c r="AW5" s="307"/>
      <c r="AX5" s="307"/>
      <c r="AY5" s="307"/>
      <c r="AZ5" s="401" t="s">
        <v>81</v>
      </c>
      <c r="BA5" s="325"/>
      <c r="BB5" s="326"/>
      <c r="BC5" s="326"/>
      <c r="BD5" s="326"/>
      <c r="BE5" s="326"/>
      <c r="BF5" s="326"/>
      <c r="BG5" s="325"/>
      <c r="BH5" s="326"/>
      <c r="BI5" s="326"/>
      <c r="BJ5" s="326"/>
      <c r="BK5" s="327"/>
      <c r="BL5" s="326"/>
      <c r="BM5" s="326"/>
      <c r="BN5" s="326"/>
      <c r="BO5" s="326"/>
      <c r="BP5" s="326"/>
      <c r="BQ5" s="326"/>
      <c r="BR5" s="326"/>
      <c r="BS5" s="326"/>
      <c r="BT5" s="330"/>
    </row>
    <row r="6" spans="2:72" s="18" customFormat="1" ht="18" thickBot="1" x14ac:dyDescent="0.3">
      <c r="B6" s="332"/>
      <c r="C6" s="334"/>
      <c r="D6" s="421"/>
      <c r="E6" s="336"/>
      <c r="F6" s="19" t="s">
        <v>29</v>
      </c>
      <c r="G6" s="20" t="s">
        <v>28</v>
      </c>
      <c r="H6" s="20" t="s">
        <v>30</v>
      </c>
      <c r="I6" s="176" t="s">
        <v>27</v>
      </c>
      <c r="J6" s="400"/>
      <c r="K6" s="29" t="s">
        <v>32</v>
      </c>
      <c r="L6" s="24" t="s">
        <v>34</v>
      </c>
      <c r="M6" s="24" t="s">
        <v>33</v>
      </c>
      <c r="N6" s="24" t="s">
        <v>35</v>
      </c>
      <c r="O6" s="24" t="s">
        <v>37</v>
      </c>
      <c r="P6" s="30" t="s">
        <v>36</v>
      </c>
      <c r="Q6" s="111" t="s">
        <v>38</v>
      </c>
      <c r="R6" s="22" t="s">
        <v>39</v>
      </c>
      <c r="S6" s="22" t="s">
        <v>40</v>
      </c>
      <c r="T6" s="22" t="s">
        <v>41</v>
      </c>
      <c r="U6" s="112" t="s">
        <v>42</v>
      </c>
      <c r="V6" s="25" t="s">
        <v>11</v>
      </c>
      <c r="W6" s="23" t="s">
        <v>13</v>
      </c>
      <c r="X6" s="23" t="s">
        <v>23</v>
      </c>
      <c r="Y6" s="23" t="s">
        <v>24</v>
      </c>
      <c r="Z6" s="23" t="s">
        <v>12</v>
      </c>
      <c r="AA6" s="23" t="s">
        <v>25</v>
      </c>
      <c r="AB6" s="23" t="s">
        <v>26</v>
      </c>
      <c r="AC6" s="23" t="s">
        <v>10</v>
      </c>
      <c r="AD6" s="25" t="s">
        <v>9</v>
      </c>
      <c r="AE6" s="400"/>
      <c r="AF6" s="31" t="s">
        <v>32</v>
      </c>
      <c r="AG6" s="24" t="s">
        <v>34</v>
      </c>
      <c r="AH6" s="24" t="s">
        <v>33</v>
      </c>
      <c r="AI6" s="24" t="s">
        <v>35</v>
      </c>
      <c r="AJ6" s="24" t="s">
        <v>37</v>
      </c>
      <c r="AK6" s="30" t="s">
        <v>36</v>
      </c>
      <c r="AL6" s="111" t="s">
        <v>38</v>
      </c>
      <c r="AM6" s="22" t="s">
        <v>39</v>
      </c>
      <c r="AN6" s="22" t="s">
        <v>40</v>
      </c>
      <c r="AO6" s="22" t="s">
        <v>41</v>
      </c>
      <c r="AP6" s="112" t="s">
        <v>42</v>
      </c>
      <c r="AQ6" s="26" t="s">
        <v>11</v>
      </c>
      <c r="AR6" s="27" t="s">
        <v>13</v>
      </c>
      <c r="AS6" s="27" t="s">
        <v>23</v>
      </c>
      <c r="AT6" s="27" t="s">
        <v>24</v>
      </c>
      <c r="AU6" s="27" t="s">
        <v>12</v>
      </c>
      <c r="AV6" s="27" t="s">
        <v>25</v>
      </c>
      <c r="AW6" s="27" t="s">
        <v>26</v>
      </c>
      <c r="AX6" s="27" t="s">
        <v>10</v>
      </c>
      <c r="AY6" s="28" t="s">
        <v>9</v>
      </c>
      <c r="AZ6" s="402"/>
      <c r="BA6" s="32" t="s">
        <v>32</v>
      </c>
      <c r="BB6" s="33" t="s">
        <v>34</v>
      </c>
      <c r="BC6" s="33" t="s">
        <v>33</v>
      </c>
      <c r="BD6" s="33" t="s">
        <v>35</v>
      </c>
      <c r="BE6" s="33" t="s">
        <v>37</v>
      </c>
      <c r="BF6" s="34" t="s">
        <v>36</v>
      </c>
      <c r="BG6" s="103" t="s">
        <v>38</v>
      </c>
      <c r="BH6" s="33" t="s">
        <v>39</v>
      </c>
      <c r="BI6" s="33" t="s">
        <v>40</v>
      </c>
      <c r="BJ6" s="33" t="s">
        <v>41</v>
      </c>
      <c r="BK6" s="104" t="s">
        <v>42</v>
      </c>
      <c r="BL6" s="34" t="s">
        <v>11</v>
      </c>
      <c r="BM6" s="33" t="s">
        <v>13</v>
      </c>
      <c r="BN6" s="33" t="s">
        <v>23</v>
      </c>
      <c r="BO6" s="33" t="s">
        <v>24</v>
      </c>
      <c r="BP6" s="33" t="s">
        <v>12</v>
      </c>
      <c r="BQ6" s="33" t="s">
        <v>25</v>
      </c>
      <c r="BR6" s="33" t="s">
        <v>26</v>
      </c>
      <c r="BS6" s="33" t="s">
        <v>10</v>
      </c>
      <c r="BT6" s="35" t="s">
        <v>9</v>
      </c>
    </row>
    <row r="7" spans="2:72" x14ac:dyDescent="0.25">
      <c r="B7" s="84">
        <v>68</v>
      </c>
      <c r="C7" s="92">
        <v>547</v>
      </c>
      <c r="D7" s="162">
        <f>B7*2</f>
        <v>136</v>
      </c>
      <c r="E7" s="96" t="s">
        <v>2</v>
      </c>
      <c r="F7" s="51"/>
      <c r="G7" s="8">
        <v>569</v>
      </c>
      <c r="H7" s="53"/>
      <c r="I7" s="177"/>
      <c r="J7" s="166">
        <f>B7*2</f>
        <v>136</v>
      </c>
      <c r="K7" s="78">
        <f>O7*100000</f>
        <v>794611.82633189647</v>
      </c>
      <c r="L7" s="65">
        <f>O7*10000</f>
        <v>79461.182633189645</v>
      </c>
      <c r="M7" s="65">
        <f>O7*10</f>
        <v>79.461182633189637</v>
      </c>
      <c r="N7" s="65">
        <f>O7*1000000</f>
        <v>7946118.2633189643</v>
      </c>
      <c r="O7" s="65">
        <f>(PI()*B7^2*C7)/100^3</f>
        <v>7.9461182633189642</v>
      </c>
      <c r="P7" s="66">
        <f>O7*1000</f>
        <v>7946.1182633189646</v>
      </c>
      <c r="Q7" s="113">
        <f>T7/0.45359237</f>
        <v>9967851.2930640578</v>
      </c>
      <c r="R7" s="67">
        <f>T7*1000/31.1034768</f>
        <v>145364498.02385086</v>
      </c>
      <c r="S7" s="67">
        <f>T7/1000</f>
        <v>4521.3412918284912</v>
      </c>
      <c r="T7" s="67">
        <f>O7*1000*G7</f>
        <v>4521341.2918284908</v>
      </c>
      <c r="U7" s="114">
        <f>T7*1000</f>
        <v>4521341291.8284912</v>
      </c>
      <c r="V7" s="80">
        <f>AA7/100</f>
        <v>0.26276280954625031</v>
      </c>
      <c r="W7" s="68">
        <f>AA7/4046.8564224</f>
        <v>6.4930104288310302E-3</v>
      </c>
      <c r="X7" s="68">
        <f>AA7*10000</f>
        <v>262762.80954625033</v>
      </c>
      <c r="Y7" s="68">
        <f>AA7*100</f>
        <v>2627.6280954625031</v>
      </c>
      <c r="Z7" s="68">
        <f>AA7/10000</f>
        <v>2.6276280954625033E-3</v>
      </c>
      <c r="AA7" s="68">
        <f>(2*PI()*B7*(B7+C7))/100^2</f>
        <v>26.276280954625033</v>
      </c>
      <c r="AB7" s="68">
        <f>AA7*1000000</f>
        <v>26276280.954625033</v>
      </c>
      <c r="AC7" s="68">
        <f>AA7/144*10000/(2.54*2.54)</f>
        <v>282.83553427987971</v>
      </c>
      <c r="AD7" s="80">
        <f>AA7*10000/(2.54 *2.54)</f>
        <v>40728.316936302675</v>
      </c>
      <c r="AE7" s="169">
        <v>136</v>
      </c>
      <c r="AF7" s="215">
        <v>794612</v>
      </c>
      <c r="AG7" s="65">
        <v>79461.2</v>
      </c>
      <c r="AH7" s="65">
        <v>79.461200000000005</v>
      </c>
      <c r="AI7" s="65">
        <v>7946118</v>
      </c>
      <c r="AJ7" s="65">
        <v>7.9461199999999996</v>
      </c>
      <c r="AK7" s="66">
        <v>7946.12</v>
      </c>
      <c r="AL7" s="113">
        <v>9967851</v>
      </c>
      <c r="AM7" s="67">
        <v>145364498</v>
      </c>
      <c r="AN7" s="67">
        <v>4521.34</v>
      </c>
      <c r="AO7" s="67">
        <v>4521341</v>
      </c>
      <c r="AP7" s="114">
        <v>4521341292</v>
      </c>
      <c r="AQ7" s="121">
        <v>0.26276300000000002</v>
      </c>
      <c r="AR7" s="121">
        <v>6.4930099999999996E-3</v>
      </c>
      <c r="AS7" s="68">
        <v>262763</v>
      </c>
      <c r="AT7" s="68">
        <v>2627.63</v>
      </c>
      <c r="AU7" s="68">
        <v>2.6276300000000002E-3</v>
      </c>
      <c r="AV7" s="68">
        <v>26.276299999999999</v>
      </c>
      <c r="AW7" s="68">
        <v>26276281</v>
      </c>
      <c r="AX7" s="68">
        <v>282.83600000000001</v>
      </c>
      <c r="AY7" s="216">
        <v>40728.300000000003</v>
      </c>
      <c r="AZ7" s="246">
        <f>(J7-AE7)/J7</f>
        <v>0</v>
      </c>
      <c r="BA7" s="36">
        <f t="shared" ref="BA7:BT7" si="0">(K7-AF7)/K7</f>
        <v>-2.1855715932030025E-7</v>
      </c>
      <c r="BB7" s="37">
        <f t="shared" si="0"/>
        <v>-2.1855715932030028E-7</v>
      </c>
      <c r="BC7" s="37">
        <f t="shared" si="0"/>
        <v>-2.1855715952060134E-7</v>
      </c>
      <c r="BD7" s="37">
        <f t="shared" si="0"/>
        <v>3.3138062580282316E-8</v>
      </c>
      <c r="BE7" s="37">
        <f t="shared" si="0"/>
        <v>-2.185571593417611E-7</v>
      </c>
      <c r="BF7" s="38">
        <f t="shared" si="0"/>
        <v>-2.1855715932030028E-7</v>
      </c>
      <c r="BG7" s="105">
        <f t="shared" si="0"/>
        <v>2.9400925957926255E-8</v>
      </c>
      <c r="BH7" s="39">
        <f t="shared" si="0"/>
        <v>1.6407622587190425E-10</v>
      </c>
      <c r="BI7" s="39">
        <f t="shared" si="0"/>
        <v>2.8571797784500596E-7</v>
      </c>
      <c r="BJ7" s="39">
        <f t="shared" si="0"/>
        <v>6.4544672024899421E-8</v>
      </c>
      <c r="BK7" s="106">
        <f t="shared" si="0"/>
        <v>-3.7933165844496453E-11</v>
      </c>
      <c r="BL7" s="38">
        <f t="shared" si="0"/>
        <v>-7.2481242701116888E-7</v>
      </c>
      <c r="BM7" s="37">
        <f t="shared" si="0"/>
        <v>6.6045024150468496E-8</v>
      </c>
      <c r="BN7" s="37">
        <f t="shared" si="0"/>
        <v>-7.2481242685291009E-7</v>
      </c>
      <c r="BO7" s="37">
        <f t="shared" si="0"/>
        <v>-7.2481242695674849E-7</v>
      </c>
      <c r="BP7" s="37">
        <f t="shared" si="0"/>
        <v>-7.2481242691214098E-7</v>
      </c>
      <c r="BQ7" s="37">
        <f t="shared" si="0"/>
        <v>-7.2481242679990933E-7</v>
      </c>
      <c r="BR7" s="37">
        <f t="shared" si="0"/>
        <v>-1.726841299809364E-9</v>
      </c>
      <c r="BS7" s="37">
        <f t="shared" si="0"/>
        <v>-1.6466110649387166E-6</v>
      </c>
      <c r="BT7" s="40">
        <f t="shared" si="0"/>
        <v>4.1583605576030549E-7</v>
      </c>
    </row>
    <row r="8" spans="2:72" x14ac:dyDescent="0.25">
      <c r="B8" s="86">
        <v>777</v>
      </c>
      <c r="C8" s="93">
        <v>256</v>
      </c>
      <c r="D8" s="163">
        <f t="shared" ref="D8:D14" si="1">B8*2</f>
        <v>1554</v>
      </c>
      <c r="E8" s="97" t="s">
        <v>3</v>
      </c>
      <c r="F8" s="52"/>
      <c r="G8" s="58"/>
      <c r="H8" s="4">
        <v>5698</v>
      </c>
      <c r="I8" s="178"/>
      <c r="J8" s="167">
        <f t="shared" ref="J8:J14" si="2">B8*2</f>
        <v>1554</v>
      </c>
      <c r="K8" s="69">
        <f t="shared" ref="K8:K14" si="3">O8*100000</f>
        <v>1374917892234.5098</v>
      </c>
      <c r="L8" s="70">
        <f t="shared" ref="L8:L14" si="4">O8*10000</f>
        <v>137491789223.45099</v>
      </c>
      <c r="M8" s="70">
        <f t="shared" ref="M8:M14" si="5">O8*10</f>
        <v>137491789.22345099</v>
      </c>
      <c r="N8" s="70">
        <f t="shared" ref="N8:N14" si="6">O8*1000000</f>
        <v>13749178922345.098</v>
      </c>
      <c r="O8" s="70">
        <f>(PI()*B8^2*C8)*0.3048^3</f>
        <v>13749178.922345098</v>
      </c>
      <c r="P8" s="71">
        <f t="shared" ref="P8:P14" si="7">O8*1000</f>
        <v>13749178922.345098</v>
      </c>
      <c r="Q8" s="115">
        <f t="shared" ref="Q8:Q14" si="8">T8/0.45359237</f>
        <v>2766650631276.7031</v>
      </c>
      <c r="R8" s="72">
        <f t="shared" ref="R8:R14" si="9">T8*1000/31.1034768</f>
        <v>40346988372785.258</v>
      </c>
      <c r="S8" s="72">
        <f t="shared" ref="S8:S14" si="10">T8/1000</f>
        <v>1254931616.8027959</v>
      </c>
      <c r="T8" s="72">
        <f>O8*(0.45359237/0.3048^3)*H8</f>
        <v>1254931616802.7959</v>
      </c>
      <c r="U8" s="116">
        <f t="shared" ref="U8:U14" si="11">T8*1000</f>
        <v>1254931616802796</v>
      </c>
      <c r="V8" s="81">
        <f t="shared" ref="V8:V14" si="12">AA8/100</f>
        <v>4685.232357852994</v>
      </c>
      <c r="W8" s="73">
        <f t="shared" ref="W8:W14" si="13">AA8/4046.8564224</f>
        <v>115.77461290495707</v>
      </c>
      <c r="X8" s="73">
        <f t="shared" ref="X8:X14" si="14">AA8*10000</f>
        <v>4685232357.8529949</v>
      </c>
      <c r="Y8" s="73">
        <f t="shared" ref="Y8:Y14" si="15">AA8*100</f>
        <v>46852323.578529947</v>
      </c>
      <c r="Z8" s="73">
        <f t="shared" ref="Z8:Z14" si="16">AA8/10000</f>
        <v>46.852323578529948</v>
      </c>
      <c r="AA8" s="73">
        <f>(2*PI()*B8*(B8+C8))*0.3048^2</f>
        <v>468523.23578529945</v>
      </c>
      <c r="AB8" s="73">
        <f t="shared" ref="AB8:AB14" si="17">AA8*1000000</f>
        <v>468523235785.29944</v>
      </c>
      <c r="AC8" s="73">
        <f t="shared" ref="AC8:AC14" si="18">AA8/144*10000/(2.54*2.54)</f>
        <v>5043142.1381399296</v>
      </c>
      <c r="AD8" s="81">
        <f t="shared" ref="AD8:AD14" si="19">AA8*10000/(2.54 *2.54)</f>
        <v>726212467.89215004</v>
      </c>
      <c r="AE8" s="167">
        <v>1554</v>
      </c>
      <c r="AF8" s="217">
        <v>1374917892235</v>
      </c>
      <c r="AG8" s="69">
        <v>137491789223</v>
      </c>
      <c r="AH8" s="70">
        <v>137491789</v>
      </c>
      <c r="AI8" s="70">
        <v>13749178922345</v>
      </c>
      <c r="AJ8" s="70">
        <v>13749179</v>
      </c>
      <c r="AK8" s="71">
        <v>13749178922</v>
      </c>
      <c r="AL8" s="115">
        <v>2766650631277</v>
      </c>
      <c r="AM8" s="72">
        <v>40346988372785</v>
      </c>
      <c r="AN8" s="72">
        <v>1254931617</v>
      </c>
      <c r="AO8" s="72">
        <v>1254931616803</v>
      </c>
      <c r="AP8" s="116">
        <v>1254931616802800</v>
      </c>
      <c r="AQ8" s="123">
        <v>4685.2299999999996</v>
      </c>
      <c r="AR8" s="123">
        <v>115.77500000000001</v>
      </c>
      <c r="AS8" s="73">
        <v>4685232358</v>
      </c>
      <c r="AT8" s="73">
        <v>46852324</v>
      </c>
      <c r="AU8" s="73">
        <v>46.8523</v>
      </c>
      <c r="AV8" s="73">
        <v>468523</v>
      </c>
      <c r="AW8" s="73">
        <v>468523235785</v>
      </c>
      <c r="AX8" s="73">
        <v>5043142</v>
      </c>
      <c r="AY8" s="218">
        <v>726212468</v>
      </c>
      <c r="AZ8" s="247">
        <f t="shared" ref="AZ8:AZ14" si="20">(J8-AE8)/J8</f>
        <v>0</v>
      </c>
      <c r="BA8" s="41">
        <f t="shared" ref="BA8:BF14" si="21">(K8-AF8)/K8</f>
        <v>-3.5655538252053257E-13</v>
      </c>
      <c r="BB8" s="42">
        <f t="shared" si="21"/>
        <v>3.280114195025168E-12</v>
      </c>
      <c r="BC8" s="42">
        <f t="shared" si="21"/>
        <v>1.6251951465113397E-9</v>
      </c>
      <c r="BD8" s="42">
        <f t="shared" si="21"/>
        <v>7.1026968629588159E-15</v>
      </c>
      <c r="BE8" s="42">
        <f t="shared" si="21"/>
        <v>-5.6479664953477638E-9</v>
      </c>
      <c r="BF8" s="43">
        <f t="shared" si="21"/>
        <v>2.5099571213125027E-11</v>
      </c>
      <c r="BG8" s="107">
        <f t="shared" ref="BG8:BG14" si="22">(Q8-AL8)/Q8</f>
        <v>-1.0730483879816932E-13</v>
      </c>
      <c r="BH8" s="44">
        <f t="shared" ref="BH8:BT14" si="23">(R8-AM8)/R8</f>
        <v>6.3898821299360968E-15</v>
      </c>
      <c r="BI8" s="44">
        <f t="shared" si="23"/>
        <v>-1.5714331391937597E-10</v>
      </c>
      <c r="BJ8" s="44">
        <f t="shared" si="23"/>
        <v>-1.6263958909569268E-13</v>
      </c>
      <c r="BK8" s="108">
        <f t="shared" si="23"/>
        <v>-3.1874246743347236E-15</v>
      </c>
      <c r="BL8" s="43">
        <f t="shared" si="23"/>
        <v>5.0325209389291056E-7</v>
      </c>
      <c r="BM8" s="42">
        <f t="shared" si="23"/>
        <v>-3.3435226706959135E-6</v>
      </c>
      <c r="BN8" s="42">
        <f t="shared" si="23"/>
        <v>-3.1376262679984307E-11</v>
      </c>
      <c r="BO8" s="42">
        <f t="shared" si="23"/>
        <v>-8.9957129402033545E-9</v>
      </c>
      <c r="BP8" s="42">
        <f t="shared" si="23"/>
        <v>5.0325209396570531E-7</v>
      </c>
      <c r="BQ8" s="42">
        <f t="shared" si="23"/>
        <v>5.0325209389291056E-7</v>
      </c>
      <c r="BR8" s="42">
        <f t="shared" si="23"/>
        <v>6.3911126213539077E-13</v>
      </c>
      <c r="BS8" s="42">
        <f t="shared" si="23"/>
        <v>2.73916391484778E-8</v>
      </c>
      <c r="BT8" s="45">
        <f t="shared" si="23"/>
        <v>-1.4851019546912223E-10</v>
      </c>
    </row>
    <row r="9" spans="2:72" x14ac:dyDescent="0.25">
      <c r="B9" s="86">
        <v>1455</v>
      </c>
      <c r="C9" s="93">
        <v>845</v>
      </c>
      <c r="D9" s="163">
        <f t="shared" si="1"/>
        <v>2910</v>
      </c>
      <c r="E9" s="97" t="s">
        <v>4</v>
      </c>
      <c r="F9" s="52"/>
      <c r="G9" s="56"/>
      <c r="H9" s="56"/>
      <c r="I9" s="182">
        <v>15847</v>
      </c>
      <c r="J9" s="167">
        <f t="shared" si="2"/>
        <v>2910</v>
      </c>
      <c r="K9" s="69">
        <f t="shared" si="3"/>
        <v>9209450504.5190105</v>
      </c>
      <c r="L9" s="70">
        <f t="shared" si="4"/>
        <v>920945050.45190108</v>
      </c>
      <c r="M9" s="70">
        <f t="shared" si="5"/>
        <v>920945.05045190104</v>
      </c>
      <c r="N9" s="70">
        <f t="shared" si="6"/>
        <v>92094505045.190109</v>
      </c>
      <c r="O9" s="70">
        <f>(PI()*B9^2*C9)*(2.54/100)^3</f>
        <v>92094.505045190104</v>
      </c>
      <c r="P9" s="71">
        <f t="shared" si="7"/>
        <v>92094505.045190111</v>
      </c>
      <c r="Q9" s="115">
        <f t="shared" si="8"/>
        <v>3217473921466.3765</v>
      </c>
      <c r="R9" s="72">
        <f t="shared" si="9"/>
        <v>46921494688051.328</v>
      </c>
      <c r="S9" s="72">
        <f t="shared" si="10"/>
        <v>1459421621.4511278</v>
      </c>
      <c r="T9" s="72">
        <f>O9*1000*I9</f>
        <v>1459421621451.1277</v>
      </c>
      <c r="U9" s="116">
        <f t="shared" si="11"/>
        <v>1459421621451127.7</v>
      </c>
      <c r="V9" s="81">
        <f t="shared" si="12"/>
        <v>135.65572630398208</v>
      </c>
      <c r="W9" s="73">
        <f t="shared" si="13"/>
        <v>3.3521259996550863</v>
      </c>
      <c r="X9" s="73">
        <f t="shared" si="14"/>
        <v>135655726.30398208</v>
      </c>
      <c r="Y9" s="73">
        <f t="shared" si="15"/>
        <v>1356557.2630398206</v>
      </c>
      <c r="Z9" s="73">
        <f t="shared" si="16"/>
        <v>1.3565572630398206</v>
      </c>
      <c r="AA9" s="73">
        <f>(2*PI()*B9*(B9+C9))*(2.54/100)^2</f>
        <v>13565.572630398206</v>
      </c>
      <c r="AB9" s="73">
        <f t="shared" si="17"/>
        <v>13565572630.398207</v>
      </c>
      <c r="AC9" s="73">
        <f t="shared" si="18"/>
        <v>146018.60854497558</v>
      </c>
      <c r="AD9" s="81">
        <f t="shared" si="19"/>
        <v>21026679.630476482</v>
      </c>
      <c r="AE9" s="167">
        <v>2910</v>
      </c>
      <c r="AF9" s="217">
        <v>9209450505</v>
      </c>
      <c r="AG9" s="70">
        <v>920945050</v>
      </c>
      <c r="AH9" s="70">
        <v>920945</v>
      </c>
      <c r="AI9" s="70">
        <v>92094505045</v>
      </c>
      <c r="AJ9" s="70">
        <v>92094.5</v>
      </c>
      <c r="AK9" s="71">
        <v>92094505</v>
      </c>
      <c r="AL9" s="115">
        <v>3217473921466</v>
      </c>
      <c r="AM9" s="72">
        <v>46921494688051</v>
      </c>
      <c r="AN9" s="72">
        <v>1459421621</v>
      </c>
      <c r="AO9" s="72">
        <v>1459421621451</v>
      </c>
      <c r="AP9" s="116">
        <v>1459421621451130</v>
      </c>
      <c r="AQ9" s="123">
        <v>135.65600000000001</v>
      </c>
      <c r="AR9" s="123">
        <v>3.3521299999999998</v>
      </c>
      <c r="AS9" s="73">
        <v>135655726</v>
      </c>
      <c r="AT9" s="73">
        <v>1356557</v>
      </c>
      <c r="AU9" s="73">
        <v>1.35656</v>
      </c>
      <c r="AV9" s="73">
        <v>13565.6</v>
      </c>
      <c r="AW9" s="73">
        <v>13565572630</v>
      </c>
      <c r="AX9" s="73">
        <v>146019</v>
      </c>
      <c r="AY9" s="218">
        <v>21026680</v>
      </c>
      <c r="AZ9" s="247">
        <f t="shared" si="20"/>
        <v>0</v>
      </c>
      <c r="BA9" s="41">
        <f t="shared" si="21"/>
        <v>-5.2227812717027989E-11</v>
      </c>
      <c r="BB9" s="42">
        <f t="shared" si="21"/>
        <v>4.9069277043449825E-10</v>
      </c>
      <c r="BC9" s="42">
        <f t="shared" si="21"/>
        <v>5.4782748458311972E-8</v>
      </c>
      <c r="BD9" s="42">
        <f t="shared" si="21"/>
        <v>2.0642844308289866E-12</v>
      </c>
      <c r="BE9" s="42">
        <f t="shared" si="21"/>
        <v>5.4782748458311972E-8</v>
      </c>
      <c r="BF9" s="43">
        <f t="shared" si="21"/>
        <v>4.9069280279508522E-10</v>
      </c>
      <c r="BG9" s="107">
        <f t="shared" si="22"/>
        <v>1.1700633880458141E-13</v>
      </c>
      <c r="BH9" s="44">
        <f t="shared" si="23"/>
        <v>6.9930636733010518E-15</v>
      </c>
      <c r="BI9" s="44">
        <f t="shared" si="23"/>
        <v>3.0911407706451696E-10</v>
      </c>
      <c r="BJ9" s="44">
        <f t="shared" si="23"/>
        <v>8.7490513363807848E-14</v>
      </c>
      <c r="BK9" s="108">
        <f t="shared" si="23"/>
        <v>-1.5417066370188396E-15</v>
      </c>
      <c r="BL9" s="43">
        <f t="shared" si="23"/>
        <v>-2.0175780660699664E-6</v>
      </c>
      <c r="BM9" s="42">
        <f t="shared" si="23"/>
        <v>-1.1933754620076286E-6</v>
      </c>
      <c r="BN9" s="42">
        <f t="shared" si="23"/>
        <v>2.2408348494475611E-9</v>
      </c>
      <c r="BO9" s="42">
        <f t="shared" si="23"/>
        <v>1.9390248223306425E-7</v>
      </c>
      <c r="BP9" s="42">
        <f t="shared" si="23"/>
        <v>-2.0175780661485342E-6</v>
      </c>
      <c r="BQ9" s="42">
        <f t="shared" si="23"/>
        <v>-2.0175780661537719E-6</v>
      </c>
      <c r="BR9" s="42">
        <f t="shared" si="23"/>
        <v>2.9354213173656543E-11</v>
      </c>
      <c r="BS9" s="42">
        <f t="shared" si="23"/>
        <v>-2.6808571066614358E-6</v>
      </c>
      <c r="BT9" s="45">
        <f t="shared" si="23"/>
        <v>-1.7574030911274353E-8</v>
      </c>
    </row>
    <row r="10" spans="2:72" x14ac:dyDescent="0.25">
      <c r="B10" s="86">
        <v>684</v>
      </c>
      <c r="C10" s="93">
        <v>320</v>
      </c>
      <c r="D10" s="163">
        <f t="shared" si="1"/>
        <v>1368</v>
      </c>
      <c r="E10" s="97" t="s">
        <v>5</v>
      </c>
      <c r="F10" s="11">
        <v>650</v>
      </c>
      <c r="G10" s="56"/>
      <c r="H10" s="56"/>
      <c r="I10" s="181"/>
      <c r="J10" s="167">
        <f t="shared" si="2"/>
        <v>1368</v>
      </c>
      <c r="K10" s="69">
        <f t="shared" si="3"/>
        <v>47034015121212.992</v>
      </c>
      <c r="L10" s="70">
        <f t="shared" si="4"/>
        <v>4703401512121.2998</v>
      </c>
      <c r="M10" s="70">
        <f t="shared" si="5"/>
        <v>4703401512.1212997</v>
      </c>
      <c r="N10" s="70">
        <f t="shared" si="6"/>
        <v>470340151212129.94</v>
      </c>
      <c r="O10" s="70">
        <f>(PI()*B10^2*C10)</f>
        <v>470340151.21212995</v>
      </c>
      <c r="P10" s="71">
        <f t="shared" si="7"/>
        <v>470340151212.12994</v>
      </c>
      <c r="Q10" s="115">
        <f t="shared" si="8"/>
        <v>673999649261.9231</v>
      </c>
      <c r="R10" s="72">
        <f t="shared" si="9"/>
        <v>9829161551736.3789</v>
      </c>
      <c r="S10" s="72">
        <f t="shared" si="10"/>
        <v>305721098.28788447</v>
      </c>
      <c r="T10" s="72">
        <f>O10*F10</f>
        <v>305721098287.88446</v>
      </c>
      <c r="U10" s="116">
        <f t="shared" si="11"/>
        <v>305721098287884.44</v>
      </c>
      <c r="V10" s="81">
        <f t="shared" si="12"/>
        <v>43148.895451112796</v>
      </c>
      <c r="W10" s="73">
        <f t="shared" si="13"/>
        <v>1066.2324270334063</v>
      </c>
      <c r="X10" s="73">
        <f t="shared" si="14"/>
        <v>43148895451.112801</v>
      </c>
      <c r="Y10" s="73">
        <f t="shared" si="15"/>
        <v>431488954.51112801</v>
      </c>
      <c r="Z10" s="73">
        <f t="shared" si="16"/>
        <v>431.48895451112799</v>
      </c>
      <c r="AA10" s="73">
        <f>2*PI()*B10*(B10+C10)</f>
        <v>4314889.5451112799</v>
      </c>
      <c r="AB10" s="73">
        <f t="shared" si="17"/>
        <v>4314889545111.2798</v>
      </c>
      <c r="AC10" s="73">
        <f t="shared" si="18"/>
        <v>46445084.521575183</v>
      </c>
      <c r="AD10" s="81">
        <f t="shared" si="19"/>
        <v>6688092171.1068258</v>
      </c>
      <c r="AE10" s="167">
        <v>1368</v>
      </c>
      <c r="AF10" s="217">
        <v>47034015121213</v>
      </c>
      <c r="AG10" s="70">
        <v>4703401512121</v>
      </c>
      <c r="AH10" s="70">
        <v>4703401512</v>
      </c>
      <c r="AI10" s="70">
        <v>470340151212130</v>
      </c>
      <c r="AJ10" s="70">
        <v>470340151</v>
      </c>
      <c r="AK10" s="71">
        <v>470340151212</v>
      </c>
      <c r="AL10" s="115">
        <v>673999649262</v>
      </c>
      <c r="AM10" s="72">
        <v>9829161551736</v>
      </c>
      <c r="AN10" s="72">
        <v>305721098</v>
      </c>
      <c r="AO10" s="72">
        <v>305721098288</v>
      </c>
      <c r="AP10" s="116">
        <v>305721098287884</v>
      </c>
      <c r="AQ10" s="123">
        <v>43148.9</v>
      </c>
      <c r="AR10" s="123">
        <v>1066.23</v>
      </c>
      <c r="AS10" s="73">
        <v>43148895451</v>
      </c>
      <c r="AT10" s="73">
        <v>431488955</v>
      </c>
      <c r="AU10" s="73">
        <v>431.48899999999998</v>
      </c>
      <c r="AV10" s="73">
        <v>4314890</v>
      </c>
      <c r="AW10" s="73">
        <v>4314889545111</v>
      </c>
      <c r="AX10" s="73">
        <v>46445085</v>
      </c>
      <c r="AY10" s="218">
        <v>6688092171</v>
      </c>
      <c r="AZ10" s="247">
        <f t="shared" si="20"/>
        <v>0</v>
      </c>
      <c r="BA10" s="41">
        <f t="shared" si="21"/>
        <v>-1.6610319106004739E-16</v>
      </c>
      <c r="BB10" s="42">
        <f t="shared" si="21"/>
        <v>6.3742099569293181E-14</v>
      </c>
      <c r="BC10" s="42">
        <f t="shared" si="21"/>
        <v>2.5789791354137628E-11</v>
      </c>
      <c r="BD10" s="42">
        <f t="shared" si="21"/>
        <v>-1.3288255284803792E-16</v>
      </c>
      <c r="BE10" s="42">
        <f t="shared" si="21"/>
        <v>4.5101390977718786E-10</v>
      </c>
      <c r="BF10" s="43">
        <f t="shared" si="21"/>
        <v>2.7627632325534443E-13</v>
      </c>
      <c r="BG10" s="107">
        <f t="shared" si="22"/>
        <v>-1.1410139005148682E-13</v>
      </c>
      <c r="BH10" s="44">
        <f t="shared" si="23"/>
        <v>3.854919343889144E-14</v>
      </c>
      <c r="BI10" s="44">
        <f t="shared" si="23"/>
        <v>9.4165720132789369E-10</v>
      </c>
      <c r="BJ10" s="44">
        <f t="shared" si="23"/>
        <v>-3.7792468831330494E-13</v>
      </c>
      <c r="BK10" s="108">
        <f t="shared" si="23"/>
        <v>1.4310428768250237E-15</v>
      </c>
      <c r="BL10" s="43">
        <f t="shared" si="23"/>
        <v>-1.0542302782130405E-7</v>
      </c>
      <c r="BM10" s="42">
        <f t="shared" si="23"/>
        <v>2.2762704873580924E-6</v>
      </c>
      <c r="BN10" s="42">
        <f t="shared" si="23"/>
        <v>2.6142175127595799E-12</v>
      </c>
      <c r="BO10" s="42">
        <f t="shared" si="23"/>
        <v>-1.132988426524742E-9</v>
      </c>
      <c r="BP10" s="42">
        <f t="shared" si="23"/>
        <v>-1.0542302766848817E-7</v>
      </c>
      <c r="BQ10" s="42">
        <f t="shared" si="23"/>
        <v>-1.0542302770663944E-7</v>
      </c>
      <c r="BR10" s="42">
        <f t="shared" si="23"/>
        <v>6.4841788723651881E-14</v>
      </c>
      <c r="BS10" s="42">
        <f t="shared" si="23"/>
        <v>-1.0300870851068029E-8</v>
      </c>
      <c r="BT10" s="45">
        <f t="shared" si="23"/>
        <v>1.5972541319592381E-11</v>
      </c>
    </row>
    <row r="11" spans="2:72" x14ac:dyDescent="0.25">
      <c r="B11" s="90">
        <v>0.09</v>
      </c>
      <c r="C11" s="94">
        <v>0.8</v>
      </c>
      <c r="D11" s="164">
        <f t="shared" si="1"/>
        <v>0.18</v>
      </c>
      <c r="E11" s="97" t="s">
        <v>6</v>
      </c>
      <c r="F11" s="59"/>
      <c r="G11" s="4">
        <v>1899</v>
      </c>
      <c r="H11" s="58"/>
      <c r="I11" s="178"/>
      <c r="J11" s="167">
        <f t="shared" si="2"/>
        <v>0.18</v>
      </c>
      <c r="K11" s="69">
        <f t="shared" si="3"/>
        <v>8485384652256.6406</v>
      </c>
      <c r="L11" s="70">
        <f t="shared" si="4"/>
        <v>848538465225.66406</v>
      </c>
      <c r="M11" s="70">
        <f t="shared" si="5"/>
        <v>848538465.22566414</v>
      </c>
      <c r="N11" s="70">
        <f t="shared" si="6"/>
        <v>84853846522566.406</v>
      </c>
      <c r="O11" s="70">
        <f>(PI()*B11^2*C11)*(63360*2.54/100)^3</f>
        <v>84853846.522566408</v>
      </c>
      <c r="P11" s="71">
        <f t="shared" si="7"/>
        <v>84853846522.566406</v>
      </c>
      <c r="Q11" s="115">
        <f t="shared" si="8"/>
        <v>355247277520020</v>
      </c>
      <c r="R11" s="72">
        <f t="shared" si="9"/>
        <v>5180689463833625</v>
      </c>
      <c r="S11" s="72">
        <f t="shared" si="10"/>
        <v>161137454546.35361</v>
      </c>
      <c r="T11" s="72">
        <f>O11*1000*G11</f>
        <v>161137454546353.59</v>
      </c>
      <c r="U11" s="116">
        <f t="shared" si="11"/>
        <v>1.611374545463536E+17</v>
      </c>
      <c r="V11" s="81">
        <f t="shared" si="12"/>
        <v>13034.973567747018</v>
      </c>
      <c r="W11" s="73">
        <f t="shared" si="13"/>
        <v>322.1012115872544</v>
      </c>
      <c r="X11" s="73">
        <f t="shared" si="14"/>
        <v>13034973567.747017</v>
      </c>
      <c r="Y11" s="73">
        <f t="shared" si="15"/>
        <v>130349735.67747018</v>
      </c>
      <c r="Z11" s="73">
        <f t="shared" si="16"/>
        <v>130.34973567747016</v>
      </c>
      <c r="AA11" s="73">
        <f>(2*PI()*B11*(B11+C11))*(63360*2.54/100)^2</f>
        <v>1303497.3567747017</v>
      </c>
      <c r="AB11" s="73">
        <f t="shared" si="17"/>
        <v>1303497356774.7017</v>
      </c>
      <c r="AC11" s="73">
        <f t="shared" si="18"/>
        <v>14030728.776740801</v>
      </c>
      <c r="AD11" s="81">
        <f t="shared" si="19"/>
        <v>2020424943.8506753</v>
      </c>
      <c r="AE11" s="167">
        <v>0.18</v>
      </c>
      <c r="AF11" s="217">
        <v>8485384652257</v>
      </c>
      <c r="AG11" s="70">
        <v>848538465226</v>
      </c>
      <c r="AH11" s="70">
        <v>848538465</v>
      </c>
      <c r="AI11" s="70">
        <v>84853846522566</v>
      </c>
      <c r="AJ11" s="70">
        <v>84853847</v>
      </c>
      <c r="AK11" s="71">
        <v>84853846523</v>
      </c>
      <c r="AL11" s="115">
        <v>355247277520020</v>
      </c>
      <c r="AM11" s="72">
        <v>5180689463833630</v>
      </c>
      <c r="AN11" s="72">
        <v>161137454546</v>
      </c>
      <c r="AO11" s="72">
        <v>161137454546354</v>
      </c>
      <c r="AP11" s="116">
        <v>1.6113745454635398E+17</v>
      </c>
      <c r="AQ11" s="123">
        <v>13035</v>
      </c>
      <c r="AR11" s="123">
        <v>322.101</v>
      </c>
      <c r="AS11" s="73">
        <v>13034973568</v>
      </c>
      <c r="AT11" s="73">
        <v>130349736</v>
      </c>
      <c r="AU11" s="73">
        <v>130.35</v>
      </c>
      <c r="AV11" s="73">
        <v>1303497</v>
      </c>
      <c r="AW11" s="73">
        <v>1303497356775</v>
      </c>
      <c r="AX11" s="73">
        <v>14030729</v>
      </c>
      <c r="AY11" s="218">
        <v>2020424944</v>
      </c>
      <c r="AZ11" s="247">
        <f t="shared" si="20"/>
        <v>0</v>
      </c>
      <c r="BA11" s="41">
        <f t="shared" si="21"/>
        <v>-4.2352234427513694E-14</v>
      </c>
      <c r="BB11" s="42">
        <f t="shared" si="21"/>
        <v>-3.9590132182241058E-13</v>
      </c>
      <c r="BC11" s="42">
        <f t="shared" si="21"/>
        <v>2.6594450109451572E-10</v>
      </c>
      <c r="BD11" s="42">
        <f t="shared" si="21"/>
        <v>4.7876438918058958E-15</v>
      </c>
      <c r="BE11" s="42">
        <f t="shared" si="21"/>
        <v>-5.626540359064325E-9</v>
      </c>
      <c r="BF11" s="43">
        <f t="shared" si="21"/>
        <v>-5.1098891537543697E-12</v>
      </c>
      <c r="BG11" s="107">
        <f t="shared" si="22"/>
        <v>0</v>
      </c>
      <c r="BH11" s="44">
        <f t="shared" si="23"/>
        <v>-9.6512250635846496E-16</v>
      </c>
      <c r="BI11" s="44">
        <f t="shared" si="23"/>
        <v>2.1944443564029032E-12</v>
      </c>
      <c r="BJ11" s="44">
        <f t="shared" si="23"/>
        <v>-2.5211394901558169E-15</v>
      </c>
      <c r="BK11" s="108">
        <f t="shared" si="23"/>
        <v>-2.3830586196180521E-15</v>
      </c>
      <c r="BL11" s="43">
        <f t="shared" si="23"/>
        <v>-2.0277949045772462E-6</v>
      </c>
      <c r="BM11" s="42">
        <f t="shared" si="23"/>
        <v>6.5689679761066389E-7</v>
      </c>
      <c r="BN11" s="42">
        <f t="shared" si="23"/>
        <v>-1.9408025029501052E-11</v>
      </c>
      <c r="BO11" s="42">
        <f t="shared" si="23"/>
        <v>-2.4743419763122188E-9</v>
      </c>
      <c r="BP11" s="42">
        <f t="shared" si="23"/>
        <v>-2.0277949046557416E-6</v>
      </c>
      <c r="BQ11" s="42">
        <f t="shared" si="23"/>
        <v>2.7370573471637109E-7</v>
      </c>
      <c r="BR11" s="42">
        <f t="shared" si="23"/>
        <v>-2.2887644704412355E-13</v>
      </c>
      <c r="BS11" s="42">
        <f t="shared" si="23"/>
        <v>-1.5912159871608455E-8</v>
      </c>
      <c r="BT11" s="45">
        <f t="shared" si="23"/>
        <v>-7.3907548997213894E-11</v>
      </c>
    </row>
    <row r="12" spans="2:72" x14ac:dyDescent="0.25">
      <c r="B12" s="86">
        <v>59</v>
      </c>
      <c r="C12" s="93">
        <v>18</v>
      </c>
      <c r="D12" s="163">
        <f t="shared" si="1"/>
        <v>118</v>
      </c>
      <c r="E12" s="97" t="s">
        <v>7</v>
      </c>
      <c r="F12" s="59"/>
      <c r="G12" s="58"/>
      <c r="H12" s="4">
        <v>380</v>
      </c>
      <c r="I12" s="178"/>
      <c r="J12" s="167">
        <f t="shared" si="2"/>
        <v>118</v>
      </c>
      <c r="K12" s="69">
        <f t="shared" si="3"/>
        <v>19.684591248862926</v>
      </c>
      <c r="L12" s="70">
        <f t="shared" si="4"/>
        <v>1.9684591248862924</v>
      </c>
      <c r="M12" s="70">
        <f t="shared" si="5"/>
        <v>1.9684591248862924E-3</v>
      </c>
      <c r="N12" s="70">
        <f t="shared" si="6"/>
        <v>196.84591248862924</v>
      </c>
      <c r="O12" s="70">
        <f>(PI()*B12^2*C12)/1000^3</f>
        <v>1.9684591248862924E-4</v>
      </c>
      <c r="P12" s="71">
        <f t="shared" si="7"/>
        <v>0.19684591248862923</v>
      </c>
      <c r="Q12" s="115">
        <f t="shared" si="8"/>
        <v>2.6415881621088344</v>
      </c>
      <c r="R12" s="72">
        <f t="shared" si="9"/>
        <v>38.523160697420501</v>
      </c>
      <c r="S12" s="72">
        <f t="shared" si="10"/>
        <v>1.1982042350148904E-3</v>
      </c>
      <c r="T12" s="72">
        <f>O12*(0.45359237/0.3048^3)*H12</f>
        <v>1.1982042350148905</v>
      </c>
      <c r="U12" s="116">
        <f t="shared" si="11"/>
        <v>1198.2042350148904</v>
      </c>
      <c r="V12" s="81">
        <f t="shared" si="12"/>
        <v>2.8544510850516861E-4</v>
      </c>
      <c r="W12" s="73">
        <f t="shared" si="13"/>
        <v>7.053502242510609E-6</v>
      </c>
      <c r="X12" s="73">
        <f t="shared" si="14"/>
        <v>285.44510850516861</v>
      </c>
      <c r="Y12" s="73">
        <f t="shared" si="15"/>
        <v>2.8544510850516862</v>
      </c>
      <c r="Z12" s="73">
        <f t="shared" si="16"/>
        <v>2.8544510850516862E-6</v>
      </c>
      <c r="AA12" s="73">
        <f>(2*PI()*B12*(B12+C12))/1000^2</f>
        <v>2.854451085051686E-2</v>
      </c>
      <c r="AB12" s="73">
        <f t="shared" si="17"/>
        <v>28544.510850516861</v>
      </c>
      <c r="AC12" s="73">
        <f t="shared" si="18"/>
        <v>0.30725055768376214</v>
      </c>
      <c r="AD12" s="81">
        <f t="shared" si="19"/>
        <v>44.244080306461747</v>
      </c>
      <c r="AE12" s="167">
        <v>118</v>
      </c>
      <c r="AF12" s="217">
        <v>19.6846</v>
      </c>
      <c r="AG12" s="70">
        <v>1.9684600000000001</v>
      </c>
      <c r="AH12" s="70">
        <v>1.96846E-3</v>
      </c>
      <c r="AI12" s="70">
        <v>196.846</v>
      </c>
      <c r="AJ12" s="70">
        <v>1.9684600000000001E-4</v>
      </c>
      <c r="AK12" s="71">
        <v>0.19684599999999999</v>
      </c>
      <c r="AL12" s="115">
        <v>2.6415899999999999</v>
      </c>
      <c r="AM12" s="72">
        <v>38.523200000000003</v>
      </c>
      <c r="AN12" s="72">
        <v>1.1982E-3</v>
      </c>
      <c r="AO12" s="72">
        <v>1.1981999999999999</v>
      </c>
      <c r="AP12" s="116">
        <v>1198.2</v>
      </c>
      <c r="AQ12" s="123">
        <v>2.85445E-4</v>
      </c>
      <c r="AR12" s="123">
        <v>7.0535022425106099E-6</v>
      </c>
      <c r="AS12" s="73">
        <v>285.44499999999999</v>
      </c>
      <c r="AT12" s="73">
        <v>2.8544499999999999</v>
      </c>
      <c r="AU12" s="73">
        <v>2.85445108505169E-6</v>
      </c>
      <c r="AV12" s="73">
        <v>2.85445E-2</v>
      </c>
      <c r="AW12" s="73">
        <v>28544.5</v>
      </c>
      <c r="AX12" s="73">
        <v>0.307251</v>
      </c>
      <c r="AY12" s="218">
        <v>44.244100000000003</v>
      </c>
      <c r="AZ12" s="247">
        <f t="shared" si="20"/>
        <v>0</v>
      </c>
      <c r="BA12" s="41">
        <f t="shared" si="21"/>
        <v>-4.4456788373315965E-7</v>
      </c>
      <c r="BB12" s="42">
        <f t="shared" si="21"/>
        <v>-4.4456788391364167E-7</v>
      </c>
      <c r="BC12" s="42">
        <f t="shared" si="21"/>
        <v>-4.4456788386605367E-7</v>
      </c>
      <c r="BD12" s="42">
        <f t="shared" si="21"/>
        <v>-4.4456788387754526E-7</v>
      </c>
      <c r="BE12" s="42">
        <f t="shared" si="21"/>
        <v>-4.4456788386605361E-7</v>
      </c>
      <c r="BF12" s="43">
        <f t="shared" si="21"/>
        <v>-4.4456788385724108E-7</v>
      </c>
      <c r="BG12" s="107">
        <f t="shared" si="22"/>
        <v>-6.957523477134493E-7</v>
      </c>
      <c r="BH12" s="44">
        <f t="shared" si="23"/>
        <v>-1.0202324728939609E-6</v>
      </c>
      <c r="BI12" s="44">
        <f t="shared" si="23"/>
        <v>3.5344683040377806E-6</v>
      </c>
      <c r="BJ12" s="44">
        <f t="shared" si="23"/>
        <v>3.5344683041449155E-6</v>
      </c>
      <c r="BK12" s="108">
        <f t="shared" si="23"/>
        <v>3.5344683039803565E-6</v>
      </c>
      <c r="BL12" s="43">
        <f t="shared" si="23"/>
        <v>3.8012621472814E-7</v>
      </c>
      <c r="BM12" s="42">
        <f t="shared" si="23"/>
        <v>-1.2008686155217117E-16</v>
      </c>
      <c r="BN12" s="42">
        <f t="shared" si="23"/>
        <v>3.8012621473898181E-7</v>
      </c>
      <c r="BO12" s="42">
        <f t="shared" si="23"/>
        <v>3.8012621479498979E-7</v>
      </c>
      <c r="BP12" s="42">
        <f t="shared" si="23"/>
        <v>-1.3353349379869767E-15</v>
      </c>
      <c r="BQ12" s="42">
        <f t="shared" si="23"/>
        <v>3.8012621469775369E-7</v>
      </c>
      <c r="BR12" s="42">
        <f t="shared" si="23"/>
        <v>3.801262147310162E-7</v>
      </c>
      <c r="BS12" s="42">
        <f t="shared" si="23"/>
        <v>-1.4395945810255426E-6</v>
      </c>
      <c r="BT12" s="45">
        <f t="shared" si="23"/>
        <v>-4.4511125826866768E-7</v>
      </c>
    </row>
    <row r="13" spans="2:72" x14ac:dyDescent="0.25">
      <c r="B13" s="86">
        <v>277</v>
      </c>
      <c r="C13" s="93">
        <v>45</v>
      </c>
      <c r="D13" s="163">
        <f t="shared" si="1"/>
        <v>554</v>
      </c>
      <c r="E13" s="97" t="s">
        <v>8</v>
      </c>
      <c r="F13" s="59"/>
      <c r="G13" s="58"/>
      <c r="H13" s="58"/>
      <c r="I13" s="182">
        <v>210</v>
      </c>
      <c r="J13" s="167">
        <f t="shared" si="2"/>
        <v>554</v>
      </c>
      <c r="K13" s="69">
        <f t="shared" si="3"/>
        <v>829336112701.57129</v>
      </c>
      <c r="L13" s="70">
        <f t="shared" si="4"/>
        <v>82933611270.15712</v>
      </c>
      <c r="M13" s="70">
        <f t="shared" si="5"/>
        <v>82933611.270157129</v>
      </c>
      <c r="N13" s="70">
        <f t="shared" si="6"/>
        <v>8293361127015.7129</v>
      </c>
      <c r="O13" s="70">
        <f>(PI()*B13^2*C13)*0.9144^3</f>
        <v>8293361.1270157127</v>
      </c>
      <c r="P13" s="71">
        <f t="shared" si="7"/>
        <v>8293361127.0157127</v>
      </c>
      <c r="Q13" s="115">
        <f t="shared" si="8"/>
        <v>3839583625873.8203</v>
      </c>
      <c r="R13" s="72">
        <f t="shared" si="9"/>
        <v>55993927877326.547</v>
      </c>
      <c r="S13" s="72">
        <f t="shared" si="10"/>
        <v>1741605836.6732996</v>
      </c>
      <c r="T13" s="72">
        <f>O13*1000*I13</f>
        <v>1741605836673.2996</v>
      </c>
      <c r="U13" s="116">
        <f t="shared" si="11"/>
        <v>1741605836673299.5</v>
      </c>
      <c r="V13" s="81">
        <f t="shared" si="12"/>
        <v>4685.8452712197113</v>
      </c>
      <c r="W13" s="73">
        <f t="shared" si="13"/>
        <v>115.78975832408595</v>
      </c>
      <c r="X13" s="73">
        <f t="shared" si="14"/>
        <v>4685845271.2197113</v>
      </c>
      <c r="Y13" s="73">
        <f t="shared" si="15"/>
        <v>46858452.71219711</v>
      </c>
      <c r="Z13" s="73">
        <f t="shared" si="16"/>
        <v>46.858452712197113</v>
      </c>
      <c r="AA13" s="73">
        <f>(2*PI()*B13*(B13+C13))*0.9144^2</f>
        <v>468584.52712197113</v>
      </c>
      <c r="AB13" s="73">
        <f t="shared" si="17"/>
        <v>468584527121.97113</v>
      </c>
      <c r="AC13" s="73">
        <f t="shared" si="18"/>
        <v>5043801.872597184</v>
      </c>
      <c r="AD13" s="81">
        <f t="shared" si="19"/>
        <v>726307469.65399456</v>
      </c>
      <c r="AE13" s="167">
        <v>554</v>
      </c>
      <c r="AF13" s="217">
        <v>829336112702</v>
      </c>
      <c r="AG13" s="70">
        <v>82933611270</v>
      </c>
      <c r="AH13" s="70">
        <v>82933611</v>
      </c>
      <c r="AI13" s="70">
        <v>8293361127016</v>
      </c>
      <c r="AJ13" s="70">
        <v>8293361</v>
      </c>
      <c r="AK13" s="71">
        <v>8293361127</v>
      </c>
      <c r="AL13" s="115">
        <v>3839583625874</v>
      </c>
      <c r="AM13" s="72">
        <v>55993927877327</v>
      </c>
      <c r="AN13" s="72">
        <v>1741605837</v>
      </c>
      <c r="AO13" s="72">
        <v>1741605836673</v>
      </c>
      <c r="AP13" s="116">
        <v>1741605836673300</v>
      </c>
      <c r="AQ13" s="123">
        <v>4685.8500000000004</v>
      </c>
      <c r="AR13" s="123">
        <v>115.79</v>
      </c>
      <c r="AS13" s="73">
        <v>4685845271</v>
      </c>
      <c r="AT13" s="73">
        <v>46858453</v>
      </c>
      <c r="AU13" s="73">
        <v>46.858499999999999</v>
      </c>
      <c r="AV13" s="73">
        <v>468585</v>
      </c>
      <c r="AW13" s="73">
        <v>468584527122</v>
      </c>
      <c r="AX13" s="73">
        <v>5043802</v>
      </c>
      <c r="AY13" s="218">
        <v>726307470</v>
      </c>
      <c r="AZ13" s="247">
        <f t="shared" si="20"/>
        <v>0</v>
      </c>
      <c r="BA13" s="41">
        <f t="shared" si="21"/>
        <v>-5.1693267775771821E-13</v>
      </c>
      <c r="BB13" s="42">
        <f t="shared" si="21"/>
        <v>1.8945244101904984E-12</v>
      </c>
      <c r="BC13" s="42">
        <f t="shared" si="21"/>
        <v>3.2575107297863136E-9</v>
      </c>
      <c r="BD13" s="42">
        <f t="shared" si="21"/>
        <v>-3.4619181608375662E-14</v>
      </c>
      <c r="BE13" s="42">
        <f t="shared" si="21"/>
        <v>1.5315348111060406E-8</v>
      </c>
      <c r="BF13" s="43">
        <f t="shared" si="21"/>
        <v>1.8946164041892451E-12</v>
      </c>
      <c r="BG13" s="107">
        <f t="shared" si="22"/>
        <v>-4.6798694209741651E-14</v>
      </c>
      <c r="BH13" s="44">
        <f t="shared" si="23"/>
        <v>-8.0923953217342077E-15</v>
      </c>
      <c r="BI13" s="44">
        <f t="shared" si="23"/>
        <v>-1.8758575684031342E-10</v>
      </c>
      <c r="BJ13" s="44">
        <f t="shared" si="23"/>
        <v>1.7200249365677413E-13</v>
      </c>
      <c r="BK13" s="108">
        <f t="shared" si="23"/>
        <v>-2.8709136675556108E-16</v>
      </c>
      <c r="BL13" s="43">
        <f t="shared" si="23"/>
        <v>-1.0091627049843766E-6</v>
      </c>
      <c r="BM13" s="42">
        <f t="shared" si="23"/>
        <v>-2.0871959450680355E-6</v>
      </c>
      <c r="BN13" s="42">
        <f t="shared" si="23"/>
        <v>4.6888296773347644E-11</v>
      </c>
      <c r="BO13" s="42">
        <f t="shared" si="23"/>
        <v>-6.1419631525350955E-9</v>
      </c>
      <c r="BP13" s="42">
        <f t="shared" si="23"/>
        <v>-1.0091627048873295E-6</v>
      </c>
      <c r="BQ13" s="42">
        <f t="shared" si="23"/>
        <v>-1.0091627049145028E-6</v>
      </c>
      <c r="BR13" s="42">
        <f t="shared" si="23"/>
        <v>-6.1610290641831887E-14</v>
      </c>
      <c r="BS13" s="42">
        <f t="shared" si="23"/>
        <v>-2.525928241947284E-8</v>
      </c>
      <c r="BT13" s="45">
        <f t="shared" si="23"/>
        <v>-4.763897580774355E-10</v>
      </c>
    </row>
    <row r="14" spans="2:72" ht="15.75" thickBot="1" x14ac:dyDescent="0.3">
      <c r="B14" s="88">
        <v>147</v>
      </c>
      <c r="C14" s="95">
        <v>27</v>
      </c>
      <c r="D14" s="170">
        <f t="shared" si="1"/>
        <v>294</v>
      </c>
      <c r="E14" s="98" t="s">
        <v>43</v>
      </c>
      <c r="F14" s="12">
        <v>280</v>
      </c>
      <c r="G14" s="60"/>
      <c r="H14" s="60"/>
      <c r="I14" s="183"/>
      <c r="J14" s="168">
        <f t="shared" si="2"/>
        <v>294</v>
      </c>
      <c r="K14" s="79">
        <f t="shared" si="3"/>
        <v>1.8329402425883896E-7</v>
      </c>
      <c r="L14" s="74">
        <f t="shared" si="4"/>
        <v>1.8329402425883895E-8</v>
      </c>
      <c r="M14" s="74">
        <f t="shared" si="5"/>
        <v>1.8329402425883897E-11</v>
      </c>
      <c r="N14" s="74">
        <f t="shared" si="6"/>
        <v>1.8329402425883897E-6</v>
      </c>
      <c r="O14" s="74">
        <f>(PI()*B14^2*C14)/1000000^3</f>
        <v>1.8329402425883896E-12</v>
      </c>
      <c r="P14" s="75">
        <f t="shared" si="7"/>
        <v>1.8329402425883897E-9</v>
      </c>
      <c r="Q14" s="117">
        <f t="shared" si="8"/>
        <v>1.1314636265260571E-9</v>
      </c>
      <c r="R14" s="76">
        <f t="shared" si="9"/>
        <v>1.6500511220171666E-8</v>
      </c>
      <c r="S14" s="76">
        <f t="shared" si="10"/>
        <v>5.1322326792474908E-13</v>
      </c>
      <c r="T14" s="76">
        <f>O14*F14</f>
        <v>5.1322326792474912E-10</v>
      </c>
      <c r="U14" s="118">
        <f t="shared" si="11"/>
        <v>5.132232679247491E-7</v>
      </c>
      <c r="V14" s="82">
        <f t="shared" si="12"/>
        <v>1.6071131378703947E-9</v>
      </c>
      <c r="W14" s="77">
        <f t="shared" si="13"/>
        <v>3.9712630499435696E-11</v>
      </c>
      <c r="X14" s="77">
        <f t="shared" si="14"/>
        <v>1.6071131378703946E-3</v>
      </c>
      <c r="Y14" s="77">
        <f t="shared" si="15"/>
        <v>1.6071131378703946E-5</v>
      </c>
      <c r="Z14" s="77">
        <f t="shared" si="16"/>
        <v>1.6071131378703947E-11</v>
      </c>
      <c r="AA14" s="77">
        <f>(2*PI()*B14*(B14+C14))/1000000^2</f>
        <v>1.6071131378703947E-7</v>
      </c>
      <c r="AB14" s="77">
        <f t="shared" si="17"/>
        <v>0.16071131378703946</v>
      </c>
      <c r="AC14" s="77">
        <f t="shared" si="18"/>
        <v>1.7298821845554187E-6</v>
      </c>
      <c r="AD14" s="82">
        <f t="shared" si="19"/>
        <v>2.4910303457598035E-4</v>
      </c>
      <c r="AE14" s="168">
        <v>294</v>
      </c>
      <c r="AF14" s="219">
        <v>1.8329402425883901E-7</v>
      </c>
      <c r="AG14" s="74">
        <v>1.8329402425883902E-8</v>
      </c>
      <c r="AH14" s="74">
        <v>1.83294024258839E-11</v>
      </c>
      <c r="AI14" s="74">
        <v>1.8329402425883901E-6</v>
      </c>
      <c r="AJ14" s="74">
        <v>1.83294024258839E-12</v>
      </c>
      <c r="AK14" s="75">
        <v>1.8329402425883899E-9</v>
      </c>
      <c r="AL14" s="117">
        <v>1.13146362652606E-9</v>
      </c>
      <c r="AM14" s="76">
        <v>1.6500511220171699E-8</v>
      </c>
      <c r="AN14" s="76">
        <v>5.1322326792474898E-13</v>
      </c>
      <c r="AO14" s="76">
        <v>5.1322326792474901E-10</v>
      </c>
      <c r="AP14" s="118">
        <v>5.1322326792474899E-7</v>
      </c>
      <c r="AQ14" s="125">
        <v>1.60711313787039E-9</v>
      </c>
      <c r="AR14" s="125">
        <v>3.9712630499435702E-11</v>
      </c>
      <c r="AS14" s="77">
        <v>1.6071099999999999E-3</v>
      </c>
      <c r="AT14" s="77">
        <v>1.6071131378703902E-5</v>
      </c>
      <c r="AU14" s="77">
        <v>1.6071131378703899E-11</v>
      </c>
      <c r="AV14" s="77">
        <v>1.6071131378703899E-7</v>
      </c>
      <c r="AW14" s="77">
        <v>0.16071099999999999</v>
      </c>
      <c r="AX14" s="77">
        <v>1.7298821845554199E-6</v>
      </c>
      <c r="AY14" s="220">
        <v>2.4910299999999998E-4</v>
      </c>
      <c r="AZ14" s="248">
        <f t="shared" si="20"/>
        <v>0</v>
      </c>
      <c r="BA14" s="46">
        <f t="shared" si="21"/>
        <v>-2.8882315949719717E-16</v>
      </c>
      <c r="BB14" s="47">
        <f t="shared" si="21"/>
        <v>-3.6102894937149648E-16</v>
      </c>
      <c r="BC14" s="47">
        <f t="shared" si="21"/>
        <v>-1.76283666685301E-16</v>
      </c>
      <c r="BD14" s="47">
        <f t="shared" si="21"/>
        <v>-2.3105852759775773E-16</v>
      </c>
      <c r="BE14" s="47">
        <f t="shared" si="21"/>
        <v>-2.2035458335662626E-16</v>
      </c>
      <c r="BF14" s="48">
        <f t="shared" si="21"/>
        <v>-1.1282154667859264E-16</v>
      </c>
      <c r="BG14" s="109">
        <f t="shared" si="22"/>
        <v>-2.558749637250423E-15</v>
      </c>
      <c r="BH14" s="49">
        <f t="shared" si="23"/>
        <v>-2.0052242055186988E-15</v>
      </c>
      <c r="BI14" s="49">
        <f t="shared" si="23"/>
        <v>1.9674516371127344E-16</v>
      </c>
      <c r="BJ14" s="49">
        <f t="shared" si="23"/>
        <v>2.0146704764034399E-16</v>
      </c>
      <c r="BK14" s="110">
        <f t="shared" si="23"/>
        <v>2.0630225678371226E-16</v>
      </c>
      <c r="BL14" s="48">
        <f t="shared" si="23"/>
        <v>2.9595231412783576E-15</v>
      </c>
      <c r="BM14" s="47">
        <f t="shared" si="23"/>
        <v>-1.6272778847179002E-16</v>
      </c>
      <c r="BN14" s="47">
        <f t="shared" si="23"/>
        <v>1.9524887954590974E-6</v>
      </c>
      <c r="BO14" s="47">
        <f t="shared" si="23"/>
        <v>2.7406728387267827E-15</v>
      </c>
      <c r="BP14" s="47">
        <f t="shared" si="23"/>
        <v>3.0158184184222396E-15</v>
      </c>
      <c r="BQ14" s="47">
        <f t="shared" si="23"/>
        <v>2.9646701380457984E-15</v>
      </c>
      <c r="BR14" s="47">
        <f t="shared" si="23"/>
        <v>1.9524887953997306E-6</v>
      </c>
      <c r="BS14" s="47">
        <f t="shared" si="23"/>
        <v>-7.3447164912446505E-16</v>
      </c>
      <c r="BT14" s="50">
        <f t="shared" si="23"/>
        <v>1.3880192358867314E-7</v>
      </c>
    </row>
    <row r="15" spans="2:72" ht="15.75" thickTop="1" x14ac:dyDescent="0.25"/>
    <row r="16" spans="2:72" ht="15.75" thickBot="1" x14ac:dyDescent="0.3"/>
    <row r="17" spans="2:72" ht="30.75" customHeight="1" thickTop="1" thickBot="1" x14ac:dyDescent="0.3">
      <c r="B17" s="343" t="s">
        <v>46</v>
      </c>
      <c r="C17" s="344"/>
      <c r="D17" s="344"/>
      <c r="E17" s="345"/>
      <c r="F17" s="436" t="s">
        <v>79</v>
      </c>
      <c r="G17" s="436"/>
      <c r="H17" s="436"/>
      <c r="I17" s="442"/>
    </row>
    <row r="18" spans="2:72" ht="16.5" customHeight="1" thickTop="1" thickBot="1" x14ac:dyDescent="0.3">
      <c r="B18" s="337" t="s">
        <v>67</v>
      </c>
      <c r="C18" s="338"/>
      <c r="D18" s="338"/>
      <c r="E18" s="338"/>
      <c r="F18" s="311" t="s">
        <v>31</v>
      </c>
      <c r="G18" s="312"/>
      <c r="H18" s="312"/>
      <c r="I18" s="312"/>
      <c r="J18" s="165" t="s">
        <v>89</v>
      </c>
      <c r="K18" s="340" t="s">
        <v>21</v>
      </c>
      <c r="L18" s="341"/>
      <c r="M18" s="341"/>
      <c r="N18" s="341"/>
      <c r="O18" s="341"/>
      <c r="P18" s="341"/>
      <c r="Q18" s="294" t="s">
        <v>22</v>
      </c>
      <c r="R18" s="295"/>
      <c r="S18" s="295"/>
      <c r="T18" s="295"/>
      <c r="U18" s="296"/>
      <c r="V18" s="304" t="s">
        <v>44</v>
      </c>
      <c r="W18" s="305"/>
      <c r="X18" s="305"/>
      <c r="Y18" s="305"/>
      <c r="Z18" s="305"/>
      <c r="AA18" s="305"/>
      <c r="AB18" s="305"/>
      <c r="AC18" s="305"/>
      <c r="AD18" s="305"/>
      <c r="AE18" s="165" t="s">
        <v>89</v>
      </c>
      <c r="AF18" s="405" t="s">
        <v>21</v>
      </c>
      <c r="AG18" s="301"/>
      <c r="AH18" s="301"/>
      <c r="AI18" s="301"/>
      <c r="AJ18" s="301"/>
      <c r="AK18" s="301"/>
      <c r="AL18" s="294" t="s">
        <v>22</v>
      </c>
      <c r="AM18" s="295"/>
      <c r="AN18" s="295"/>
      <c r="AO18" s="295"/>
      <c r="AP18" s="296"/>
      <c r="AQ18" s="304" t="s">
        <v>45</v>
      </c>
      <c r="AR18" s="305"/>
      <c r="AS18" s="305"/>
      <c r="AT18" s="305"/>
      <c r="AU18" s="305"/>
      <c r="AV18" s="305"/>
      <c r="AW18" s="305"/>
      <c r="AX18" s="305"/>
      <c r="AY18" s="305"/>
      <c r="AZ18" s="245" t="s">
        <v>89</v>
      </c>
      <c r="BA18" s="322" t="s">
        <v>21</v>
      </c>
      <c r="BB18" s="323"/>
      <c r="BC18" s="323"/>
      <c r="BD18" s="323"/>
      <c r="BE18" s="323"/>
      <c r="BF18" s="323"/>
      <c r="BG18" s="322" t="s">
        <v>22</v>
      </c>
      <c r="BH18" s="323"/>
      <c r="BI18" s="323"/>
      <c r="BJ18" s="323"/>
      <c r="BK18" s="324"/>
      <c r="BL18" s="328" t="s">
        <v>45</v>
      </c>
      <c r="BM18" s="323"/>
      <c r="BN18" s="323"/>
      <c r="BO18" s="323"/>
      <c r="BP18" s="323"/>
      <c r="BQ18" s="323"/>
      <c r="BR18" s="323"/>
      <c r="BS18" s="323"/>
      <c r="BT18" s="329"/>
    </row>
    <row r="19" spans="2:72" s="18" customFormat="1" ht="15" customHeight="1" thickBot="1" x14ac:dyDescent="0.3">
      <c r="B19" s="331" t="s">
        <v>81</v>
      </c>
      <c r="C19" s="333" t="s">
        <v>20</v>
      </c>
      <c r="D19" s="373" t="s">
        <v>80</v>
      </c>
      <c r="E19" s="335" t="s">
        <v>1</v>
      </c>
      <c r="F19" s="314"/>
      <c r="G19" s="315"/>
      <c r="H19" s="315"/>
      <c r="I19" s="315"/>
      <c r="J19" s="399" t="s">
        <v>80</v>
      </c>
      <c r="K19" s="342"/>
      <c r="L19" s="342"/>
      <c r="M19" s="342"/>
      <c r="N19" s="342"/>
      <c r="O19" s="342"/>
      <c r="P19" s="342"/>
      <c r="Q19" s="297"/>
      <c r="R19" s="298"/>
      <c r="S19" s="298"/>
      <c r="T19" s="298"/>
      <c r="U19" s="299"/>
      <c r="V19" s="307"/>
      <c r="W19" s="307"/>
      <c r="X19" s="307"/>
      <c r="Y19" s="307"/>
      <c r="Z19" s="307"/>
      <c r="AA19" s="307"/>
      <c r="AB19" s="307"/>
      <c r="AC19" s="307"/>
      <c r="AD19" s="307"/>
      <c r="AE19" s="399" t="s">
        <v>80</v>
      </c>
      <c r="AF19" s="406"/>
      <c r="AG19" s="303"/>
      <c r="AH19" s="303"/>
      <c r="AI19" s="303"/>
      <c r="AJ19" s="303"/>
      <c r="AK19" s="303"/>
      <c r="AL19" s="297"/>
      <c r="AM19" s="298"/>
      <c r="AN19" s="298"/>
      <c r="AO19" s="298"/>
      <c r="AP19" s="299"/>
      <c r="AQ19" s="307"/>
      <c r="AR19" s="307"/>
      <c r="AS19" s="307"/>
      <c r="AT19" s="307"/>
      <c r="AU19" s="307"/>
      <c r="AV19" s="307"/>
      <c r="AW19" s="307"/>
      <c r="AX19" s="307"/>
      <c r="AY19" s="307"/>
      <c r="AZ19" s="401" t="s">
        <v>80</v>
      </c>
      <c r="BA19" s="325"/>
      <c r="BB19" s="326"/>
      <c r="BC19" s="326"/>
      <c r="BD19" s="326"/>
      <c r="BE19" s="326"/>
      <c r="BF19" s="326"/>
      <c r="BG19" s="325"/>
      <c r="BH19" s="326"/>
      <c r="BI19" s="326"/>
      <c r="BJ19" s="326"/>
      <c r="BK19" s="327"/>
      <c r="BL19" s="326"/>
      <c r="BM19" s="326"/>
      <c r="BN19" s="326"/>
      <c r="BO19" s="326"/>
      <c r="BP19" s="326"/>
      <c r="BQ19" s="326"/>
      <c r="BR19" s="326"/>
      <c r="BS19" s="326"/>
      <c r="BT19" s="330"/>
    </row>
    <row r="20" spans="2:72" s="18" customFormat="1" ht="18" thickBot="1" x14ac:dyDescent="0.3">
      <c r="B20" s="332"/>
      <c r="C20" s="334"/>
      <c r="D20" s="421"/>
      <c r="E20" s="336"/>
      <c r="F20" s="19" t="s">
        <v>29</v>
      </c>
      <c r="G20" s="20" t="s">
        <v>28</v>
      </c>
      <c r="H20" s="20" t="s">
        <v>30</v>
      </c>
      <c r="I20" s="176" t="s">
        <v>27</v>
      </c>
      <c r="J20" s="400"/>
      <c r="K20" s="29" t="s">
        <v>32</v>
      </c>
      <c r="L20" s="24" t="s">
        <v>34</v>
      </c>
      <c r="M20" s="24" t="s">
        <v>33</v>
      </c>
      <c r="N20" s="24" t="s">
        <v>35</v>
      </c>
      <c r="O20" s="24" t="s">
        <v>37</v>
      </c>
      <c r="P20" s="30" t="s">
        <v>36</v>
      </c>
      <c r="Q20" s="111" t="s">
        <v>38</v>
      </c>
      <c r="R20" s="22" t="s">
        <v>39</v>
      </c>
      <c r="S20" s="22" t="s">
        <v>40</v>
      </c>
      <c r="T20" s="22" t="s">
        <v>41</v>
      </c>
      <c r="U20" s="112" t="s">
        <v>42</v>
      </c>
      <c r="V20" s="25" t="s">
        <v>11</v>
      </c>
      <c r="W20" s="23" t="s">
        <v>13</v>
      </c>
      <c r="X20" s="23" t="s">
        <v>23</v>
      </c>
      <c r="Y20" s="23" t="s">
        <v>24</v>
      </c>
      <c r="Z20" s="23" t="s">
        <v>12</v>
      </c>
      <c r="AA20" s="23" t="s">
        <v>25</v>
      </c>
      <c r="AB20" s="23" t="s">
        <v>26</v>
      </c>
      <c r="AC20" s="23" t="s">
        <v>10</v>
      </c>
      <c r="AD20" s="25" t="s">
        <v>9</v>
      </c>
      <c r="AE20" s="400"/>
      <c r="AF20" s="31" t="s">
        <v>32</v>
      </c>
      <c r="AG20" s="24" t="s">
        <v>34</v>
      </c>
      <c r="AH20" s="24" t="s">
        <v>33</v>
      </c>
      <c r="AI20" s="24" t="s">
        <v>35</v>
      </c>
      <c r="AJ20" s="24" t="s">
        <v>37</v>
      </c>
      <c r="AK20" s="30" t="s">
        <v>36</v>
      </c>
      <c r="AL20" s="111" t="s">
        <v>38</v>
      </c>
      <c r="AM20" s="22" t="s">
        <v>39</v>
      </c>
      <c r="AN20" s="22" t="s">
        <v>40</v>
      </c>
      <c r="AO20" s="22" t="s">
        <v>41</v>
      </c>
      <c r="AP20" s="112" t="s">
        <v>42</v>
      </c>
      <c r="AQ20" s="26" t="s">
        <v>11</v>
      </c>
      <c r="AR20" s="27" t="s">
        <v>13</v>
      </c>
      <c r="AS20" s="27" t="s">
        <v>23</v>
      </c>
      <c r="AT20" s="27" t="s">
        <v>24</v>
      </c>
      <c r="AU20" s="27" t="s">
        <v>12</v>
      </c>
      <c r="AV20" s="27" t="s">
        <v>25</v>
      </c>
      <c r="AW20" s="27" t="s">
        <v>26</v>
      </c>
      <c r="AX20" s="27" t="s">
        <v>10</v>
      </c>
      <c r="AY20" s="28" t="s">
        <v>9</v>
      </c>
      <c r="AZ20" s="402"/>
      <c r="BA20" s="32" t="s">
        <v>32</v>
      </c>
      <c r="BB20" s="33" t="s">
        <v>34</v>
      </c>
      <c r="BC20" s="33" t="s">
        <v>33</v>
      </c>
      <c r="BD20" s="33" t="s">
        <v>35</v>
      </c>
      <c r="BE20" s="33" t="s">
        <v>37</v>
      </c>
      <c r="BF20" s="34" t="s">
        <v>36</v>
      </c>
      <c r="BG20" s="103" t="s">
        <v>38</v>
      </c>
      <c r="BH20" s="33" t="s">
        <v>39</v>
      </c>
      <c r="BI20" s="33" t="s">
        <v>40</v>
      </c>
      <c r="BJ20" s="33" t="s">
        <v>41</v>
      </c>
      <c r="BK20" s="104" t="s">
        <v>42</v>
      </c>
      <c r="BL20" s="34" t="s">
        <v>11</v>
      </c>
      <c r="BM20" s="33" t="s">
        <v>13</v>
      </c>
      <c r="BN20" s="33" t="s">
        <v>23</v>
      </c>
      <c r="BO20" s="33" t="s">
        <v>24</v>
      </c>
      <c r="BP20" s="33" t="s">
        <v>12</v>
      </c>
      <c r="BQ20" s="33" t="s">
        <v>25</v>
      </c>
      <c r="BR20" s="33" t="s">
        <v>26</v>
      </c>
      <c r="BS20" s="33" t="s">
        <v>10</v>
      </c>
      <c r="BT20" s="35" t="s">
        <v>9</v>
      </c>
    </row>
    <row r="21" spans="2:72" x14ac:dyDescent="0.25">
      <c r="B21" s="84">
        <v>844</v>
      </c>
      <c r="C21" s="92">
        <v>542</v>
      </c>
      <c r="D21" s="162">
        <f>B21/2</f>
        <v>422</v>
      </c>
      <c r="E21" s="96" t="s">
        <v>2</v>
      </c>
      <c r="F21" s="62"/>
      <c r="G21" s="53"/>
      <c r="H21" s="8">
        <v>598</v>
      </c>
      <c r="I21" s="177"/>
      <c r="J21" s="169">
        <f>B21/2</f>
        <v>422</v>
      </c>
      <c r="K21" s="78">
        <f>O21*100000</f>
        <v>30323132.327806149</v>
      </c>
      <c r="L21" s="65">
        <f>O21*10000</f>
        <v>3032313.2327806149</v>
      </c>
      <c r="M21" s="65">
        <f>O21*10</f>
        <v>3032.3132327806152</v>
      </c>
      <c r="N21" s="65">
        <f>O21*1000000</f>
        <v>303231323.27806151</v>
      </c>
      <c r="O21" s="65">
        <f>(PI()*D21^2*C21)/100^3</f>
        <v>303.2313232780615</v>
      </c>
      <c r="P21" s="66">
        <f>O21*1000</f>
        <v>303231.32327806152</v>
      </c>
      <c r="Q21" s="113">
        <f>T21/0.45359237</f>
        <v>6403690.8464062624</v>
      </c>
      <c r="R21" s="67">
        <f>T21*1000/31.1034768</f>
        <v>93387158.176757991</v>
      </c>
      <c r="S21" s="67">
        <f>T21/1000</f>
        <v>2904.6653077687224</v>
      </c>
      <c r="T21" s="67">
        <f>O21*(0.45359237/0.3048^3)*H21</f>
        <v>2904665.3077687225</v>
      </c>
      <c r="U21" s="114">
        <f>T21*1000</f>
        <v>2904665307.7687225</v>
      </c>
      <c r="V21" s="80">
        <f>AA21/100</f>
        <v>2.556050048443113</v>
      </c>
      <c r="W21" s="68">
        <f>AA21/4046.8564224</f>
        <v>6.3161372226970186E-2</v>
      </c>
      <c r="X21" s="68">
        <f>AA21*10000</f>
        <v>2556050.048443113</v>
      </c>
      <c r="Y21" s="68">
        <f>AA21*100</f>
        <v>25560.50048443113</v>
      </c>
      <c r="Z21" s="68">
        <f>AA21/10000</f>
        <v>2.5560500484431131E-2</v>
      </c>
      <c r="AA21" s="68">
        <f>(2*PI()*D21*(D21+C21))/100^2</f>
        <v>255.60500484431131</v>
      </c>
      <c r="AB21" s="68">
        <f>AA21*1000000</f>
        <v>255605004.8443113</v>
      </c>
      <c r="AC21" s="68">
        <f>AA21/144*10000/(2.54*2.54)</f>
        <v>2751.3093742068213</v>
      </c>
      <c r="AD21" s="80">
        <f>AA21*10000/(2.54 *2.54)</f>
        <v>396188.5498857823</v>
      </c>
      <c r="AE21" s="169">
        <v>422</v>
      </c>
      <c r="AF21" s="215">
        <v>30323132</v>
      </c>
      <c r="AG21" s="65">
        <v>3032313</v>
      </c>
      <c r="AH21" s="65">
        <v>3032.31</v>
      </c>
      <c r="AI21" s="65">
        <v>303231323</v>
      </c>
      <c r="AJ21" s="65">
        <v>303.23099999999999</v>
      </c>
      <c r="AK21" s="66">
        <v>303231</v>
      </c>
      <c r="AL21" s="113">
        <v>6403691</v>
      </c>
      <c r="AM21" s="67">
        <v>93387158</v>
      </c>
      <c r="AN21" s="67">
        <v>2904.67</v>
      </c>
      <c r="AO21" s="67">
        <v>2904665</v>
      </c>
      <c r="AP21" s="114">
        <v>2904665308</v>
      </c>
      <c r="AQ21" s="121">
        <v>2.5560499999999999</v>
      </c>
      <c r="AR21" s="121">
        <v>6.3161400000000006E-2</v>
      </c>
      <c r="AS21" s="68">
        <v>2556050</v>
      </c>
      <c r="AT21" s="68">
        <v>25560.5</v>
      </c>
      <c r="AU21" s="68">
        <v>2.55605E-2</v>
      </c>
      <c r="AV21" s="68">
        <v>255.60499999999999</v>
      </c>
      <c r="AW21" s="68">
        <v>255605005</v>
      </c>
      <c r="AX21" s="68">
        <v>2751.31</v>
      </c>
      <c r="AY21" s="216">
        <v>396189</v>
      </c>
      <c r="AZ21" s="246">
        <f>(J21-AE21)/J21</f>
        <v>0</v>
      </c>
      <c r="BA21" s="36">
        <f t="shared" ref="BA21:BT21" si="24">(K21-AF21)/K21</f>
        <v>1.0810431624752297E-8</v>
      </c>
      <c r="BB21" s="37">
        <f t="shared" si="24"/>
        <v>7.676667843920196E-8</v>
      </c>
      <c r="BC21" s="37">
        <f t="shared" si="24"/>
        <v>1.0661103807771203E-6</v>
      </c>
      <c r="BD21" s="37">
        <f t="shared" si="24"/>
        <v>9.1699467629669753E-10</v>
      </c>
      <c r="BE21" s="37">
        <f t="shared" si="24"/>
        <v>1.0661103807021367E-6</v>
      </c>
      <c r="BF21" s="38">
        <f t="shared" si="24"/>
        <v>1.0661103807711217E-6</v>
      </c>
      <c r="BG21" s="105">
        <f t="shared" si="24"/>
        <v>-2.398518937219349E-8</v>
      </c>
      <c r="BH21" s="39">
        <f t="shared" si="24"/>
        <v>1.8927440856415899E-9</v>
      </c>
      <c r="BI21" s="39">
        <f t="shared" si="24"/>
        <v>-1.615412028748728E-6</v>
      </c>
      <c r="BJ21" s="39">
        <f t="shared" si="24"/>
        <v>1.0595669033100174E-7</v>
      </c>
      <c r="BK21" s="106">
        <f t="shared" si="24"/>
        <v>-7.9622759015210936E-11</v>
      </c>
      <c r="BL21" s="38">
        <f t="shared" si="24"/>
        <v>1.8952333545271686E-8</v>
      </c>
      <c r="BM21" s="37">
        <f t="shared" si="24"/>
        <v>-4.3971542797668823E-7</v>
      </c>
      <c r="BN21" s="37">
        <f t="shared" si="24"/>
        <v>1.8952333510657036E-8</v>
      </c>
      <c r="BO21" s="37">
        <f t="shared" si="24"/>
        <v>1.895233350496391E-8</v>
      </c>
      <c r="BP21" s="37">
        <f t="shared" si="24"/>
        <v>1.8952333539842298E-8</v>
      </c>
      <c r="BQ21" s="37">
        <f t="shared" si="24"/>
        <v>1.8952333593919005E-8</v>
      </c>
      <c r="BR21" s="37">
        <f t="shared" si="24"/>
        <v>-6.0909880522480365E-10</v>
      </c>
      <c r="BS21" s="37">
        <f t="shared" si="24"/>
        <v>-2.2745285735909234E-7</v>
      </c>
      <c r="BT21" s="40">
        <f t="shared" si="24"/>
        <v>-1.1361111214167968E-6</v>
      </c>
    </row>
    <row r="22" spans="2:72" x14ac:dyDescent="0.25">
      <c r="B22" s="86">
        <v>112</v>
      </c>
      <c r="C22" s="93">
        <v>354</v>
      </c>
      <c r="D22" s="163">
        <f t="shared" ref="D22:D28" si="25">B22/2</f>
        <v>56</v>
      </c>
      <c r="E22" s="97" t="s">
        <v>3</v>
      </c>
      <c r="F22" s="59"/>
      <c r="G22" s="4">
        <v>48</v>
      </c>
      <c r="H22" s="58"/>
      <c r="I22" s="178"/>
      <c r="J22" s="167">
        <f t="shared" ref="J22:J28" si="26">B22/2</f>
        <v>56</v>
      </c>
      <c r="K22" s="69">
        <f t="shared" ref="K22:K28" si="27">O22*100000</f>
        <v>9875840716.0745163</v>
      </c>
      <c r="L22" s="70">
        <f t="shared" ref="L22:L28" si="28">O22*10000</f>
        <v>987584071.60745168</v>
      </c>
      <c r="M22" s="70">
        <f t="shared" ref="M22:M28" si="29">O22*10</f>
        <v>987584.07160745165</v>
      </c>
      <c r="N22" s="70">
        <f t="shared" ref="N22:N28" si="30">O22*1000000</f>
        <v>98758407160.745163</v>
      </c>
      <c r="O22" s="70">
        <f>(PI()*D22^2*C22)*0.3048^3</f>
        <v>98758.407160745162</v>
      </c>
      <c r="P22" s="71">
        <f t="shared" ref="P22:P28" si="31">O22*1000</f>
        <v>98758407.160745159</v>
      </c>
      <c r="Q22" s="115">
        <f t="shared" ref="Q22:Q28" si="32">T22/0.45359237</f>
        <v>10450800889.167883</v>
      </c>
      <c r="R22" s="72">
        <f t="shared" ref="R22:R28" si="33">T22*1000/31.1034768</f>
        <v>152407512967.03165</v>
      </c>
      <c r="S22" s="72">
        <f t="shared" ref="S22:S28" si="34">T22/1000</f>
        <v>4740403.5437157676</v>
      </c>
      <c r="T22" s="72">
        <f>O22*1000*G22</f>
        <v>4740403543.7157679</v>
      </c>
      <c r="U22" s="116">
        <f t="shared" ref="U22:U28" si="35">T22*1000</f>
        <v>4740403543715.7676</v>
      </c>
      <c r="V22" s="81">
        <f t="shared" ref="V22:V28" si="36">AA22/100</f>
        <v>134.0237228553049</v>
      </c>
      <c r="W22" s="73">
        <f t="shared" ref="W22:W28" si="37">AA22/4046.8564224</f>
        <v>3.3117983161809761</v>
      </c>
      <c r="X22" s="73">
        <f t="shared" ref="X22:X28" si="38">AA22*10000</f>
        <v>134023722.8553049</v>
      </c>
      <c r="Y22" s="73">
        <f t="shared" ref="Y22:Y28" si="39">AA22*100</f>
        <v>1340237.228553049</v>
      </c>
      <c r="Z22" s="73">
        <f t="shared" ref="Z22:Z28" si="40">AA22/10000</f>
        <v>1.3402372285530491</v>
      </c>
      <c r="AA22" s="73">
        <f>(2*PI()*D22*(D22+C22))*0.3048^2</f>
        <v>13402.37228553049</v>
      </c>
      <c r="AB22" s="73">
        <f t="shared" ref="AB22:AB28" si="41">AA22*1000000</f>
        <v>13402372285.530489</v>
      </c>
      <c r="AC22" s="73">
        <f t="shared" ref="AC22:AC28" si="42">AA22/144*10000/(2.54*2.54)</f>
        <v>144261.93465284331</v>
      </c>
      <c r="AD22" s="81">
        <f t="shared" ref="AD22:AD28" si="43">AA22*10000/(2.54 *2.54)</f>
        <v>20773718.59000944</v>
      </c>
      <c r="AE22" s="167">
        <v>56</v>
      </c>
      <c r="AF22" s="217">
        <v>9875840716</v>
      </c>
      <c r="AG22" s="69">
        <v>987584072</v>
      </c>
      <c r="AH22" s="70">
        <v>987584</v>
      </c>
      <c r="AI22" s="70">
        <v>98758407161</v>
      </c>
      <c r="AJ22" s="70">
        <v>98758.399999999994</v>
      </c>
      <c r="AK22" s="71">
        <v>98758407</v>
      </c>
      <c r="AL22" s="115">
        <v>10450800889</v>
      </c>
      <c r="AM22" s="72">
        <v>152407512967</v>
      </c>
      <c r="AN22" s="72">
        <v>4740404</v>
      </c>
      <c r="AO22" s="72">
        <v>4740403544</v>
      </c>
      <c r="AP22" s="116">
        <v>4740403543716</v>
      </c>
      <c r="AQ22" s="123">
        <v>134.024</v>
      </c>
      <c r="AR22" s="123">
        <v>3.3117999999999999</v>
      </c>
      <c r="AS22" s="73">
        <v>134023723</v>
      </c>
      <c r="AT22" s="73">
        <v>1340237</v>
      </c>
      <c r="AU22" s="73">
        <v>1.3402400000000001</v>
      </c>
      <c r="AV22" s="73">
        <v>13402.4</v>
      </c>
      <c r="AW22" s="73">
        <v>13402372286</v>
      </c>
      <c r="AX22" s="73">
        <v>144262</v>
      </c>
      <c r="AY22" s="218">
        <v>20773719</v>
      </c>
      <c r="AZ22" s="247">
        <f t="shared" ref="AZ22:AZ28" si="44">(J22-AE22)/J22</f>
        <v>0</v>
      </c>
      <c r="BA22" s="41">
        <f t="shared" ref="BA22:BF28" si="45">(K22-AF22)/K22</f>
        <v>7.5453116882931814E-12</v>
      </c>
      <c r="BB22" s="42">
        <f t="shared" si="45"/>
        <v>-3.9748344871406933E-10</v>
      </c>
      <c r="BC22" s="42">
        <f t="shared" si="45"/>
        <v>7.250770209016775E-8</v>
      </c>
      <c r="BD22" s="42">
        <f t="shared" si="45"/>
        <v>-2.5804085288457956E-12</v>
      </c>
      <c r="BE22" s="42">
        <f t="shared" si="45"/>
        <v>7.2507702119637482E-8</v>
      </c>
      <c r="BF22" s="43">
        <f t="shared" si="45"/>
        <v>1.6276605041827325E-9</v>
      </c>
      <c r="BG22" s="107">
        <f t="shared" ref="BG22:BG28" si="46">(Q22-AL22)/Q22</f>
        <v>1.6064119974339178E-11</v>
      </c>
      <c r="BH22" s="44">
        <f t="shared" ref="BH22:BT28" si="47">(R22-AM22)/R22</f>
        <v>2.0764546248104402E-13</v>
      </c>
      <c r="BI22" s="44">
        <f t="shared" si="47"/>
        <v>-9.6254301607401135E-8</v>
      </c>
      <c r="BJ22" s="44">
        <f t="shared" si="47"/>
        <v>-5.995948171210058E-11</v>
      </c>
      <c r="BK22" s="108">
        <f t="shared" si="47"/>
        <v>-4.9029976637351003E-14</v>
      </c>
      <c r="BL22" s="43">
        <f t="shared" si="47"/>
        <v>-2.0678779040009E-6</v>
      </c>
      <c r="BM22" s="42">
        <f t="shared" si="47"/>
        <v>-5.084304245040816E-7</v>
      </c>
      <c r="BN22" s="42">
        <f t="shared" si="47"/>
        <v>-1.0796230703478049E-9</v>
      </c>
      <c r="BO22" s="42">
        <f t="shared" si="47"/>
        <v>1.7053178658546803E-7</v>
      </c>
      <c r="BP22" s="42">
        <f t="shared" si="47"/>
        <v>-2.0678779040009E-6</v>
      </c>
      <c r="BQ22" s="42">
        <f t="shared" si="47"/>
        <v>-2.0678779039754522E-6</v>
      </c>
      <c r="BR22" s="42">
        <f t="shared" si="47"/>
        <v>-3.5031934802422043E-11</v>
      </c>
      <c r="BS22" s="42">
        <f t="shared" si="47"/>
        <v>-4.5297574060950779E-7</v>
      </c>
      <c r="BT22" s="45">
        <f t="shared" si="47"/>
        <v>-1.9736021670216003E-8</v>
      </c>
    </row>
    <row r="23" spans="2:72" x14ac:dyDescent="0.25">
      <c r="B23" s="86">
        <v>187</v>
      </c>
      <c r="C23" s="93">
        <v>665</v>
      </c>
      <c r="D23" s="171">
        <f t="shared" si="25"/>
        <v>93.5</v>
      </c>
      <c r="E23" s="97" t="s">
        <v>4</v>
      </c>
      <c r="F23" s="11">
        <v>157</v>
      </c>
      <c r="G23" s="56"/>
      <c r="H23" s="56"/>
      <c r="I23" s="178"/>
      <c r="J23" s="167">
        <f t="shared" si="26"/>
        <v>93.5</v>
      </c>
      <c r="K23" s="69">
        <f t="shared" si="27"/>
        <v>29929253.835334163</v>
      </c>
      <c r="L23" s="70">
        <f t="shared" si="28"/>
        <v>2992925.3835334163</v>
      </c>
      <c r="M23" s="70">
        <f t="shared" si="29"/>
        <v>2992.9253835334162</v>
      </c>
      <c r="N23" s="70">
        <f t="shared" si="30"/>
        <v>299292538.35334164</v>
      </c>
      <c r="O23" s="70">
        <f>(PI()*D23^2*C23)*(2.54/100)^3</f>
        <v>299.29253835334163</v>
      </c>
      <c r="P23" s="71">
        <f t="shared" si="31"/>
        <v>299292.53835334163</v>
      </c>
      <c r="Q23" s="115">
        <f t="shared" si="32"/>
        <v>103592.85479487812</v>
      </c>
      <c r="R23" s="72">
        <f t="shared" si="33"/>
        <v>1510729.1324253061</v>
      </c>
      <c r="S23" s="72">
        <f t="shared" si="34"/>
        <v>46.988928521474634</v>
      </c>
      <c r="T23" s="72">
        <f>O23*F23</f>
        <v>46988.928521474634</v>
      </c>
      <c r="U23" s="116">
        <f t="shared" si="35"/>
        <v>46988928.521474637</v>
      </c>
      <c r="V23" s="81">
        <f t="shared" si="36"/>
        <v>2.8748454192579813</v>
      </c>
      <c r="W23" s="73">
        <f t="shared" si="37"/>
        <v>7.1038977398487621E-2</v>
      </c>
      <c r="X23" s="73">
        <f t="shared" si="38"/>
        <v>2874845.4192579812</v>
      </c>
      <c r="Y23" s="73">
        <f t="shared" si="39"/>
        <v>28748.454192579811</v>
      </c>
      <c r="Z23" s="73">
        <f t="shared" si="40"/>
        <v>2.8748454192579813E-2</v>
      </c>
      <c r="AA23" s="73">
        <f>(2*PI()*D23*(D23+C23))*(2.54/100)^2</f>
        <v>287.48454192579811</v>
      </c>
      <c r="AB23" s="73">
        <f t="shared" si="41"/>
        <v>287484541.92579812</v>
      </c>
      <c r="AC23" s="73">
        <f t="shared" si="42"/>
        <v>3094.457855478121</v>
      </c>
      <c r="AD23" s="81">
        <f t="shared" si="43"/>
        <v>445601.93118884944</v>
      </c>
      <c r="AE23" s="167">
        <v>93.5</v>
      </c>
      <c r="AF23" s="217">
        <v>29929254</v>
      </c>
      <c r="AG23" s="70">
        <v>2992925</v>
      </c>
      <c r="AH23" s="70">
        <v>2992.93</v>
      </c>
      <c r="AI23" s="70">
        <v>299292538</v>
      </c>
      <c r="AJ23" s="70">
        <v>299.29300000000001</v>
      </c>
      <c r="AK23" s="71">
        <v>299293</v>
      </c>
      <c r="AL23" s="115">
        <v>103593</v>
      </c>
      <c r="AM23" s="72">
        <v>1510729</v>
      </c>
      <c r="AN23" s="72">
        <v>46.988900000000001</v>
      </c>
      <c r="AO23" s="72">
        <v>46988.9</v>
      </c>
      <c r="AP23" s="116">
        <v>46988929</v>
      </c>
      <c r="AQ23" s="123">
        <v>2.8748499999999999</v>
      </c>
      <c r="AR23" s="123">
        <v>7.1039000000000005E-2</v>
      </c>
      <c r="AS23" s="73">
        <v>2874845</v>
      </c>
      <c r="AT23" s="73">
        <v>28748.5</v>
      </c>
      <c r="AU23" s="73">
        <v>2.87485E-2</v>
      </c>
      <c r="AV23" s="73">
        <v>287.48500000000001</v>
      </c>
      <c r="AW23" s="73">
        <v>287484542</v>
      </c>
      <c r="AX23" s="73">
        <v>3094.46</v>
      </c>
      <c r="AY23" s="218">
        <v>445602</v>
      </c>
      <c r="AZ23" s="247">
        <f t="shared" si="44"/>
        <v>0</v>
      </c>
      <c r="BA23" s="41">
        <f t="shared" si="45"/>
        <v>-5.5018356871451715E-9</v>
      </c>
      <c r="BB23" s="42">
        <f t="shared" si="45"/>
        <v>1.2814666828182589E-7</v>
      </c>
      <c r="BC23" s="42">
        <f t="shared" si="45"/>
        <v>-1.5424596313303124E-6</v>
      </c>
      <c r="BD23" s="42">
        <f t="shared" si="45"/>
        <v>1.1805895361973547E-9</v>
      </c>
      <c r="BE23" s="42">
        <f t="shared" si="45"/>
        <v>-1.5424596313682976E-6</v>
      </c>
      <c r="BF23" s="43">
        <f t="shared" si="45"/>
        <v>-1.5424596313303122E-6</v>
      </c>
      <c r="BG23" s="107">
        <f t="shared" si="46"/>
        <v>-1.4016905139625524E-6</v>
      </c>
      <c r="BH23" s="44">
        <f t="shared" si="47"/>
        <v>8.7656551588086016E-8</v>
      </c>
      <c r="BI23" s="44">
        <f t="shared" si="47"/>
        <v>6.0698286873451158E-7</v>
      </c>
      <c r="BJ23" s="44">
        <f t="shared" si="47"/>
        <v>6.0698286873451158E-7</v>
      </c>
      <c r="BK23" s="108">
        <f t="shared" si="47"/>
        <v>-1.0183789628021567E-8</v>
      </c>
      <c r="BL23" s="43">
        <f t="shared" si="47"/>
        <v>-1.5933872436771968E-6</v>
      </c>
      <c r="BM23" s="42">
        <f t="shared" si="47"/>
        <v>-3.1815649959440028E-7</v>
      </c>
      <c r="BN23" s="42">
        <f t="shared" si="47"/>
        <v>1.4583670427234229E-7</v>
      </c>
      <c r="BO23" s="42">
        <f t="shared" si="47"/>
        <v>-1.5933872437780375E-6</v>
      </c>
      <c r="BP23" s="42">
        <f t="shared" si="47"/>
        <v>-1.5933872437109879E-6</v>
      </c>
      <c r="BQ23" s="42">
        <f t="shared" si="47"/>
        <v>-1.5933872438254919E-6</v>
      </c>
      <c r="BR23" s="42">
        <f t="shared" si="47"/>
        <v>-2.5810737992542436E-10</v>
      </c>
      <c r="BS23" s="42">
        <f t="shared" si="47"/>
        <v>-6.9302022492284183E-7</v>
      </c>
      <c r="BT23" s="45">
        <f t="shared" si="47"/>
        <v>-1.5442291817536097E-7</v>
      </c>
    </row>
    <row r="24" spans="2:72" x14ac:dyDescent="0.25">
      <c r="B24" s="86">
        <v>248</v>
      </c>
      <c r="C24" s="93">
        <v>184</v>
      </c>
      <c r="D24" s="163">
        <f t="shared" si="25"/>
        <v>124</v>
      </c>
      <c r="E24" s="97" t="s">
        <v>5</v>
      </c>
      <c r="F24" s="59"/>
      <c r="G24" s="5">
        <v>684</v>
      </c>
      <c r="H24" s="56"/>
      <c r="I24" s="181"/>
      <c r="J24" s="167">
        <f t="shared" si="26"/>
        <v>124</v>
      </c>
      <c r="K24" s="69">
        <f t="shared" si="27"/>
        <v>888814367005.37854</v>
      </c>
      <c r="L24" s="70">
        <f t="shared" si="28"/>
        <v>88881436700.537857</v>
      </c>
      <c r="M24" s="70">
        <f t="shared" si="29"/>
        <v>88881436.70053786</v>
      </c>
      <c r="N24" s="70">
        <f t="shared" si="30"/>
        <v>8888143670053.7852</v>
      </c>
      <c r="O24" s="70">
        <f>(PI()*D24^2*C24)</f>
        <v>8888143.6700537857</v>
      </c>
      <c r="P24" s="71">
        <f t="shared" si="31"/>
        <v>8888143670.0537853</v>
      </c>
      <c r="Q24" s="115">
        <f t="shared" si="32"/>
        <v>13402981779249.922</v>
      </c>
      <c r="R24" s="72">
        <f t="shared" si="33"/>
        <v>195460150947394.69</v>
      </c>
      <c r="S24" s="72">
        <f t="shared" si="34"/>
        <v>6079490270.3167887</v>
      </c>
      <c r="T24" s="72">
        <f>O24*1000*G24</f>
        <v>6079490270316.7891</v>
      </c>
      <c r="U24" s="116">
        <f t="shared" si="35"/>
        <v>6079490270316789</v>
      </c>
      <c r="V24" s="81">
        <f t="shared" si="36"/>
        <v>2399.6741325180278</v>
      </c>
      <c r="W24" s="73">
        <f t="shared" si="37"/>
        <v>59.297239191275629</v>
      </c>
      <c r="X24" s="73">
        <f t="shared" si="38"/>
        <v>2399674132.5180278</v>
      </c>
      <c r="Y24" s="73">
        <f t="shared" si="39"/>
        <v>23996741.325180277</v>
      </c>
      <c r="Z24" s="73">
        <f t="shared" si="40"/>
        <v>23.996741325180277</v>
      </c>
      <c r="AA24" s="73">
        <f>2*PI()*D24*(D24+C24)</f>
        <v>239967.41325180276</v>
      </c>
      <c r="AB24" s="73">
        <f t="shared" si="41"/>
        <v>239967413251.80276</v>
      </c>
      <c r="AC24" s="73">
        <f t="shared" si="42"/>
        <v>2582987.7391719664</v>
      </c>
      <c r="AD24" s="81">
        <f t="shared" si="43"/>
        <v>371950234.44076318</v>
      </c>
      <c r="AE24" s="167">
        <v>124</v>
      </c>
      <c r="AF24" s="217">
        <v>888814367005</v>
      </c>
      <c r="AG24" s="70">
        <v>88881436701</v>
      </c>
      <c r="AH24" s="70">
        <v>88881437</v>
      </c>
      <c r="AI24" s="70">
        <v>8888143670054</v>
      </c>
      <c r="AJ24" s="70">
        <v>8888144</v>
      </c>
      <c r="AK24" s="71">
        <v>8888143670</v>
      </c>
      <c r="AL24" s="115">
        <v>13402981779250</v>
      </c>
      <c r="AM24" s="72">
        <v>195460150947395</v>
      </c>
      <c r="AN24" s="72">
        <v>6079490270</v>
      </c>
      <c r="AO24" s="72">
        <v>6079490270317</v>
      </c>
      <c r="AP24" s="116">
        <v>6079490270316790</v>
      </c>
      <c r="AQ24" s="123">
        <v>2399.67</v>
      </c>
      <c r="AR24" s="123">
        <v>59.297199999999997</v>
      </c>
      <c r="AS24" s="73">
        <v>2399674133</v>
      </c>
      <c r="AT24" s="73">
        <v>23996741</v>
      </c>
      <c r="AU24" s="73">
        <v>23.996700000000001</v>
      </c>
      <c r="AV24" s="73">
        <v>239967</v>
      </c>
      <c r="AW24" s="73">
        <v>239967413252</v>
      </c>
      <c r="AX24" s="73">
        <v>2582988</v>
      </c>
      <c r="AY24" s="218">
        <v>371950234</v>
      </c>
      <c r="AZ24" s="247">
        <f t="shared" si="44"/>
        <v>0</v>
      </c>
      <c r="BA24" s="41">
        <f t="shared" si="45"/>
        <v>4.2589324960833955E-13</v>
      </c>
      <c r="BB24" s="42">
        <f t="shared" si="45"/>
        <v>-5.1995440385713396E-12</v>
      </c>
      <c r="BC24" s="42">
        <f t="shared" si="45"/>
        <v>-3.3692315372380073E-9</v>
      </c>
      <c r="BD24" s="42">
        <f t="shared" si="45"/>
        <v>-2.4171948381511693E-14</v>
      </c>
      <c r="BE24" s="42">
        <f t="shared" si="45"/>
        <v>-3.7122061319152819E-8</v>
      </c>
      <c r="BF24" s="43">
        <f t="shared" si="45"/>
        <v>6.0513562891534824E-12</v>
      </c>
      <c r="BG24" s="107">
        <f t="shared" si="46"/>
        <v>-5.8289268229067272E-15</v>
      </c>
      <c r="BH24" s="44">
        <f t="shared" si="47"/>
        <v>-1.598791357140131E-15</v>
      </c>
      <c r="BI24" s="44">
        <f t="shared" si="47"/>
        <v>5.2107768795618411E-11</v>
      </c>
      <c r="BJ24" s="44">
        <f t="shared" si="47"/>
        <v>-3.4696576624179468E-14</v>
      </c>
      <c r="BK24" s="108">
        <f t="shared" si="47"/>
        <v>-1.6448747436648042E-16</v>
      </c>
      <c r="BL24" s="43">
        <f t="shared" si="47"/>
        <v>1.7221163372749508E-6</v>
      </c>
      <c r="BM24" s="42">
        <f t="shared" si="47"/>
        <v>6.6092917928891602E-7</v>
      </c>
      <c r="BN24" s="42">
        <f t="shared" si="47"/>
        <v>-2.0084902821954039E-10</v>
      </c>
      <c r="BO24" s="42">
        <f t="shared" si="47"/>
        <v>1.3551018149582543E-8</v>
      </c>
      <c r="BP24" s="42">
        <f t="shared" si="47"/>
        <v>1.7221163372512629E-6</v>
      </c>
      <c r="BQ24" s="42">
        <f t="shared" si="47"/>
        <v>1.7221163372218899E-6</v>
      </c>
      <c r="BR24" s="42">
        <f t="shared" si="47"/>
        <v>-8.2192454695884947E-13</v>
      </c>
      <c r="BS24" s="42">
        <f t="shared" si="47"/>
        <v>-1.0097919924270071E-7</v>
      </c>
      <c r="BT24" s="45">
        <f t="shared" si="47"/>
        <v>1.1850057740929163E-9</v>
      </c>
    </row>
    <row r="25" spans="2:72" x14ac:dyDescent="0.25">
      <c r="B25" s="99">
        <v>0.14399999999999999</v>
      </c>
      <c r="C25" s="100">
        <v>0.02</v>
      </c>
      <c r="D25" s="200">
        <f t="shared" si="25"/>
        <v>7.1999999999999995E-2</v>
      </c>
      <c r="E25" s="97" t="s">
        <v>6</v>
      </c>
      <c r="F25" s="59"/>
      <c r="G25" s="58"/>
      <c r="H25" s="4">
        <v>158</v>
      </c>
      <c r="I25" s="178"/>
      <c r="J25" s="167">
        <f t="shared" si="26"/>
        <v>7.1999999999999995E-2</v>
      </c>
      <c r="K25" s="69">
        <f t="shared" si="27"/>
        <v>135766154436.10626</v>
      </c>
      <c r="L25" s="70">
        <f t="shared" si="28"/>
        <v>13576615443.610626</v>
      </c>
      <c r="M25" s="70">
        <f t="shared" si="29"/>
        <v>13576615.443610625</v>
      </c>
      <c r="N25" s="70">
        <f t="shared" si="30"/>
        <v>1357661544361.0625</v>
      </c>
      <c r="O25" s="70">
        <f>(PI()*D25^2*C25)*(63360*2.54/100)^3</f>
        <v>1357661.5443610626</v>
      </c>
      <c r="P25" s="71">
        <f t="shared" si="31"/>
        <v>1357661544.3610625</v>
      </c>
      <c r="Q25" s="115">
        <f t="shared" si="32"/>
        <v>7575367663.6314011</v>
      </c>
      <c r="R25" s="72">
        <f t="shared" si="33"/>
        <v>110474111761.29128</v>
      </c>
      <c r="S25" s="72">
        <f t="shared" si="34"/>
        <v>3436128.9721679301</v>
      </c>
      <c r="T25" s="72">
        <f>O25*(0.45359237/0.3048^3)*H25</f>
        <v>3436128972.1679301</v>
      </c>
      <c r="U25" s="116">
        <f t="shared" si="35"/>
        <v>3436128972167.9302</v>
      </c>
      <c r="V25" s="81">
        <f t="shared" si="36"/>
        <v>1077.9483759395284</v>
      </c>
      <c r="W25" s="73">
        <f t="shared" si="37"/>
        <v>26.636684463844851</v>
      </c>
      <c r="X25" s="73">
        <f t="shared" si="38"/>
        <v>1077948375.9395282</v>
      </c>
      <c r="Y25" s="73">
        <f t="shared" si="39"/>
        <v>10779483.759395283</v>
      </c>
      <c r="Z25" s="73">
        <f t="shared" si="40"/>
        <v>10.779483759395283</v>
      </c>
      <c r="AA25" s="73">
        <f>(2*PI()*D25*(D25+C25))*(63360*2.54/100)^2</f>
        <v>107794.83759395283</v>
      </c>
      <c r="AB25" s="73">
        <f t="shared" si="41"/>
        <v>107794837593.95284</v>
      </c>
      <c r="AC25" s="73">
        <f t="shared" si="42"/>
        <v>1160293.9752450818</v>
      </c>
      <c r="AD25" s="81">
        <f t="shared" si="43"/>
        <v>167082332.43529174</v>
      </c>
      <c r="AE25" s="167">
        <v>7.1999999999999995E-2</v>
      </c>
      <c r="AF25" s="217">
        <v>135766154436</v>
      </c>
      <c r="AG25" s="70">
        <v>13576615444</v>
      </c>
      <c r="AH25" s="70">
        <v>13576615</v>
      </c>
      <c r="AI25" s="70">
        <v>1357661544361</v>
      </c>
      <c r="AJ25" s="70">
        <v>1357662</v>
      </c>
      <c r="AK25" s="71">
        <v>1357661544</v>
      </c>
      <c r="AL25" s="115">
        <v>7575367664</v>
      </c>
      <c r="AM25" s="72">
        <v>110474111761</v>
      </c>
      <c r="AN25" s="72">
        <v>3436129</v>
      </c>
      <c r="AO25" s="72">
        <v>3436128972</v>
      </c>
      <c r="AP25" s="116">
        <v>3436128972168</v>
      </c>
      <c r="AQ25" s="123">
        <v>1077.95</v>
      </c>
      <c r="AR25" s="123">
        <v>26.636700000000001</v>
      </c>
      <c r="AS25" s="73">
        <v>1077948376</v>
      </c>
      <c r="AT25" s="73">
        <v>10779484</v>
      </c>
      <c r="AU25" s="73">
        <v>10.779500000000001</v>
      </c>
      <c r="AV25" s="73">
        <v>107795</v>
      </c>
      <c r="AW25" s="73">
        <v>107794837594</v>
      </c>
      <c r="AX25" s="73">
        <v>1160294</v>
      </c>
      <c r="AY25" s="218">
        <v>167082332</v>
      </c>
      <c r="AZ25" s="247">
        <f t="shared" si="44"/>
        <v>0</v>
      </c>
      <c r="BA25" s="41">
        <f t="shared" si="45"/>
        <v>7.8268554834304235E-13</v>
      </c>
      <c r="BB25" s="42">
        <f t="shared" si="45"/>
        <v>-2.8679738401231697E-11</v>
      </c>
      <c r="BC25" s="42">
        <f t="shared" si="45"/>
        <v>3.2674610780870642E-8</v>
      </c>
      <c r="BD25" s="42">
        <f t="shared" si="45"/>
        <v>4.6035037421210535E-14</v>
      </c>
      <c r="BE25" s="42">
        <f t="shared" si="45"/>
        <v>-3.3560568855451483E-7</v>
      </c>
      <c r="BF25" s="43">
        <f t="shared" si="45"/>
        <v>2.6594443085062317E-10</v>
      </c>
      <c r="BG25" s="107">
        <f t="shared" si="46"/>
        <v>-4.8657564141459258E-11</v>
      </c>
      <c r="BH25" s="44">
        <f t="shared" si="47"/>
        <v>2.636590779235589E-12</v>
      </c>
      <c r="BI25" s="44">
        <f t="shared" si="47"/>
        <v>-8.0998327261060213E-9</v>
      </c>
      <c r="BJ25" s="44">
        <f t="shared" si="47"/>
        <v>4.8871892629872589E-11</v>
      </c>
      <c r="BK25" s="108">
        <f t="shared" si="47"/>
        <v>-2.0320604760637476E-14</v>
      </c>
      <c r="BL25" s="43">
        <f t="shared" si="47"/>
        <v>-1.506621752825228E-6</v>
      </c>
      <c r="BM25" s="42">
        <f t="shared" si="47"/>
        <v>-5.8326159815494416E-7</v>
      </c>
      <c r="BN25" s="42">
        <f t="shared" si="47"/>
        <v>-5.6098951023398E-11</v>
      </c>
      <c r="BO25" s="42">
        <f t="shared" si="47"/>
        <v>-2.2320615964074578E-8</v>
      </c>
      <c r="BP25" s="42">
        <f t="shared" si="47"/>
        <v>-1.5066217529109192E-6</v>
      </c>
      <c r="BQ25" s="42">
        <f t="shared" si="47"/>
        <v>-1.5066217528674145E-6</v>
      </c>
      <c r="BR25" s="42">
        <f t="shared" si="47"/>
        <v>-4.3754337447819853E-13</v>
      </c>
      <c r="BS25" s="42">
        <f t="shared" si="47"/>
        <v>-2.1335039833484667E-8</v>
      </c>
      <c r="BT25" s="45">
        <f t="shared" si="47"/>
        <v>2.6052529371208074E-9</v>
      </c>
    </row>
    <row r="26" spans="2:72" x14ac:dyDescent="0.25">
      <c r="B26" s="86">
        <v>3411</v>
      </c>
      <c r="C26" s="93">
        <v>941</v>
      </c>
      <c r="D26" s="171">
        <f t="shared" si="25"/>
        <v>1705.5</v>
      </c>
      <c r="E26" s="97" t="s">
        <v>7</v>
      </c>
      <c r="F26" s="59"/>
      <c r="G26" s="58"/>
      <c r="H26" s="58"/>
      <c r="I26" s="182">
        <v>125</v>
      </c>
      <c r="J26" s="167">
        <f t="shared" si="26"/>
        <v>1705.5</v>
      </c>
      <c r="K26" s="69">
        <f t="shared" si="27"/>
        <v>859890.08951786149</v>
      </c>
      <c r="L26" s="70">
        <f t="shared" si="28"/>
        <v>85989.008951786149</v>
      </c>
      <c r="M26" s="70">
        <f t="shared" si="29"/>
        <v>85.989008951786147</v>
      </c>
      <c r="N26" s="70">
        <f t="shared" si="30"/>
        <v>8598900.8951786142</v>
      </c>
      <c r="O26" s="70">
        <f>(PI()*D26^2*C26)/1000^3</f>
        <v>8.5989008951786143</v>
      </c>
      <c r="P26" s="71">
        <f t="shared" si="31"/>
        <v>8598.9008951786145</v>
      </c>
      <c r="Q26" s="115">
        <f t="shared" si="32"/>
        <v>2369666.4295683075</v>
      </c>
      <c r="R26" s="72">
        <f t="shared" si="33"/>
        <v>34557635.431204483</v>
      </c>
      <c r="S26" s="72">
        <f t="shared" si="34"/>
        <v>1074.8626118973268</v>
      </c>
      <c r="T26" s="72">
        <f>O26*1000*I26</f>
        <v>1074862.6118973268</v>
      </c>
      <c r="U26" s="116">
        <f t="shared" si="35"/>
        <v>1074862611.8973267</v>
      </c>
      <c r="V26" s="81">
        <f t="shared" si="36"/>
        <v>0.28359821330801294</v>
      </c>
      <c r="W26" s="73">
        <f t="shared" si="37"/>
        <v>7.0078644682883056E-3</v>
      </c>
      <c r="X26" s="73">
        <f t="shared" si="38"/>
        <v>283598.21330801293</v>
      </c>
      <c r="Y26" s="73">
        <f t="shared" si="39"/>
        <v>2835.9821330801292</v>
      </c>
      <c r="Z26" s="73">
        <f t="shared" si="40"/>
        <v>2.8359821330801293E-3</v>
      </c>
      <c r="AA26" s="73">
        <f>(2*PI()*D26*(D26+C26))/1000^2</f>
        <v>28.359821330801292</v>
      </c>
      <c r="AB26" s="73">
        <f t="shared" si="41"/>
        <v>28359821.330801293</v>
      </c>
      <c r="AC26" s="73">
        <f t="shared" si="42"/>
        <v>305.26257623863864</v>
      </c>
      <c r="AD26" s="81">
        <f t="shared" si="43"/>
        <v>43957.810978363959</v>
      </c>
      <c r="AE26" s="167">
        <v>1705.5</v>
      </c>
      <c r="AF26" s="217">
        <v>859890</v>
      </c>
      <c r="AG26" s="70">
        <v>85989</v>
      </c>
      <c r="AH26" s="70">
        <v>85.989000000000004</v>
      </c>
      <c r="AI26" s="70">
        <v>8598901</v>
      </c>
      <c r="AJ26" s="70">
        <v>8.5989000000000004</v>
      </c>
      <c r="AK26" s="71">
        <v>8598.9</v>
      </c>
      <c r="AL26" s="115">
        <v>2369666</v>
      </c>
      <c r="AM26" s="72">
        <v>34557635</v>
      </c>
      <c r="AN26" s="72">
        <v>1074.8599999999999</v>
      </c>
      <c r="AO26" s="72">
        <v>1074863</v>
      </c>
      <c r="AP26" s="116">
        <v>1074862612</v>
      </c>
      <c r="AQ26" s="123">
        <v>0.28359800000000002</v>
      </c>
      <c r="AR26" s="123">
        <v>7.0078600000000003E-3</v>
      </c>
      <c r="AS26" s="73">
        <v>283598</v>
      </c>
      <c r="AT26" s="73">
        <v>2835.98</v>
      </c>
      <c r="AU26" s="73">
        <v>2.8359800000000001E-3</v>
      </c>
      <c r="AV26" s="73">
        <v>28.3598</v>
      </c>
      <c r="AW26" s="73">
        <v>28359821</v>
      </c>
      <c r="AX26" s="73">
        <v>305.26299999999998</v>
      </c>
      <c r="AY26" s="218">
        <v>43957.8</v>
      </c>
      <c r="AZ26" s="247">
        <f t="shared" si="44"/>
        <v>0</v>
      </c>
      <c r="BA26" s="41">
        <f t="shared" si="45"/>
        <v>1.041038413856679E-7</v>
      </c>
      <c r="BB26" s="42">
        <f t="shared" si="45"/>
        <v>1.041038413856679E-7</v>
      </c>
      <c r="BC26" s="42">
        <f t="shared" si="45"/>
        <v>1.0410384131295192E-7</v>
      </c>
      <c r="BD26" s="42">
        <f t="shared" si="45"/>
        <v>-1.2190091163222123E-8</v>
      </c>
      <c r="BE26" s="42">
        <f t="shared" si="45"/>
        <v>1.0410384127163601E-7</v>
      </c>
      <c r="BF26" s="43">
        <f t="shared" si="45"/>
        <v>1.0410384138566791E-7</v>
      </c>
      <c r="BG26" s="107">
        <f t="shared" si="46"/>
        <v>1.8127796474397111E-7</v>
      </c>
      <c r="BH26" s="44">
        <f t="shared" si="47"/>
        <v>1.2477835289727401E-8</v>
      </c>
      <c r="BI26" s="44">
        <f t="shared" si="47"/>
        <v>2.4299824907896302E-6</v>
      </c>
      <c r="BJ26" s="44">
        <f t="shared" si="47"/>
        <v>-3.6107188856620114E-7</v>
      </c>
      <c r="BK26" s="108">
        <f t="shared" si="47"/>
        <v>-9.5522247237530453E-11</v>
      </c>
      <c r="BL26" s="43">
        <f t="shared" si="47"/>
        <v>7.5214864872213237E-7</v>
      </c>
      <c r="BM26" s="42">
        <f t="shared" si="47"/>
        <v>6.3761054819927464E-7</v>
      </c>
      <c r="BN26" s="42">
        <f t="shared" si="47"/>
        <v>7.5214864875122064E-7</v>
      </c>
      <c r="BO26" s="42">
        <f t="shared" si="47"/>
        <v>7.5214864871273687E-7</v>
      </c>
      <c r="BP26" s="42">
        <f t="shared" si="47"/>
        <v>7.5214864872213237E-7</v>
      </c>
      <c r="BQ26" s="42">
        <f t="shared" si="47"/>
        <v>7.5214864873779147E-7</v>
      </c>
      <c r="BR26" s="42">
        <f t="shared" si="47"/>
        <v>1.1664435025710791E-8</v>
      </c>
      <c r="BS26" s="42">
        <f t="shared" si="47"/>
        <v>-1.3881864149683174E-6</v>
      </c>
      <c r="BT26" s="45">
        <f t="shared" si="47"/>
        <v>2.4974774020904988E-7</v>
      </c>
    </row>
    <row r="27" spans="2:72" x14ac:dyDescent="0.25">
      <c r="B27" s="86">
        <v>94</v>
      </c>
      <c r="C27" s="93">
        <v>132</v>
      </c>
      <c r="D27" s="163">
        <f t="shared" si="25"/>
        <v>47</v>
      </c>
      <c r="E27" s="97" t="s">
        <v>8</v>
      </c>
      <c r="F27" s="11">
        <v>948</v>
      </c>
      <c r="G27" s="58"/>
      <c r="H27" s="58"/>
      <c r="I27" s="178"/>
      <c r="J27" s="167">
        <f t="shared" si="26"/>
        <v>47</v>
      </c>
      <c r="K27" s="69">
        <f t="shared" si="27"/>
        <v>70037102712.266037</v>
      </c>
      <c r="L27" s="70">
        <f t="shared" si="28"/>
        <v>7003710271.2266045</v>
      </c>
      <c r="M27" s="70">
        <f t="shared" si="29"/>
        <v>7003710.2712266045</v>
      </c>
      <c r="N27" s="70">
        <f t="shared" si="30"/>
        <v>700371027122.6604</v>
      </c>
      <c r="O27" s="70">
        <f>(PI()*D27^2*C27)*0.9144^3</f>
        <v>700371.02712266042</v>
      </c>
      <c r="P27" s="71">
        <f t="shared" si="31"/>
        <v>700371027.1226604</v>
      </c>
      <c r="Q27" s="115">
        <f t="shared" si="32"/>
        <v>1463763011.9578114</v>
      </c>
      <c r="R27" s="72">
        <f t="shared" si="33"/>
        <v>21346543924.384754</v>
      </c>
      <c r="S27" s="72">
        <f t="shared" si="34"/>
        <v>663951.73371228203</v>
      </c>
      <c r="T27" s="72">
        <f>O27*F27</f>
        <v>663951733.71228206</v>
      </c>
      <c r="U27" s="116">
        <f t="shared" si="35"/>
        <v>663951733712.2821</v>
      </c>
      <c r="V27" s="81">
        <f t="shared" si="36"/>
        <v>441.98058464438674</v>
      </c>
      <c r="W27" s="73">
        <f t="shared" si="37"/>
        <v>10.921578096963195</v>
      </c>
      <c r="X27" s="73">
        <f t="shared" si="38"/>
        <v>441980584.64438677</v>
      </c>
      <c r="Y27" s="73">
        <f t="shared" si="39"/>
        <v>4419805.8464438673</v>
      </c>
      <c r="Z27" s="73">
        <f t="shared" si="40"/>
        <v>4.4198058464438672</v>
      </c>
      <c r="AA27" s="73">
        <f>(2*PI()*D27*(D27+C27))*0.9144^2</f>
        <v>44198.058464438676</v>
      </c>
      <c r="AB27" s="73">
        <f t="shared" si="41"/>
        <v>44198058464.438675</v>
      </c>
      <c r="AC27" s="73">
        <f t="shared" si="42"/>
        <v>475743.94190371677</v>
      </c>
      <c r="AD27" s="81">
        <f t="shared" si="43"/>
        <v>68507127.634135216</v>
      </c>
      <c r="AE27" s="167">
        <v>47</v>
      </c>
      <c r="AF27" s="217">
        <v>70037102712</v>
      </c>
      <c r="AG27" s="70">
        <v>7003710271</v>
      </c>
      <c r="AH27" s="70">
        <v>7003710</v>
      </c>
      <c r="AI27" s="70">
        <v>700371027123</v>
      </c>
      <c r="AJ27" s="70">
        <v>700371</v>
      </c>
      <c r="AK27" s="71">
        <v>700371027</v>
      </c>
      <c r="AL27" s="115">
        <v>1463763012</v>
      </c>
      <c r="AM27" s="72">
        <v>21346543924</v>
      </c>
      <c r="AN27" s="72">
        <v>663952</v>
      </c>
      <c r="AO27" s="72">
        <v>663951734</v>
      </c>
      <c r="AP27" s="116">
        <v>663951733712</v>
      </c>
      <c r="AQ27" s="123">
        <v>441.98099999999999</v>
      </c>
      <c r="AR27" s="123">
        <v>10.9216</v>
      </c>
      <c r="AS27" s="73">
        <v>441980585</v>
      </c>
      <c r="AT27" s="73">
        <v>4419806</v>
      </c>
      <c r="AU27" s="73">
        <v>4.41981</v>
      </c>
      <c r="AV27" s="73">
        <v>44198.1</v>
      </c>
      <c r="AW27" s="73">
        <v>44198058464</v>
      </c>
      <c r="AX27" s="73">
        <v>475744</v>
      </c>
      <c r="AY27" s="218">
        <v>68507128</v>
      </c>
      <c r="AZ27" s="247">
        <f t="shared" si="44"/>
        <v>0</v>
      </c>
      <c r="BA27" s="41">
        <f t="shared" si="45"/>
        <v>3.7985150299213448E-12</v>
      </c>
      <c r="BB27" s="42">
        <f t="shared" si="45"/>
        <v>3.2354916593406593E-11</v>
      </c>
      <c r="BC27" s="42">
        <f t="shared" si="45"/>
        <v>3.8726131431136267E-8</v>
      </c>
      <c r="BD27" s="42">
        <f t="shared" si="45"/>
        <v>-4.8488529111516739E-13</v>
      </c>
      <c r="BE27" s="42">
        <f t="shared" si="45"/>
        <v>3.8726131397892368E-8</v>
      </c>
      <c r="BF27" s="43">
        <f t="shared" si="45"/>
        <v>1.7513631165926869E-10</v>
      </c>
      <c r="BG27" s="107">
        <f t="shared" si="46"/>
        <v>-2.8822045689453213E-11</v>
      </c>
      <c r="BH27" s="44">
        <f t="shared" si="47"/>
        <v>1.8024190813796686E-11</v>
      </c>
      <c r="BI27" s="44">
        <f t="shared" si="47"/>
        <v>-4.0106487331444945E-7</v>
      </c>
      <c r="BJ27" s="44">
        <f t="shared" si="47"/>
        <v>-4.3334164791538433E-10</v>
      </c>
      <c r="BK27" s="108">
        <f t="shared" si="47"/>
        <v>4.2488704805423041E-13</v>
      </c>
      <c r="BL27" s="43">
        <f t="shared" si="47"/>
        <v>-9.397598620551236E-7</v>
      </c>
      <c r="BM27" s="42">
        <f t="shared" si="47"/>
        <v>-2.0054827800760757E-6</v>
      </c>
      <c r="BN27" s="42">
        <f t="shared" si="47"/>
        <v>-8.0459016530117142E-10</v>
      </c>
      <c r="BO27" s="42">
        <f t="shared" si="47"/>
        <v>-3.4742732605023395E-8</v>
      </c>
      <c r="BP27" s="42">
        <f t="shared" si="47"/>
        <v>-9.3975986211139084E-7</v>
      </c>
      <c r="BQ27" s="42">
        <f t="shared" si="47"/>
        <v>-9.397598619779571E-7</v>
      </c>
      <c r="BR27" s="42">
        <f t="shared" si="47"/>
        <v>9.9252080747113822E-12</v>
      </c>
      <c r="BS27" s="42">
        <f t="shared" si="47"/>
        <v>-1.221167063092517E-7</v>
      </c>
      <c r="BT27" s="45">
        <f t="shared" si="47"/>
        <v>-5.3405360312197144E-9</v>
      </c>
    </row>
    <row r="28" spans="2:72" ht="15.75" thickBot="1" x14ac:dyDescent="0.3">
      <c r="B28" s="88">
        <v>17</v>
      </c>
      <c r="C28" s="95">
        <v>44</v>
      </c>
      <c r="D28" s="201">
        <f t="shared" si="25"/>
        <v>8.5</v>
      </c>
      <c r="E28" s="98" t="s">
        <v>43</v>
      </c>
      <c r="F28" s="63"/>
      <c r="G28" s="60"/>
      <c r="H28" s="60"/>
      <c r="I28" s="179">
        <v>945</v>
      </c>
      <c r="J28" s="168">
        <f t="shared" si="26"/>
        <v>8.5</v>
      </c>
      <c r="K28" s="79">
        <f t="shared" si="27"/>
        <v>9.9871230457619524E-10</v>
      </c>
      <c r="L28" s="74">
        <f t="shared" si="28"/>
        <v>9.9871230457619527E-11</v>
      </c>
      <c r="M28" s="74">
        <f t="shared" si="29"/>
        <v>9.9871230457619525E-14</v>
      </c>
      <c r="N28" s="74">
        <f t="shared" si="30"/>
        <v>9.9871230457619524E-9</v>
      </c>
      <c r="O28" s="74">
        <f>(PI()*D28^2*C28)/1000000^3</f>
        <v>9.9871230457619528E-15</v>
      </c>
      <c r="P28" s="75">
        <f t="shared" si="31"/>
        <v>9.9871230457619524E-12</v>
      </c>
      <c r="Q28" s="117">
        <f t="shared" si="32"/>
        <v>2.0806856337210972E-8</v>
      </c>
      <c r="R28" s="76">
        <f t="shared" si="33"/>
        <v>3.0343332158432667E-7</v>
      </c>
      <c r="S28" s="76">
        <f t="shared" si="34"/>
        <v>9.4378312782450452E-12</v>
      </c>
      <c r="T28" s="76">
        <f>O28*1000*I28</f>
        <v>9.4378312782450447E-9</v>
      </c>
      <c r="U28" s="118">
        <f t="shared" si="35"/>
        <v>9.4378312782450439E-6</v>
      </c>
      <c r="V28" s="82">
        <f t="shared" si="36"/>
        <v>2.8038714433288907E-11</v>
      </c>
      <c r="W28" s="77">
        <f t="shared" si="37"/>
        <v>6.9285172258867694E-13</v>
      </c>
      <c r="X28" s="77">
        <f t="shared" si="38"/>
        <v>2.8038714433288908E-5</v>
      </c>
      <c r="Y28" s="77">
        <f t="shared" si="39"/>
        <v>2.8038714433288908E-7</v>
      </c>
      <c r="Z28" s="77">
        <f t="shared" si="40"/>
        <v>2.8038714433288909E-13</v>
      </c>
      <c r="AA28" s="204">
        <f>(2*PI()*D28*(D28+C28))/1000000^2</f>
        <v>2.8038714433288907E-9</v>
      </c>
      <c r="AB28" s="77">
        <f t="shared" si="41"/>
        <v>2.8038714433288908E-3</v>
      </c>
      <c r="AC28" s="77">
        <f t="shared" si="42"/>
        <v>3.0180621035962775E-8</v>
      </c>
      <c r="AD28" s="82">
        <f t="shared" si="43"/>
        <v>4.346009429178639E-6</v>
      </c>
      <c r="AE28" s="168">
        <v>8.5</v>
      </c>
      <c r="AF28" s="219">
        <v>9.9871230457619503E-10</v>
      </c>
      <c r="AG28" s="74">
        <v>9.9871230457619501E-11</v>
      </c>
      <c r="AH28" s="74">
        <v>9.9871230457619499E-14</v>
      </c>
      <c r="AI28" s="74">
        <v>9.9871230457619508E-9</v>
      </c>
      <c r="AJ28" s="74">
        <v>9.9871230457619496E-15</v>
      </c>
      <c r="AK28" s="75">
        <v>9.9871230457619507E-12</v>
      </c>
      <c r="AL28" s="117">
        <v>2.0806856337210999E-8</v>
      </c>
      <c r="AM28" s="76">
        <v>3.0343332158432699E-7</v>
      </c>
      <c r="AN28" s="76">
        <v>9.4378312782450404E-12</v>
      </c>
      <c r="AO28" s="76">
        <v>9.4378312782450397E-9</v>
      </c>
      <c r="AP28" s="118">
        <v>9.4378312782450405E-6</v>
      </c>
      <c r="AQ28" s="125">
        <v>2.80387144332889E-11</v>
      </c>
      <c r="AR28" s="125">
        <v>6.9285172258867704E-13</v>
      </c>
      <c r="AS28" s="77">
        <v>2.8038714433288901E-5</v>
      </c>
      <c r="AT28" s="77">
        <v>2.8038714433288898E-7</v>
      </c>
      <c r="AU28" s="77">
        <v>2.8038714433288899E-13</v>
      </c>
      <c r="AV28" s="77">
        <v>2.8038714433288899E-9</v>
      </c>
      <c r="AW28" s="77">
        <v>2.80387E-3</v>
      </c>
      <c r="AX28" s="77">
        <v>3.0180621035962801E-8</v>
      </c>
      <c r="AY28" s="220">
        <v>4.3460094291786399E-6</v>
      </c>
      <c r="AZ28" s="248">
        <f t="shared" si="44"/>
        <v>0</v>
      </c>
      <c r="BA28" s="46">
        <f t="shared" si="45"/>
        <v>2.0706178565208596E-16</v>
      </c>
      <c r="BB28" s="47">
        <f t="shared" si="45"/>
        <v>2.5882723206510745E-16</v>
      </c>
      <c r="BC28" s="47">
        <f t="shared" si="45"/>
        <v>2.5276096881358146E-16</v>
      </c>
      <c r="BD28" s="47">
        <f t="shared" si="45"/>
        <v>1.6564942852166877E-16</v>
      </c>
      <c r="BE28" s="47">
        <f t="shared" si="45"/>
        <v>3.1595121101697686E-16</v>
      </c>
      <c r="BF28" s="48">
        <f t="shared" si="45"/>
        <v>1.6176702004069214E-16</v>
      </c>
      <c r="BG28" s="109">
        <f t="shared" si="46"/>
        <v>-1.2721662115943169E-15</v>
      </c>
      <c r="BH28" s="49">
        <f t="shared" si="47"/>
        <v>-1.046811054111895E-15</v>
      </c>
      <c r="BI28" s="49">
        <f t="shared" si="47"/>
        <v>5.1354609536727662E-16</v>
      </c>
      <c r="BJ28" s="49">
        <f t="shared" si="47"/>
        <v>5.2587120165609128E-16</v>
      </c>
      <c r="BK28" s="110">
        <f t="shared" si="47"/>
        <v>3.5899474033055838E-16</v>
      </c>
      <c r="BL28" s="48">
        <f t="shared" si="47"/>
        <v>2.3047948760083372E-16</v>
      </c>
      <c r="BM28" s="47">
        <f t="shared" si="47"/>
        <v>-1.4573709291076489E-16</v>
      </c>
      <c r="BN28" s="47">
        <f t="shared" si="47"/>
        <v>2.4167525919053186E-16</v>
      </c>
      <c r="BO28" s="47">
        <f t="shared" si="47"/>
        <v>3.77617592485206E-16</v>
      </c>
      <c r="BP28" s="47">
        <f t="shared" si="47"/>
        <v>3.6012419937630271E-16</v>
      </c>
      <c r="BQ28" s="47">
        <f t="shared" si="47"/>
        <v>2.9501374412906719E-16</v>
      </c>
      <c r="BR28" s="47">
        <f t="shared" si="47"/>
        <v>5.1476286271977524E-7</v>
      </c>
      <c r="BS28" s="47">
        <f t="shared" si="47"/>
        <v>-8.770455574839197E-16</v>
      </c>
      <c r="BT28" s="50">
        <f t="shared" si="47"/>
        <v>-1.948990127742044E-16</v>
      </c>
    </row>
    <row r="29" spans="2:72" ht="15.75" thickTop="1" x14ac:dyDescent="0.25"/>
    <row r="31" spans="2:72" x14ac:dyDescent="0.25">
      <c r="B31" s="317" t="s">
        <v>14</v>
      </c>
      <c r="C31" s="318"/>
      <c r="D31" s="349" t="s">
        <v>15</v>
      </c>
      <c r="E31" s="318"/>
      <c r="F31" s="350"/>
      <c r="H31" s="207"/>
      <c r="I31" s="206"/>
      <c r="J31" s="208"/>
      <c r="K31" s="206"/>
    </row>
    <row r="32" spans="2:72" x14ac:dyDescent="0.25">
      <c r="B32" s="264"/>
      <c r="C32" s="265" t="s">
        <v>16</v>
      </c>
      <c r="D32" s="351">
        <v>41031</v>
      </c>
      <c r="E32" s="352"/>
      <c r="F32" s="353"/>
      <c r="H32" s="206"/>
      <c r="I32" s="207"/>
      <c r="J32" s="205"/>
      <c r="K32" s="206"/>
    </row>
  </sheetData>
  <mergeCells count="47">
    <mergeCell ref="B3:E3"/>
    <mergeCell ref="F3:I3"/>
    <mergeCell ref="B4:E4"/>
    <mergeCell ref="F4:I5"/>
    <mergeCell ref="D5:D6"/>
    <mergeCell ref="BG4:BK5"/>
    <mergeCell ref="BL4:BT5"/>
    <mergeCell ref="B5:B6"/>
    <mergeCell ref="C5:C6"/>
    <mergeCell ref="E5:E6"/>
    <mergeCell ref="Q4:U5"/>
    <mergeCell ref="V4:AD5"/>
    <mergeCell ref="AF4:AK5"/>
    <mergeCell ref="AL4:AP5"/>
    <mergeCell ref="AQ4:AY5"/>
    <mergeCell ref="BA4:BF5"/>
    <mergeCell ref="K4:P5"/>
    <mergeCell ref="J5:J6"/>
    <mergeCell ref="AE5:AE6"/>
    <mergeCell ref="AZ5:AZ6"/>
    <mergeCell ref="BG18:BK19"/>
    <mergeCell ref="Q18:U19"/>
    <mergeCell ref="AE19:AE20"/>
    <mergeCell ref="AZ19:AZ20"/>
    <mergeCell ref="B17:E17"/>
    <mergeCell ref="F17:I17"/>
    <mergeCell ref="B18:E18"/>
    <mergeCell ref="F18:I19"/>
    <mergeCell ref="K18:P19"/>
    <mergeCell ref="J19:J20"/>
    <mergeCell ref="D19:D20"/>
    <mergeCell ref="D32:F32"/>
    <mergeCell ref="J1:AD1"/>
    <mergeCell ref="AE1:AY1"/>
    <mergeCell ref="AZ1:BT1"/>
    <mergeCell ref="B1:I1"/>
    <mergeCell ref="D31:F31"/>
    <mergeCell ref="B31:C31"/>
    <mergeCell ref="BL18:BT19"/>
    <mergeCell ref="B19:B20"/>
    <mergeCell ref="C19:C20"/>
    <mergeCell ref="E19:E20"/>
    <mergeCell ref="V18:AD19"/>
    <mergeCell ref="AF18:AK19"/>
    <mergeCell ref="AL18:AP19"/>
    <mergeCell ref="AQ18:AY19"/>
    <mergeCell ref="BA18:BF19"/>
  </mergeCells>
  <conditionalFormatting sqref="AZ7:BT14 AZ21:BT28">
    <cfRule type="cellIs" dxfId="0" priority="6" operator="notBetween">
      <formula>0.0001</formula>
      <formula>-0.0001</formula>
    </cfRule>
  </conditionalFormatting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Y46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.7109375" customWidth="1"/>
    <col min="2" max="2" width="16.5703125" customWidth="1"/>
    <col min="3" max="3" width="6.140625" bestFit="1" customWidth="1"/>
    <col min="4" max="4" width="11.5703125" customWidth="1"/>
    <col min="5" max="5" width="11.7109375" customWidth="1"/>
    <col min="7" max="7" width="7" customWidth="1"/>
    <col min="8" max="11" width="9.140625" customWidth="1"/>
    <col min="12" max="12" width="11.28515625" customWidth="1"/>
    <col min="13" max="13" width="11.5703125" customWidth="1"/>
    <col min="14" max="33" width="12" bestFit="1" customWidth="1"/>
    <col min="34" max="34" width="13.5703125" customWidth="1"/>
    <col min="35" max="35" width="11.7109375" customWidth="1"/>
    <col min="36" max="55" width="12" bestFit="1" customWidth="1"/>
    <col min="56" max="56" width="16.42578125" customWidth="1"/>
    <col min="57" max="57" width="17" customWidth="1"/>
    <col min="58" max="77" width="15" bestFit="1" customWidth="1"/>
  </cols>
  <sheetData>
    <row r="1" spans="2:77" s="262" customFormat="1" ht="21.95" customHeight="1" thickBot="1" x14ac:dyDescent="0.4">
      <c r="B1" s="319" t="s">
        <v>98</v>
      </c>
      <c r="C1" s="354"/>
      <c r="D1" s="354"/>
      <c r="E1" s="354"/>
      <c r="F1" s="354"/>
      <c r="G1" s="354"/>
      <c r="H1" s="354"/>
      <c r="I1" s="354"/>
      <c r="J1" s="354"/>
      <c r="K1" s="355"/>
      <c r="L1" s="319" t="s">
        <v>99</v>
      </c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5"/>
      <c r="AH1" s="319" t="s">
        <v>100</v>
      </c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354"/>
      <c r="BC1" s="355"/>
      <c r="BD1" s="319" t="s">
        <v>101</v>
      </c>
      <c r="BE1" s="354"/>
      <c r="BF1" s="354"/>
      <c r="BG1" s="354"/>
      <c r="BH1" s="354"/>
      <c r="BI1" s="354"/>
      <c r="BJ1" s="354"/>
      <c r="BK1" s="354"/>
      <c r="BL1" s="354"/>
      <c r="BM1" s="354"/>
      <c r="BN1" s="354"/>
      <c r="BO1" s="354"/>
      <c r="BP1" s="354"/>
      <c r="BQ1" s="354"/>
      <c r="BR1" s="354"/>
      <c r="BS1" s="354"/>
      <c r="BT1" s="354"/>
      <c r="BU1" s="354"/>
      <c r="BV1" s="354"/>
      <c r="BW1" s="354"/>
      <c r="BX1" s="354"/>
      <c r="BY1" s="355"/>
    </row>
    <row r="2" spans="2:77" ht="15" customHeight="1" thickBot="1" x14ac:dyDescent="0.3"/>
    <row r="3" spans="2:77" ht="30.75" customHeight="1" thickTop="1" thickBot="1" x14ac:dyDescent="0.3">
      <c r="B3" s="343" t="s">
        <v>46</v>
      </c>
      <c r="C3" s="356"/>
      <c r="D3" s="356"/>
      <c r="E3" s="356"/>
      <c r="F3" s="356"/>
      <c r="G3" s="357"/>
      <c r="H3" s="346" t="s">
        <v>51</v>
      </c>
      <c r="I3" s="360"/>
      <c r="J3" s="360"/>
      <c r="K3" s="361"/>
      <c r="L3" s="137"/>
      <c r="M3" s="137"/>
    </row>
    <row r="4" spans="2:77" ht="16.5" customHeight="1" thickTop="1" thickBot="1" x14ac:dyDescent="0.3">
      <c r="B4" s="337" t="s">
        <v>48</v>
      </c>
      <c r="C4" s="358"/>
      <c r="D4" s="358"/>
      <c r="E4" s="358"/>
      <c r="F4" s="358"/>
      <c r="G4" s="359"/>
      <c r="H4" s="311" t="s">
        <v>31</v>
      </c>
      <c r="I4" s="312"/>
      <c r="J4" s="312"/>
      <c r="K4" s="313"/>
      <c r="L4" s="364" t="s">
        <v>93</v>
      </c>
      <c r="M4" s="365"/>
      <c r="N4" s="340" t="s">
        <v>21</v>
      </c>
      <c r="O4" s="341"/>
      <c r="P4" s="341"/>
      <c r="Q4" s="341"/>
      <c r="R4" s="341"/>
      <c r="S4" s="341"/>
      <c r="T4" s="294" t="s">
        <v>22</v>
      </c>
      <c r="U4" s="295"/>
      <c r="V4" s="295"/>
      <c r="W4" s="295"/>
      <c r="X4" s="296"/>
      <c r="Y4" s="304" t="s">
        <v>44</v>
      </c>
      <c r="Z4" s="305"/>
      <c r="AA4" s="305"/>
      <c r="AB4" s="305"/>
      <c r="AC4" s="305"/>
      <c r="AD4" s="305"/>
      <c r="AE4" s="305"/>
      <c r="AF4" s="305"/>
      <c r="AG4" s="305"/>
      <c r="AH4" s="364" t="s">
        <v>93</v>
      </c>
      <c r="AI4" s="365"/>
      <c r="AJ4" s="340" t="s">
        <v>21</v>
      </c>
      <c r="AK4" s="301"/>
      <c r="AL4" s="301"/>
      <c r="AM4" s="301"/>
      <c r="AN4" s="301"/>
      <c r="AO4" s="301"/>
      <c r="AP4" s="294" t="s">
        <v>22</v>
      </c>
      <c r="AQ4" s="295"/>
      <c r="AR4" s="295"/>
      <c r="AS4" s="295"/>
      <c r="AT4" s="296"/>
      <c r="AU4" s="304" t="s">
        <v>45</v>
      </c>
      <c r="AV4" s="305"/>
      <c r="AW4" s="305"/>
      <c r="AX4" s="305"/>
      <c r="AY4" s="305"/>
      <c r="AZ4" s="305"/>
      <c r="BA4" s="305"/>
      <c r="BB4" s="305"/>
      <c r="BC4" s="306"/>
      <c r="BD4" s="385" t="s">
        <v>93</v>
      </c>
      <c r="BE4" s="386"/>
      <c r="BF4" s="328" t="s">
        <v>21</v>
      </c>
      <c r="BG4" s="323"/>
      <c r="BH4" s="323"/>
      <c r="BI4" s="323"/>
      <c r="BJ4" s="323"/>
      <c r="BK4" s="323"/>
      <c r="BL4" s="322" t="s">
        <v>22</v>
      </c>
      <c r="BM4" s="323"/>
      <c r="BN4" s="323"/>
      <c r="BO4" s="323"/>
      <c r="BP4" s="324"/>
      <c r="BQ4" s="328" t="s">
        <v>45</v>
      </c>
      <c r="BR4" s="323"/>
      <c r="BS4" s="323"/>
      <c r="BT4" s="323"/>
      <c r="BU4" s="323"/>
      <c r="BV4" s="323"/>
      <c r="BW4" s="323"/>
      <c r="BX4" s="323"/>
      <c r="BY4" s="329"/>
    </row>
    <row r="5" spans="2:77" s="18" customFormat="1" ht="15" customHeight="1" thickBot="1" x14ac:dyDescent="0.3">
      <c r="B5" s="377" t="s">
        <v>0</v>
      </c>
      <c r="C5" s="379" t="s">
        <v>20</v>
      </c>
      <c r="D5" s="371" t="s">
        <v>91</v>
      </c>
      <c r="E5" s="375" t="s">
        <v>92</v>
      </c>
      <c r="F5" s="373" t="s">
        <v>1</v>
      </c>
      <c r="G5" s="381" t="s">
        <v>84</v>
      </c>
      <c r="H5" s="314"/>
      <c r="I5" s="315"/>
      <c r="J5" s="315"/>
      <c r="K5" s="316"/>
      <c r="L5" s="366" t="s">
        <v>91</v>
      </c>
      <c r="M5" s="368" t="s">
        <v>92</v>
      </c>
      <c r="N5" s="342"/>
      <c r="O5" s="342"/>
      <c r="P5" s="342"/>
      <c r="Q5" s="342"/>
      <c r="R5" s="342"/>
      <c r="S5" s="342"/>
      <c r="T5" s="297"/>
      <c r="U5" s="298"/>
      <c r="V5" s="298"/>
      <c r="W5" s="298"/>
      <c r="X5" s="299"/>
      <c r="Y5" s="307"/>
      <c r="Z5" s="307"/>
      <c r="AA5" s="307"/>
      <c r="AB5" s="307"/>
      <c r="AC5" s="307"/>
      <c r="AD5" s="307"/>
      <c r="AE5" s="307"/>
      <c r="AF5" s="307"/>
      <c r="AG5" s="307"/>
      <c r="AH5" s="366" t="s">
        <v>91</v>
      </c>
      <c r="AI5" s="368" t="s">
        <v>92</v>
      </c>
      <c r="AJ5" s="303"/>
      <c r="AK5" s="303"/>
      <c r="AL5" s="303"/>
      <c r="AM5" s="303"/>
      <c r="AN5" s="303"/>
      <c r="AO5" s="303"/>
      <c r="AP5" s="297"/>
      <c r="AQ5" s="298"/>
      <c r="AR5" s="298"/>
      <c r="AS5" s="298"/>
      <c r="AT5" s="299"/>
      <c r="AU5" s="307"/>
      <c r="AV5" s="307"/>
      <c r="AW5" s="307"/>
      <c r="AX5" s="307"/>
      <c r="AY5" s="307"/>
      <c r="AZ5" s="307"/>
      <c r="BA5" s="307"/>
      <c r="BB5" s="307"/>
      <c r="BC5" s="308"/>
      <c r="BD5" s="387" t="s">
        <v>91</v>
      </c>
      <c r="BE5" s="383" t="s">
        <v>92</v>
      </c>
      <c r="BF5" s="326"/>
      <c r="BG5" s="326"/>
      <c r="BH5" s="326"/>
      <c r="BI5" s="326"/>
      <c r="BJ5" s="326"/>
      <c r="BK5" s="326"/>
      <c r="BL5" s="325"/>
      <c r="BM5" s="326"/>
      <c r="BN5" s="326"/>
      <c r="BO5" s="326"/>
      <c r="BP5" s="327"/>
      <c r="BQ5" s="326"/>
      <c r="BR5" s="326"/>
      <c r="BS5" s="326"/>
      <c r="BT5" s="326"/>
      <c r="BU5" s="326"/>
      <c r="BV5" s="326"/>
      <c r="BW5" s="326"/>
      <c r="BX5" s="326"/>
      <c r="BY5" s="330"/>
    </row>
    <row r="6" spans="2:77" s="18" customFormat="1" ht="18" thickBot="1" x14ac:dyDescent="0.3">
      <c r="B6" s="378"/>
      <c r="C6" s="380"/>
      <c r="D6" s="372"/>
      <c r="E6" s="376"/>
      <c r="F6" s="374"/>
      <c r="G6" s="382"/>
      <c r="H6" s="19" t="s">
        <v>29</v>
      </c>
      <c r="I6" s="20" t="s">
        <v>28</v>
      </c>
      <c r="J6" s="20" t="s">
        <v>30</v>
      </c>
      <c r="K6" s="21" t="s">
        <v>27</v>
      </c>
      <c r="L6" s="367"/>
      <c r="M6" s="369"/>
      <c r="N6" s="29" t="s">
        <v>32</v>
      </c>
      <c r="O6" s="24" t="s">
        <v>34</v>
      </c>
      <c r="P6" s="24" t="s">
        <v>33</v>
      </c>
      <c r="Q6" s="24" t="s">
        <v>35</v>
      </c>
      <c r="R6" s="24" t="s">
        <v>37</v>
      </c>
      <c r="S6" s="30" t="s">
        <v>36</v>
      </c>
      <c r="T6" s="111" t="s">
        <v>38</v>
      </c>
      <c r="U6" s="22" t="s">
        <v>39</v>
      </c>
      <c r="V6" s="22" t="s">
        <v>40</v>
      </c>
      <c r="W6" s="22" t="s">
        <v>41</v>
      </c>
      <c r="X6" s="112" t="s">
        <v>42</v>
      </c>
      <c r="Y6" s="25" t="s">
        <v>11</v>
      </c>
      <c r="Z6" s="23" t="s">
        <v>13</v>
      </c>
      <c r="AA6" s="23" t="s">
        <v>23</v>
      </c>
      <c r="AB6" s="23" t="s">
        <v>24</v>
      </c>
      <c r="AC6" s="23" t="s">
        <v>12</v>
      </c>
      <c r="AD6" s="23" t="s">
        <v>25</v>
      </c>
      <c r="AE6" s="23" t="s">
        <v>26</v>
      </c>
      <c r="AF6" s="23" t="s">
        <v>10</v>
      </c>
      <c r="AG6" s="25" t="s">
        <v>9</v>
      </c>
      <c r="AH6" s="367"/>
      <c r="AI6" s="369"/>
      <c r="AJ6" s="29" t="s">
        <v>32</v>
      </c>
      <c r="AK6" s="24" t="s">
        <v>34</v>
      </c>
      <c r="AL6" s="24" t="s">
        <v>33</v>
      </c>
      <c r="AM6" s="24" t="s">
        <v>35</v>
      </c>
      <c r="AN6" s="24" t="s">
        <v>37</v>
      </c>
      <c r="AO6" s="30" t="s">
        <v>36</v>
      </c>
      <c r="AP6" s="111" t="s">
        <v>38</v>
      </c>
      <c r="AQ6" s="22" t="s">
        <v>39</v>
      </c>
      <c r="AR6" s="22" t="s">
        <v>40</v>
      </c>
      <c r="AS6" s="22" t="s">
        <v>41</v>
      </c>
      <c r="AT6" s="112" t="s">
        <v>42</v>
      </c>
      <c r="AU6" s="26" t="s">
        <v>11</v>
      </c>
      <c r="AV6" s="27" t="s">
        <v>13</v>
      </c>
      <c r="AW6" s="27" t="s">
        <v>23</v>
      </c>
      <c r="AX6" s="27" t="s">
        <v>24</v>
      </c>
      <c r="AY6" s="27" t="s">
        <v>12</v>
      </c>
      <c r="AZ6" s="27" t="s">
        <v>25</v>
      </c>
      <c r="BA6" s="27" t="s">
        <v>26</v>
      </c>
      <c r="BB6" s="27" t="s">
        <v>10</v>
      </c>
      <c r="BC6" s="120" t="s">
        <v>9</v>
      </c>
      <c r="BD6" s="388"/>
      <c r="BE6" s="384"/>
      <c r="BF6" s="34" t="s">
        <v>32</v>
      </c>
      <c r="BG6" s="33" t="s">
        <v>34</v>
      </c>
      <c r="BH6" s="33" t="s">
        <v>33</v>
      </c>
      <c r="BI6" s="33" t="s">
        <v>35</v>
      </c>
      <c r="BJ6" s="33" t="s">
        <v>37</v>
      </c>
      <c r="BK6" s="34" t="s">
        <v>36</v>
      </c>
      <c r="BL6" s="103" t="s">
        <v>38</v>
      </c>
      <c r="BM6" s="33" t="s">
        <v>39</v>
      </c>
      <c r="BN6" s="33" t="s">
        <v>40</v>
      </c>
      <c r="BO6" s="33" t="s">
        <v>41</v>
      </c>
      <c r="BP6" s="104" t="s">
        <v>42</v>
      </c>
      <c r="BQ6" s="34" t="s">
        <v>11</v>
      </c>
      <c r="BR6" s="33" t="s">
        <v>13</v>
      </c>
      <c r="BS6" s="33" t="s">
        <v>23</v>
      </c>
      <c r="BT6" s="33" t="s">
        <v>24</v>
      </c>
      <c r="BU6" s="33" t="s">
        <v>12</v>
      </c>
      <c r="BV6" s="33" t="s">
        <v>25</v>
      </c>
      <c r="BW6" s="33" t="s">
        <v>26</v>
      </c>
      <c r="BX6" s="33" t="s">
        <v>10</v>
      </c>
      <c r="BY6" s="35" t="s">
        <v>9</v>
      </c>
    </row>
    <row r="7" spans="2:77" x14ac:dyDescent="0.25">
      <c r="B7" s="84">
        <v>13</v>
      </c>
      <c r="C7" s="92">
        <v>80</v>
      </c>
      <c r="D7" s="154">
        <f t="shared" ref="D7:D14" si="0">((B7)/(2*SIN(((2*PI())/G7)/2)))</f>
        <v>25.114071483515779</v>
      </c>
      <c r="E7" s="132">
        <f t="shared" ref="E7:E14" si="1">D7*COS(((2*PI())/G7)/2)</f>
        <v>24.258330249197709</v>
      </c>
      <c r="F7" s="155" t="s">
        <v>2</v>
      </c>
      <c r="G7" s="129">
        <v>12</v>
      </c>
      <c r="H7" s="10">
        <v>667</v>
      </c>
      <c r="I7" s="53"/>
      <c r="J7" s="53"/>
      <c r="K7" s="54"/>
      <c r="L7" s="143">
        <f t="shared" ref="L7:L14" si="2">((B7)/(2*SIN(((2*PI())/G7)/2)))</f>
        <v>25.114071483515779</v>
      </c>
      <c r="M7" s="185">
        <f t="shared" ref="M7:M14" si="3">((B7)/(2*SIN(((2*PI())/G7)/2)))*COS(((2*PI())/G7)/2)</f>
        <v>24.258330249197709</v>
      </c>
      <c r="N7" s="78">
        <f>R7*100000</f>
        <v>15137.198075499373</v>
      </c>
      <c r="O7" s="65">
        <f>R7*10000</f>
        <v>1513.7198075499373</v>
      </c>
      <c r="P7" s="65">
        <f>R7*10</f>
        <v>1.5137198075499372</v>
      </c>
      <c r="Q7" s="65">
        <f>R7*1000000</f>
        <v>151371.98075499371</v>
      </c>
      <c r="R7" s="65">
        <f>(((B7*G7*C7*E7)/2))/100^3</f>
        <v>0.15137198075499372</v>
      </c>
      <c r="S7" s="138">
        <f>R7*1000</f>
        <v>151.37198075499373</v>
      </c>
      <c r="T7" s="113">
        <f>W7/0.45359237</f>
        <v>222.58996808870663</v>
      </c>
      <c r="U7" s="67">
        <f>W7*1000/31.1034768</f>
        <v>3246.1037012936386</v>
      </c>
      <c r="V7" s="67">
        <f>W7/1000</f>
        <v>0.10096511116358081</v>
      </c>
      <c r="W7" s="67">
        <f>R7*H7</f>
        <v>100.96511116358081</v>
      </c>
      <c r="X7" s="114">
        <f>W7*1000</f>
        <v>100965.11116358082</v>
      </c>
      <c r="Y7" s="80">
        <f>AD7/100</f>
        <v>1.6264299518874842E-2</v>
      </c>
      <c r="Z7" s="68">
        <f>AD7/4046.8564224</f>
        <v>4.0189959369078018E-4</v>
      </c>
      <c r="AA7" s="68">
        <f>AD7*10000</f>
        <v>16264.299518874843</v>
      </c>
      <c r="AB7" s="68">
        <f>AD7*100</f>
        <v>162.64299518874844</v>
      </c>
      <c r="AC7" s="68">
        <f>AD7/10000</f>
        <v>1.6264299518874842E-4</v>
      </c>
      <c r="AD7" s="68">
        <f>((B7*G7*C7)+(B7*G7*E7))/100^2</f>
        <v>1.6264299518874843</v>
      </c>
      <c r="AE7" s="68">
        <f>AD7*1000000</f>
        <v>1626429.9518874844</v>
      </c>
      <c r="AF7" s="68">
        <f>AD7/144*10000/(2.54*2.54)</f>
        <v>17.506746301170384</v>
      </c>
      <c r="AG7" s="80">
        <f>AD7*10000/(2.54 *2.54)</f>
        <v>2520.9714673685353</v>
      </c>
      <c r="AH7" s="143">
        <v>25.114000000000001</v>
      </c>
      <c r="AI7" s="185">
        <v>24.257999999999999</v>
      </c>
      <c r="AJ7" s="78">
        <v>15137.2</v>
      </c>
      <c r="AK7" s="65">
        <v>1513.72</v>
      </c>
      <c r="AL7" s="65">
        <v>1.51372</v>
      </c>
      <c r="AM7" s="65">
        <v>151372</v>
      </c>
      <c r="AN7" s="65">
        <v>0.15137200000000001</v>
      </c>
      <c r="AO7" s="66">
        <v>151.37200000000001</v>
      </c>
      <c r="AP7" s="113">
        <v>222.59</v>
      </c>
      <c r="AQ7" s="67">
        <v>3246.1</v>
      </c>
      <c r="AR7" s="67">
        <v>0.100965</v>
      </c>
      <c r="AS7" s="67">
        <v>100.965</v>
      </c>
      <c r="AT7" s="114">
        <v>100965</v>
      </c>
      <c r="AU7" s="121">
        <v>1.6264299999999999E-2</v>
      </c>
      <c r="AV7" s="121">
        <v>4.0190000000000001E-4</v>
      </c>
      <c r="AW7" s="68">
        <v>16264.3</v>
      </c>
      <c r="AX7" s="68">
        <v>162.643</v>
      </c>
      <c r="AY7" s="68">
        <v>1.6264299999999999E-4</v>
      </c>
      <c r="AZ7" s="68">
        <v>1.62643</v>
      </c>
      <c r="BA7" s="68">
        <v>1626430</v>
      </c>
      <c r="BB7" s="68">
        <v>17.506699999999999</v>
      </c>
      <c r="BC7" s="122">
        <v>2520.9699999999998</v>
      </c>
      <c r="BD7" s="249">
        <f t="shared" ref="BD7:BY7" si="4">(L7-AH7)/L7</f>
        <v>2.8463531222167921E-6</v>
      </c>
      <c r="BE7" s="250">
        <f t="shared" si="4"/>
        <v>1.3613847050352626E-5</v>
      </c>
      <c r="BF7" s="38">
        <f t="shared" si="4"/>
        <v>-1.2713717679232464E-7</v>
      </c>
      <c r="BG7" s="37">
        <f t="shared" si="4"/>
        <v>-1.2713717676228292E-7</v>
      </c>
      <c r="BH7" s="37">
        <f t="shared" si="4"/>
        <v>-1.271371767845795E-7</v>
      </c>
      <c r="BI7" s="37">
        <f t="shared" si="4"/>
        <v>-1.2713717686442474E-7</v>
      </c>
      <c r="BJ7" s="37">
        <f t="shared" si="4"/>
        <v>-1.2713717682125153E-7</v>
      </c>
      <c r="BK7" s="38">
        <f t="shared" si="4"/>
        <v>-1.2713717683738719E-7</v>
      </c>
      <c r="BL7" s="105">
        <f t="shared" si="4"/>
        <v>-1.4336357406697945E-7</v>
      </c>
      <c r="BM7" s="39">
        <f t="shared" si="4"/>
        <v>1.1402265544279313E-6</v>
      </c>
      <c r="BN7" s="39">
        <f t="shared" si="4"/>
        <v>1.1010098392556747E-6</v>
      </c>
      <c r="BO7" s="39">
        <f t="shared" si="4"/>
        <v>1.1010098392446785E-6</v>
      </c>
      <c r="BP7" s="106">
        <f t="shared" si="4"/>
        <v>1.1010098393212465E-6</v>
      </c>
      <c r="BQ7" s="38">
        <f t="shared" si="4"/>
        <v>-2.9581670979276949E-8</v>
      </c>
      <c r="BR7" s="37">
        <f t="shared" si="4"/>
        <v>-1.0109719596855664E-6</v>
      </c>
      <c r="BS7" s="37">
        <f t="shared" si="4"/>
        <v>-2.958167094458653E-8</v>
      </c>
      <c r="BT7" s="37">
        <f t="shared" si="4"/>
        <v>-2.9581670895656795E-8</v>
      </c>
      <c r="BU7" s="37">
        <f t="shared" si="4"/>
        <v>-2.9581671012607686E-8</v>
      </c>
      <c r="BV7" s="37">
        <f t="shared" si="4"/>
        <v>-2.9581671004874953E-8</v>
      </c>
      <c r="BW7" s="37">
        <f t="shared" si="4"/>
        <v>-2.9581670908797922E-8</v>
      </c>
      <c r="BX7" s="37">
        <f t="shared" si="4"/>
        <v>2.6447616015682198E-6</v>
      </c>
      <c r="BY7" s="40">
        <f t="shared" si="4"/>
        <v>5.8206471373440023E-7</v>
      </c>
    </row>
    <row r="8" spans="2:77" x14ac:dyDescent="0.25">
      <c r="B8" s="86">
        <v>55</v>
      </c>
      <c r="C8" s="93">
        <v>7</v>
      </c>
      <c r="D8" s="152">
        <f t="shared" si="0"/>
        <v>55.000000000000007</v>
      </c>
      <c r="E8" s="133">
        <f t="shared" si="1"/>
        <v>47.631397208144136</v>
      </c>
      <c r="F8" s="156" t="s">
        <v>3</v>
      </c>
      <c r="G8" s="130">
        <v>6</v>
      </c>
      <c r="H8" s="59"/>
      <c r="I8" s="4">
        <v>1333</v>
      </c>
      <c r="J8" s="58"/>
      <c r="K8" s="55"/>
      <c r="L8" s="144">
        <f t="shared" si="2"/>
        <v>55.000000000000007</v>
      </c>
      <c r="M8" s="186">
        <f t="shared" si="3"/>
        <v>47.631397208144136</v>
      </c>
      <c r="N8" s="69">
        <f t="shared" ref="N8:N14" si="5">R8*100000</f>
        <v>155783046.77000082</v>
      </c>
      <c r="O8" s="70">
        <f t="shared" ref="O8:O14" si="6">R8*10000</f>
        <v>15578304.677000083</v>
      </c>
      <c r="P8" s="70">
        <f t="shared" ref="P8:P14" si="7">R8*10</f>
        <v>15578.304677000084</v>
      </c>
      <c r="Q8" s="70">
        <f t="shared" ref="Q8:Q14" si="8">R8*1000000</f>
        <v>1557830467.7000084</v>
      </c>
      <c r="R8" s="70">
        <f>(((B8*G8*C8*E8)/2))*0.3048^3</f>
        <v>1557.8304677000083</v>
      </c>
      <c r="S8" s="139">
        <f t="shared" ref="S8:S14" si="9">R8*1000</f>
        <v>1557830.4677000083</v>
      </c>
      <c r="T8" s="115">
        <f t="shared" ref="T8:T14" si="10">W8/0.45359237</f>
        <v>4578092910.6988974</v>
      </c>
      <c r="U8" s="72">
        <f t="shared" ref="U8:U14" si="11">W8*1000/31.1034768</f>
        <v>66763854947.692253</v>
      </c>
      <c r="V8" s="72">
        <f t="shared" ref="V8:V14" si="12">W8/1000</f>
        <v>2076588.0134441112</v>
      </c>
      <c r="W8" s="72">
        <f>R8*1000*I8</f>
        <v>2076588013.4441111</v>
      </c>
      <c r="X8" s="116">
        <f t="shared" ref="X8:X14" si="13">W8*1000</f>
        <v>2076588013444.1111</v>
      </c>
      <c r="Y8" s="81">
        <f t="shared" ref="Y8:Y14" si="14">AD8/100</f>
        <v>16.748895504277542</v>
      </c>
      <c r="Z8" s="73">
        <f t="shared" ref="Z8:Z14" si="15">AD8/4046.8564224</f>
        <v>0.41387422127381923</v>
      </c>
      <c r="AA8" s="73">
        <f t="shared" ref="AA8:AA14" si="16">AD8*10000</f>
        <v>16748895.50427754</v>
      </c>
      <c r="AB8" s="73">
        <f t="shared" ref="AB8:AB14" si="17">AD8*100</f>
        <v>167488.9550427754</v>
      </c>
      <c r="AC8" s="73">
        <f t="shared" ref="AC8:AC14" si="18">AD8/10000</f>
        <v>0.16748895504277542</v>
      </c>
      <c r="AD8" s="73">
        <f>((B8*G8*C8)+(B8*G8*E8))*0.3048^2</f>
        <v>1674.8895504277541</v>
      </c>
      <c r="AE8" s="73">
        <f t="shared" ref="AE8:AE14" si="19">AD8*1000000</f>
        <v>1674889550.4277542</v>
      </c>
      <c r="AF8" s="73">
        <f t="shared" ref="AF8:AF14" si="20">AD8/144*10000/(2.54*2.54)</f>
        <v>18028.361078687565</v>
      </c>
      <c r="AG8" s="81">
        <f t="shared" ref="AG8:AG14" si="21">AD8*10000/(2.54 *2.54)</f>
        <v>2596083.9953310094</v>
      </c>
      <c r="AH8" s="144">
        <v>55</v>
      </c>
      <c r="AI8" s="186">
        <v>47.631</v>
      </c>
      <c r="AJ8" s="69">
        <v>155783047</v>
      </c>
      <c r="AK8" s="69">
        <v>15578305</v>
      </c>
      <c r="AL8" s="70">
        <v>15578.3</v>
      </c>
      <c r="AM8" s="70">
        <v>1557830468</v>
      </c>
      <c r="AN8" s="70">
        <v>1557.83</v>
      </c>
      <c r="AO8" s="71">
        <v>1557830</v>
      </c>
      <c r="AP8" s="115">
        <v>4578092911</v>
      </c>
      <c r="AQ8" s="72">
        <v>66763854948</v>
      </c>
      <c r="AR8" s="72">
        <v>2076588</v>
      </c>
      <c r="AS8" s="72">
        <v>2076588013</v>
      </c>
      <c r="AT8" s="116">
        <v>2076588013444</v>
      </c>
      <c r="AU8" s="123">
        <v>16.748899999999999</v>
      </c>
      <c r="AV8" s="123">
        <v>0.41387400000000002</v>
      </c>
      <c r="AW8" s="73">
        <v>16748896</v>
      </c>
      <c r="AX8" s="73">
        <v>167489</v>
      </c>
      <c r="AY8" s="73">
        <v>0.167489</v>
      </c>
      <c r="AZ8" s="73">
        <v>1674.89</v>
      </c>
      <c r="BA8" s="73">
        <v>1674889550</v>
      </c>
      <c r="BB8" s="73">
        <v>18028.400000000001</v>
      </c>
      <c r="BC8" s="124">
        <v>2596084</v>
      </c>
      <c r="BD8" s="251">
        <f t="shared" ref="BD8:BD14" si="22">(L8-AH8)/L8</f>
        <v>1.2918958832001821E-16</v>
      </c>
      <c r="BE8" s="252">
        <f t="shared" ref="BE8:BE14" si="23">(M8-AI8)/M8</f>
        <v>8.3392083251384045E-6</v>
      </c>
      <c r="BF8" s="43">
        <f t="shared" ref="BF8:BK14" si="24">(N8-AJ8)/N8</f>
        <v>-1.4764070248801328E-9</v>
      </c>
      <c r="BG8" s="42">
        <f t="shared" si="24"/>
        <v>-2.0733958133943109E-8</v>
      </c>
      <c r="BH8" s="42">
        <f t="shared" si="24"/>
        <v>3.0022522870473939E-7</v>
      </c>
      <c r="BI8" s="42">
        <f t="shared" si="24"/>
        <v>-1.9257012485378161E-10</v>
      </c>
      <c r="BJ8" s="42">
        <f t="shared" si="24"/>
        <v>3.0022522864635727E-7</v>
      </c>
      <c r="BK8" s="43">
        <f t="shared" si="24"/>
        <v>3.0022522861132801E-7</v>
      </c>
      <c r="BL8" s="107">
        <f t="shared" ref="BL8:BL14" si="25">(T8-AP8)/T8</f>
        <v>-6.5770320550061136E-11</v>
      </c>
      <c r="BM8" s="44">
        <f t="shared" ref="BM8:BY14" si="26">(U8-AQ8)/U8</f>
        <v>-4.6094834914512191E-12</v>
      </c>
      <c r="BN8" s="44">
        <f t="shared" si="26"/>
        <v>6.4741350377515105E-9</v>
      </c>
      <c r="BO8" s="44">
        <f t="shared" si="26"/>
        <v>2.1386577689203248E-10</v>
      </c>
      <c r="BP8" s="108">
        <f t="shared" si="26"/>
        <v>5.3493511305963097E-14</v>
      </c>
      <c r="BQ8" s="43">
        <f t="shared" si="26"/>
        <v>-2.6841904030461568E-7</v>
      </c>
      <c r="BR8" s="42">
        <f t="shared" si="26"/>
        <v>5.3464025502956627E-7</v>
      </c>
      <c r="BS8" s="42">
        <f t="shared" si="26"/>
        <v>-2.9597322372843886E-8</v>
      </c>
      <c r="BT8" s="42">
        <f t="shared" si="26"/>
        <v>-2.6841904045733948E-7</v>
      </c>
      <c r="BU8" s="42">
        <f t="shared" si="26"/>
        <v>-2.6841904035101615E-7</v>
      </c>
      <c r="BV8" s="42">
        <f t="shared" si="26"/>
        <v>-2.6841904045733943E-7</v>
      </c>
      <c r="BW8" s="42">
        <f t="shared" si="26"/>
        <v>2.5539246073439306E-10</v>
      </c>
      <c r="BX8" s="42">
        <f t="shared" si="26"/>
        <v>-2.1588935492476966E-6</v>
      </c>
      <c r="BY8" s="45">
        <f t="shared" si="26"/>
        <v>-1.7984744038145066E-9</v>
      </c>
    </row>
    <row r="9" spans="2:77" x14ac:dyDescent="0.25">
      <c r="B9" s="86">
        <v>99</v>
      </c>
      <c r="C9" s="93">
        <v>16</v>
      </c>
      <c r="D9" s="152">
        <f t="shared" si="0"/>
        <v>363.52513870714364</v>
      </c>
      <c r="E9" s="133">
        <f t="shared" si="1"/>
        <v>360.13924594807497</v>
      </c>
      <c r="F9" s="156" t="s">
        <v>4</v>
      </c>
      <c r="G9" s="130">
        <v>23</v>
      </c>
      <c r="H9" s="59"/>
      <c r="I9" s="56"/>
      <c r="J9" s="5">
        <v>266</v>
      </c>
      <c r="K9" s="55"/>
      <c r="L9" s="144">
        <f t="shared" si="2"/>
        <v>363.52513870714364</v>
      </c>
      <c r="M9" s="186">
        <f t="shared" si="3"/>
        <v>360.13924594807497</v>
      </c>
      <c r="N9" s="69">
        <f t="shared" si="5"/>
        <v>10750399.867314</v>
      </c>
      <c r="O9" s="70">
        <f t="shared" si="6"/>
        <v>1075039.9867313998</v>
      </c>
      <c r="P9" s="70">
        <f t="shared" si="7"/>
        <v>1075.0399867313999</v>
      </c>
      <c r="Q9" s="70">
        <f t="shared" si="8"/>
        <v>107503998.67313999</v>
      </c>
      <c r="R9" s="70">
        <f>(((B9*G9*C9*E9)/2))*(2.54/100)^3</f>
        <v>107.50399867313999</v>
      </c>
      <c r="S9" s="139">
        <f t="shared" si="9"/>
        <v>107503.99867313998</v>
      </c>
      <c r="T9" s="115">
        <f t="shared" si="10"/>
        <v>1009860.4572422311</v>
      </c>
      <c r="U9" s="72">
        <f t="shared" si="11"/>
        <v>14727131.668115871</v>
      </c>
      <c r="V9" s="72">
        <f t="shared" si="12"/>
        <v>458.06499816978726</v>
      </c>
      <c r="W9" s="72">
        <f>R9*(0.45359237/0.3048^3)*J9</f>
        <v>458064.99816978729</v>
      </c>
      <c r="X9" s="116">
        <f t="shared" si="13"/>
        <v>458064998.16978729</v>
      </c>
      <c r="Y9" s="81">
        <f t="shared" si="14"/>
        <v>5.5255958070041338</v>
      </c>
      <c r="Z9" s="73">
        <f t="shared" si="15"/>
        <v>0.13654044597231257</v>
      </c>
      <c r="AA9" s="73">
        <f t="shared" si="16"/>
        <v>5525595.8070041332</v>
      </c>
      <c r="AB9" s="73">
        <f t="shared" si="17"/>
        <v>55255.958070041335</v>
      </c>
      <c r="AC9" s="73">
        <f t="shared" si="18"/>
        <v>5.5255958070041335E-2</v>
      </c>
      <c r="AD9" s="73">
        <f>((B9*G9*C9)+(B9*G9*E9))*(2.54/100)^2</f>
        <v>552.55958070041333</v>
      </c>
      <c r="AE9" s="73">
        <f t="shared" si="19"/>
        <v>552559580.70041335</v>
      </c>
      <c r="AF9" s="73">
        <f t="shared" si="20"/>
        <v>5947.7018265539355</v>
      </c>
      <c r="AG9" s="81">
        <f t="shared" si="21"/>
        <v>856469.06302376674</v>
      </c>
      <c r="AH9" s="144">
        <v>363.53</v>
      </c>
      <c r="AI9" s="186">
        <v>360.14</v>
      </c>
      <c r="AJ9" s="69">
        <v>10750400</v>
      </c>
      <c r="AK9" s="70">
        <v>1075040</v>
      </c>
      <c r="AL9" s="70">
        <v>1075.04</v>
      </c>
      <c r="AM9" s="70">
        <v>107503999</v>
      </c>
      <c r="AN9" s="70">
        <v>107.504</v>
      </c>
      <c r="AO9" s="71">
        <v>107504</v>
      </c>
      <c r="AP9" s="115">
        <v>1009860</v>
      </c>
      <c r="AQ9" s="72">
        <v>14727132</v>
      </c>
      <c r="AR9" s="72">
        <v>458.065</v>
      </c>
      <c r="AS9" s="72">
        <v>458065</v>
      </c>
      <c r="AT9" s="116">
        <v>458064998</v>
      </c>
      <c r="AU9" s="123">
        <v>5.5255999999999998</v>
      </c>
      <c r="AV9" s="123">
        <v>0.13653999999999999</v>
      </c>
      <c r="AW9" s="73">
        <v>5525596</v>
      </c>
      <c r="AX9" s="73">
        <v>55256</v>
      </c>
      <c r="AY9" s="73">
        <v>5.5256E-2</v>
      </c>
      <c r="AZ9" s="73">
        <v>552.55999999999995</v>
      </c>
      <c r="BA9" s="73">
        <v>552559581</v>
      </c>
      <c r="BB9" s="73">
        <v>5947.7</v>
      </c>
      <c r="BC9" s="124">
        <v>856469</v>
      </c>
      <c r="BD9" s="251">
        <f t="shared" si="22"/>
        <v>-1.3372645626714774E-5</v>
      </c>
      <c r="BE9" s="252">
        <f t="shared" si="23"/>
        <v>-2.0937788188819868E-6</v>
      </c>
      <c r="BF9" s="43">
        <f t="shared" si="24"/>
        <v>-1.2342424649780668E-8</v>
      </c>
      <c r="BG9" s="42">
        <f t="shared" si="24"/>
        <v>-1.2342424823043542E-8</v>
      </c>
      <c r="BH9" s="42">
        <f t="shared" si="24"/>
        <v>-1.2342424633537274E-8</v>
      </c>
      <c r="BI9" s="42">
        <f t="shared" si="24"/>
        <v>-3.040445143047486E-9</v>
      </c>
      <c r="BJ9" s="42">
        <f t="shared" si="24"/>
        <v>-1.2342424765726354E-8</v>
      </c>
      <c r="BK9" s="43">
        <f t="shared" si="24"/>
        <v>-1.2342424768898893E-8</v>
      </c>
      <c r="BL9" s="107">
        <f t="shared" si="25"/>
        <v>4.5277763659171044E-7</v>
      </c>
      <c r="BM9" s="44">
        <f t="shared" si="26"/>
        <v>-2.2535557938374017E-8</v>
      </c>
      <c r="BN9" s="44">
        <f t="shared" si="26"/>
        <v>-3.9955306474161135E-9</v>
      </c>
      <c r="BO9" s="44">
        <f t="shared" si="26"/>
        <v>-3.9955305928144639E-9</v>
      </c>
      <c r="BP9" s="108">
        <f t="shared" si="26"/>
        <v>3.7066199860388255E-10</v>
      </c>
      <c r="BQ9" s="43">
        <f t="shared" si="26"/>
        <v>-7.5883144777895107E-7</v>
      </c>
      <c r="BR9" s="42">
        <f t="shared" si="26"/>
        <v>3.266228621150113E-6</v>
      </c>
      <c r="BS9" s="42">
        <f t="shared" si="26"/>
        <v>-3.4927612062390431E-8</v>
      </c>
      <c r="BT9" s="42">
        <f t="shared" si="26"/>
        <v>-7.5883144785121928E-7</v>
      </c>
      <c r="BU9" s="42">
        <f t="shared" si="26"/>
        <v>-7.5883144785429751E-7</v>
      </c>
      <c r="BV9" s="42">
        <f t="shared" si="26"/>
        <v>-7.5883144778538068E-7</v>
      </c>
      <c r="BW9" s="42">
        <f t="shared" si="26"/>
        <v>-5.4217981946790543E-10</v>
      </c>
      <c r="BX9" s="42">
        <f t="shared" si="26"/>
        <v>3.0710247233455463E-7</v>
      </c>
      <c r="BY9" s="45">
        <f t="shared" si="26"/>
        <v>7.3585572972201749E-8</v>
      </c>
    </row>
    <row r="10" spans="2:77" x14ac:dyDescent="0.25">
      <c r="B10" s="86">
        <v>245</v>
      </c>
      <c r="C10" s="93">
        <v>77</v>
      </c>
      <c r="D10" s="152">
        <f t="shared" si="0"/>
        <v>1327.6490523137791</v>
      </c>
      <c r="E10" s="133">
        <f t="shared" si="1"/>
        <v>1321.9855355145439</v>
      </c>
      <c r="F10" s="156" t="s">
        <v>5</v>
      </c>
      <c r="G10" s="130">
        <v>34</v>
      </c>
      <c r="H10" s="59"/>
      <c r="I10" s="56"/>
      <c r="J10" s="56"/>
      <c r="K10" s="17">
        <v>386</v>
      </c>
      <c r="L10" s="144">
        <f t="shared" si="2"/>
        <v>1327.6490523137791</v>
      </c>
      <c r="M10" s="186">
        <f t="shared" si="3"/>
        <v>1321.9855355145439</v>
      </c>
      <c r="N10" s="69">
        <f t="shared" si="5"/>
        <v>42396737116719.18</v>
      </c>
      <c r="O10" s="70">
        <f t="shared" si="6"/>
        <v>4239673711671.918</v>
      </c>
      <c r="P10" s="70">
        <f t="shared" si="7"/>
        <v>4239673711.6719179</v>
      </c>
      <c r="Q10" s="70">
        <f t="shared" si="8"/>
        <v>423967371167191.81</v>
      </c>
      <c r="R10" s="70">
        <f>((B10*G10*C10*E10)/2)</f>
        <v>423967371.1671918</v>
      </c>
      <c r="S10" s="139">
        <f t="shared" si="9"/>
        <v>423967371167.19183</v>
      </c>
      <c r="T10" s="115">
        <f t="shared" si="10"/>
        <v>360789590156765.75</v>
      </c>
      <c r="U10" s="72">
        <f t="shared" si="11"/>
        <v>5261514856452834</v>
      </c>
      <c r="V10" s="72">
        <f t="shared" si="12"/>
        <v>163651405270.53607</v>
      </c>
      <c r="W10" s="72">
        <f>R10*1000*K10</f>
        <v>163651405270536.06</v>
      </c>
      <c r="X10" s="116">
        <f t="shared" si="13"/>
        <v>1.6365140527053606E+17</v>
      </c>
      <c r="Y10" s="81">
        <f t="shared" si="14"/>
        <v>116535.4951083615</v>
      </c>
      <c r="Z10" s="73">
        <f t="shared" si="15"/>
        <v>2879.6547973216648</v>
      </c>
      <c r="AA10" s="73">
        <f t="shared" si="16"/>
        <v>116535495108.36151</v>
      </c>
      <c r="AB10" s="73">
        <f t="shared" si="17"/>
        <v>1165354951.0836151</v>
      </c>
      <c r="AC10" s="73">
        <f t="shared" si="18"/>
        <v>1165.3549510836151</v>
      </c>
      <c r="AD10" s="73">
        <f>(B10*G10*C10)+(B10*G10*E10)</f>
        <v>11653549.51083615</v>
      </c>
      <c r="AE10" s="73">
        <f t="shared" si="19"/>
        <v>11653549510836.15</v>
      </c>
      <c r="AF10" s="73">
        <f t="shared" si="20"/>
        <v>125437762.97133173</v>
      </c>
      <c r="AG10" s="81">
        <f t="shared" si="21"/>
        <v>18063037867.871769</v>
      </c>
      <c r="AH10" s="145">
        <v>1327.6</v>
      </c>
      <c r="AI10" s="187">
        <v>1322</v>
      </c>
      <c r="AJ10" s="69">
        <v>42396737116719</v>
      </c>
      <c r="AK10" s="70">
        <v>4239673711672</v>
      </c>
      <c r="AL10" s="70">
        <v>4239673712</v>
      </c>
      <c r="AM10" s="70">
        <v>423967371167192</v>
      </c>
      <c r="AN10" s="70">
        <v>423967371</v>
      </c>
      <c r="AO10" s="71">
        <v>423967371167</v>
      </c>
      <c r="AP10" s="115">
        <v>360789590156766</v>
      </c>
      <c r="AQ10" s="72">
        <v>5261514856452830</v>
      </c>
      <c r="AR10" s="72">
        <v>163651405271</v>
      </c>
      <c r="AS10" s="72">
        <v>163651405270536</v>
      </c>
      <c r="AT10" s="116">
        <v>1.63651405270536E+17</v>
      </c>
      <c r="AU10" s="123">
        <v>116535</v>
      </c>
      <c r="AV10" s="123">
        <v>2879.65</v>
      </c>
      <c r="AW10" s="73">
        <v>116535495108</v>
      </c>
      <c r="AX10" s="73">
        <v>1165354951</v>
      </c>
      <c r="AY10" s="73">
        <v>1165.3499999999999</v>
      </c>
      <c r="AZ10" s="73">
        <v>11653550</v>
      </c>
      <c r="BA10" s="73">
        <v>11653549510836</v>
      </c>
      <c r="BB10" s="73">
        <v>125437763</v>
      </c>
      <c r="BC10" s="124">
        <v>18063037868</v>
      </c>
      <c r="BD10" s="251">
        <f t="shared" si="22"/>
        <v>3.6946747104342348E-5</v>
      </c>
      <c r="BE10" s="252">
        <f t="shared" si="23"/>
        <v>-1.094148541530293E-5</v>
      </c>
      <c r="BF10" s="43">
        <f t="shared" si="24"/>
        <v>4.2382388886511767E-15</v>
      </c>
      <c r="BG10" s="42">
        <f t="shared" si="24"/>
        <v>-1.9348481882972765E-14</v>
      </c>
      <c r="BH10" s="42">
        <f t="shared" si="24"/>
        <v>-7.7383805209477391E-11</v>
      </c>
      <c r="BI10" s="42">
        <f t="shared" si="24"/>
        <v>-4.4225101446794887E-16</v>
      </c>
      <c r="BJ10" s="42">
        <f t="shared" si="24"/>
        <v>3.9435063834056371E-10</v>
      </c>
      <c r="BK10" s="43">
        <f t="shared" si="24"/>
        <v>4.5247231070076929E-13</v>
      </c>
      <c r="BL10" s="107">
        <f t="shared" si="25"/>
        <v>-6.9292464866121319E-16</v>
      </c>
      <c r="BM10" s="44">
        <f t="shared" si="26"/>
        <v>7.602373288168739E-16</v>
      </c>
      <c r="BN10" s="44">
        <f t="shared" si="26"/>
        <v>-2.834856333126618E-12</v>
      </c>
      <c r="BO10" s="44">
        <f t="shared" si="26"/>
        <v>3.8190933891878137E-16</v>
      </c>
      <c r="BP10" s="108">
        <f t="shared" si="26"/>
        <v>3.9107516305283211E-16</v>
      </c>
      <c r="BQ10" s="43">
        <f t="shared" si="26"/>
        <v>4.2485627322482207E-6</v>
      </c>
      <c r="BR10" s="42">
        <f t="shared" si="26"/>
        <v>1.6659363716596592E-6</v>
      </c>
      <c r="BS10" s="42">
        <f t="shared" si="26"/>
        <v>3.1021555289450287E-12</v>
      </c>
      <c r="BT10" s="42">
        <f t="shared" si="26"/>
        <v>7.1750726714827543E-11</v>
      </c>
      <c r="BU10" s="42">
        <f t="shared" si="26"/>
        <v>4.2485627324043094E-6</v>
      </c>
      <c r="BV10" s="42">
        <f t="shared" si="26"/>
        <v>-4.197552419955386E-8</v>
      </c>
      <c r="BW10" s="42">
        <f t="shared" si="26"/>
        <v>1.2905134599561964E-14</v>
      </c>
      <c r="BX10" s="42">
        <f t="shared" si="26"/>
        <v>-2.2854576513445594E-10</v>
      </c>
      <c r="BY10" s="45">
        <f t="shared" si="26"/>
        <v>-7.0990854097729285E-12</v>
      </c>
    </row>
    <row r="11" spans="2:77" x14ac:dyDescent="0.25">
      <c r="B11" s="86">
        <v>36</v>
      </c>
      <c r="C11" s="93">
        <v>12</v>
      </c>
      <c r="D11" s="152">
        <f t="shared" si="0"/>
        <v>36.000000000000007</v>
      </c>
      <c r="E11" s="133">
        <f t="shared" si="1"/>
        <v>31.176914536239799</v>
      </c>
      <c r="F11" s="156" t="s">
        <v>6</v>
      </c>
      <c r="G11" s="130">
        <v>6</v>
      </c>
      <c r="H11" s="59"/>
      <c r="I11" s="58"/>
      <c r="J11" s="58"/>
      <c r="K11" s="14">
        <v>486</v>
      </c>
      <c r="L11" s="144">
        <f t="shared" si="2"/>
        <v>36.000000000000007</v>
      </c>
      <c r="M11" s="186">
        <f t="shared" si="3"/>
        <v>31.176914536239799</v>
      </c>
      <c r="N11" s="69">
        <f t="shared" si="5"/>
        <v>1.6841655891207655E+19</v>
      </c>
      <c r="O11" s="70">
        <f t="shared" si="6"/>
        <v>1.6841655891207657E+18</v>
      </c>
      <c r="P11" s="70">
        <f t="shared" si="7"/>
        <v>1684165589120765.5</v>
      </c>
      <c r="Q11" s="70">
        <f t="shared" si="8"/>
        <v>1.6841655891207658E+20</v>
      </c>
      <c r="R11" s="70">
        <f>(((B11*G11*C11*E11)/2))*(63360*2.54/100)^3</f>
        <v>168416558912076.56</v>
      </c>
      <c r="S11" s="139">
        <f t="shared" si="9"/>
        <v>1.6841655891207658E+17</v>
      </c>
      <c r="T11" s="115">
        <f t="shared" si="10"/>
        <v>1.8044934845634465E+20</v>
      </c>
      <c r="U11" s="72">
        <f t="shared" si="11"/>
        <v>2.6315529983216934E+21</v>
      </c>
      <c r="V11" s="72">
        <f t="shared" si="12"/>
        <v>8.1850447631269216E+16</v>
      </c>
      <c r="W11" s="72">
        <f>R11*1000*K11</f>
        <v>8.1850447631269216E+19</v>
      </c>
      <c r="X11" s="116">
        <f t="shared" si="13"/>
        <v>8.1850447631269222E+22</v>
      </c>
      <c r="Y11" s="81">
        <f t="shared" si="14"/>
        <v>241547821.82608616</v>
      </c>
      <c r="Z11" s="73">
        <f t="shared" si="15"/>
        <v>5968776.66548979</v>
      </c>
      <c r="AA11" s="73">
        <f t="shared" si="16"/>
        <v>241547821826086.16</v>
      </c>
      <c r="AB11" s="73">
        <f t="shared" si="17"/>
        <v>2415478218260.8618</v>
      </c>
      <c r="AC11" s="73">
        <f t="shared" si="18"/>
        <v>2415478.2182608615</v>
      </c>
      <c r="AD11" s="73">
        <f>((B11*G11*C11)+(B11*G11*E11))*(63360*2.54/100)^2</f>
        <v>24154782182.608616</v>
      </c>
      <c r="AE11" s="73">
        <f t="shared" si="19"/>
        <v>2.4154782182608616E+16</v>
      </c>
      <c r="AF11" s="73">
        <f t="shared" si="20"/>
        <v>259999911548.73529</v>
      </c>
      <c r="AG11" s="81">
        <f t="shared" si="21"/>
        <v>37439987263017.883</v>
      </c>
      <c r="AH11" s="144">
        <v>36</v>
      </c>
      <c r="AI11" s="186">
        <v>31.177</v>
      </c>
      <c r="AJ11" s="69">
        <v>1.68416558912077E+19</v>
      </c>
      <c r="AK11" s="70">
        <v>1.68416558912077E+18</v>
      </c>
      <c r="AL11" s="70">
        <v>1684165589120770</v>
      </c>
      <c r="AM11" s="70">
        <v>1.68416558912077E+20</v>
      </c>
      <c r="AN11" s="70">
        <v>168416558912077</v>
      </c>
      <c r="AO11" s="71">
        <v>1.6841655891207699E+17</v>
      </c>
      <c r="AP11" s="115">
        <v>1.8044934845634501E+20</v>
      </c>
      <c r="AQ11" s="72">
        <v>2.6315529983216902E+21</v>
      </c>
      <c r="AR11" s="72">
        <v>8.18504476312692E+16</v>
      </c>
      <c r="AS11" s="72">
        <v>8.18504476312692E+19</v>
      </c>
      <c r="AT11" s="116">
        <v>8.1850447631269205E+22</v>
      </c>
      <c r="AU11" s="123">
        <v>241547822</v>
      </c>
      <c r="AV11" s="123">
        <v>5968777</v>
      </c>
      <c r="AW11" s="73">
        <v>241547821826086</v>
      </c>
      <c r="AX11" s="73">
        <v>2415478218261</v>
      </c>
      <c r="AY11" s="73">
        <v>2415478</v>
      </c>
      <c r="AZ11" s="73">
        <v>24154782183</v>
      </c>
      <c r="BA11" s="73">
        <v>2.41547821826086E+16</v>
      </c>
      <c r="BB11" s="73">
        <v>259999911549</v>
      </c>
      <c r="BC11" s="124">
        <v>37439987263018</v>
      </c>
      <c r="BD11" s="251">
        <f t="shared" si="22"/>
        <v>1.9737298215558335E-16</v>
      </c>
      <c r="BE11" s="252">
        <f t="shared" si="23"/>
        <v>-2.7412513865351414E-6</v>
      </c>
      <c r="BF11" s="43">
        <f t="shared" si="24"/>
        <v>-2.6752713801451026E-15</v>
      </c>
      <c r="BG11" s="42">
        <f t="shared" si="24"/>
        <v>-2.5840689467310645E-15</v>
      </c>
      <c r="BH11" s="42">
        <f t="shared" si="24"/>
        <v>-2.6719462914268824E-15</v>
      </c>
      <c r="BI11" s="42">
        <f t="shared" si="24"/>
        <v>-2.5293474866826419E-15</v>
      </c>
      <c r="BJ11" s="42">
        <f t="shared" si="24"/>
        <v>-2.5977255611094687E-15</v>
      </c>
      <c r="BK11" s="43">
        <f t="shared" si="24"/>
        <v>-2.4700659049635174E-15</v>
      </c>
      <c r="BL11" s="107">
        <f t="shared" si="25"/>
        <v>-1.9975023633138897E-15</v>
      </c>
      <c r="BM11" s="44">
        <f t="shared" si="26"/>
        <v>1.1953884272922598E-15</v>
      </c>
      <c r="BN11" s="44">
        <f t="shared" si="26"/>
        <v>1.9547846667960727E-16</v>
      </c>
      <c r="BO11" s="44">
        <f t="shared" si="26"/>
        <v>2.0016994987991786E-16</v>
      </c>
      <c r="BP11" s="108">
        <f t="shared" si="26"/>
        <v>2.0497402867703586E-16</v>
      </c>
      <c r="BQ11" s="43">
        <f t="shared" si="26"/>
        <v>-7.1999753574430712E-10</v>
      </c>
      <c r="BR11" s="42">
        <f t="shared" si="26"/>
        <v>-5.6043345013098552E-8</v>
      </c>
      <c r="BS11" s="42">
        <f t="shared" si="26"/>
        <v>6.4686983645209446E-16</v>
      </c>
      <c r="BT11" s="42">
        <f t="shared" si="26"/>
        <v>-5.7207551161232096E-14</v>
      </c>
      <c r="BU11" s="42">
        <f t="shared" si="26"/>
        <v>9.0359275367308995E-8</v>
      </c>
      <c r="BV11" s="42">
        <f t="shared" si="26"/>
        <v>-1.6203173425329207E-11</v>
      </c>
      <c r="BW11" s="42">
        <f t="shared" si="26"/>
        <v>6.6239471252694467E-16</v>
      </c>
      <c r="BX11" s="42">
        <f t="shared" si="26"/>
        <v>-1.0181137027295948E-12</v>
      </c>
      <c r="BY11" s="45">
        <f t="shared" si="26"/>
        <v>-3.1300090776407493E-15</v>
      </c>
    </row>
    <row r="12" spans="2:77" x14ac:dyDescent="0.25">
      <c r="B12" s="86">
        <v>850</v>
      </c>
      <c r="C12" s="93">
        <v>45</v>
      </c>
      <c r="D12" s="152">
        <f t="shared" si="0"/>
        <v>13395.136497808284</v>
      </c>
      <c r="E12" s="133">
        <f t="shared" si="1"/>
        <v>13388.392614310187</v>
      </c>
      <c r="F12" s="156" t="s">
        <v>7</v>
      </c>
      <c r="G12" s="130">
        <v>99</v>
      </c>
      <c r="H12" s="59"/>
      <c r="I12" s="58"/>
      <c r="J12" s="4">
        <v>512</v>
      </c>
      <c r="K12" s="55"/>
      <c r="L12" s="144">
        <f t="shared" si="2"/>
        <v>13395.136497808284</v>
      </c>
      <c r="M12" s="186">
        <f t="shared" si="3"/>
        <v>13388.392614310187</v>
      </c>
      <c r="N12" s="69">
        <f t="shared" si="5"/>
        <v>2534924.7866119547</v>
      </c>
      <c r="O12" s="70">
        <f t="shared" si="6"/>
        <v>253492.47866119549</v>
      </c>
      <c r="P12" s="70">
        <f t="shared" si="7"/>
        <v>253.49247866119549</v>
      </c>
      <c r="Q12" s="70">
        <f t="shared" si="8"/>
        <v>25349247.866119549</v>
      </c>
      <c r="R12" s="70">
        <f>(((B12*G12*C12*E12)/2))/1000^3</f>
        <v>25.349247866119548</v>
      </c>
      <c r="S12" s="139">
        <f t="shared" si="9"/>
        <v>25349.247866119549</v>
      </c>
      <c r="T12" s="115">
        <f t="shared" si="10"/>
        <v>458342.52289659774</v>
      </c>
      <c r="U12" s="72">
        <f t="shared" si="11"/>
        <v>6684161.7922420511</v>
      </c>
      <c r="V12" s="72">
        <f t="shared" si="12"/>
        <v>207.90067123244705</v>
      </c>
      <c r="W12" s="72">
        <f>R12*(0.45359237/0.3048^3)*J12</f>
        <v>207900.67123244706</v>
      </c>
      <c r="X12" s="116">
        <f t="shared" si="13"/>
        <v>207900671.23244706</v>
      </c>
      <c r="Y12" s="81">
        <f t="shared" si="14"/>
        <v>11.304199884942022</v>
      </c>
      <c r="Z12" s="73">
        <f t="shared" si="15"/>
        <v>0.27933286247496847</v>
      </c>
      <c r="AA12" s="73">
        <f t="shared" si="16"/>
        <v>11304199.884942023</v>
      </c>
      <c r="AB12" s="73">
        <f t="shared" si="17"/>
        <v>113041.99884942023</v>
      </c>
      <c r="AC12" s="73">
        <f t="shared" si="18"/>
        <v>0.11304199884942022</v>
      </c>
      <c r="AD12" s="73">
        <f>((B12*G12*C12)+(B12*G12*E12))/1000^2</f>
        <v>1130.4199884942022</v>
      </c>
      <c r="AE12" s="73">
        <f t="shared" si="19"/>
        <v>1130419988.4942021</v>
      </c>
      <c r="AF12" s="73">
        <f t="shared" si="20"/>
        <v>12167.739489409627</v>
      </c>
      <c r="AG12" s="81">
        <f t="shared" si="21"/>
        <v>1752154.4864749864</v>
      </c>
      <c r="AH12" s="144">
        <v>13395</v>
      </c>
      <c r="AI12" s="186">
        <v>13388</v>
      </c>
      <c r="AJ12" s="69">
        <v>2534925</v>
      </c>
      <c r="AK12" s="70">
        <v>253492</v>
      </c>
      <c r="AL12" s="70">
        <v>253.49199999999999</v>
      </c>
      <c r="AM12" s="70">
        <v>25349248</v>
      </c>
      <c r="AN12" s="70">
        <v>25.3492</v>
      </c>
      <c r="AO12" s="71">
        <v>25349.200000000001</v>
      </c>
      <c r="AP12" s="115">
        <v>458343</v>
      </c>
      <c r="AQ12" s="72">
        <v>6684162</v>
      </c>
      <c r="AR12" s="72">
        <v>207.90100000000001</v>
      </c>
      <c r="AS12" s="72">
        <v>207901</v>
      </c>
      <c r="AT12" s="116">
        <v>207900671</v>
      </c>
      <c r="AU12" s="123">
        <v>11.3042</v>
      </c>
      <c r="AV12" s="123">
        <v>0.279333</v>
      </c>
      <c r="AW12" s="73">
        <v>11304200</v>
      </c>
      <c r="AX12" s="73">
        <v>113042</v>
      </c>
      <c r="AY12" s="73">
        <v>0.113042</v>
      </c>
      <c r="AZ12" s="73">
        <v>1130.42</v>
      </c>
      <c r="BA12" s="73">
        <v>1130419988</v>
      </c>
      <c r="BB12" s="73">
        <v>12167.7</v>
      </c>
      <c r="BC12" s="124">
        <v>1752154</v>
      </c>
      <c r="BD12" s="251">
        <f t="shared" si="22"/>
        <v>1.0190102079673055E-5</v>
      </c>
      <c r="BE12" s="252">
        <f t="shared" si="23"/>
        <v>2.9324977351462015E-5</v>
      </c>
      <c r="BF12" s="43">
        <f t="shared" si="24"/>
        <v>-8.4179241311387301E-8</v>
      </c>
      <c r="BG12" s="42">
        <f t="shared" si="24"/>
        <v>1.8882658689498776E-6</v>
      </c>
      <c r="BH12" s="42">
        <f t="shared" si="24"/>
        <v>1.8882658689884471E-6</v>
      </c>
      <c r="BI12" s="42">
        <f t="shared" si="24"/>
        <v>-5.2814368311313623E-9</v>
      </c>
      <c r="BJ12" s="42">
        <f t="shared" si="24"/>
        <v>1.8882658689043568E-6</v>
      </c>
      <c r="BK12" s="43">
        <f t="shared" si="24"/>
        <v>1.8882658689211746E-6</v>
      </c>
      <c r="BL12" s="107">
        <f t="shared" si="25"/>
        <v>-1.0409320070083679E-6</v>
      </c>
      <c r="BM12" s="44">
        <f t="shared" si="26"/>
        <v>-3.1082124484017205E-8</v>
      </c>
      <c r="BN12" s="44">
        <f t="shared" si="26"/>
        <v>-1.5813684054447248E-6</v>
      </c>
      <c r="BO12" s="44">
        <f t="shared" si="26"/>
        <v>-1.5813684053725427E-6</v>
      </c>
      <c r="BP12" s="108">
        <f t="shared" si="26"/>
        <v>1.1180678570418179E-9</v>
      </c>
      <c r="BQ12" s="43">
        <f t="shared" si="26"/>
        <v>-1.0178338895187798E-8</v>
      </c>
      <c r="BR12" s="42">
        <f t="shared" si="26"/>
        <v>-4.923338783375024E-7</v>
      </c>
      <c r="BS12" s="42">
        <f t="shared" si="26"/>
        <v>-1.0178338855251275E-8</v>
      </c>
      <c r="BT12" s="42">
        <f t="shared" si="26"/>
        <v>-1.0178338896444927E-8</v>
      </c>
      <c r="BU12" s="42">
        <f t="shared" si="26"/>
        <v>-1.0178338988490454E-8</v>
      </c>
      <c r="BV12" s="42">
        <f t="shared" si="26"/>
        <v>-1.0178338976901282E-8</v>
      </c>
      <c r="BW12" s="42">
        <f t="shared" si="26"/>
        <v>4.3718453497245723E-10</v>
      </c>
      <c r="BX12" s="42">
        <f t="shared" si="26"/>
        <v>3.245418728807867E-6</v>
      </c>
      <c r="BY12" s="45">
        <f t="shared" si="26"/>
        <v>2.7764388938080612E-7</v>
      </c>
    </row>
    <row r="13" spans="2:77" x14ac:dyDescent="0.25">
      <c r="B13" s="86">
        <v>18</v>
      </c>
      <c r="C13" s="93">
        <v>124</v>
      </c>
      <c r="D13" s="152">
        <f t="shared" si="0"/>
        <v>478.44797799740007</v>
      </c>
      <c r="E13" s="133">
        <f t="shared" si="1"/>
        <v>478.36332180655387</v>
      </c>
      <c r="F13" s="156" t="s">
        <v>8</v>
      </c>
      <c r="G13" s="130">
        <v>167</v>
      </c>
      <c r="H13" s="59"/>
      <c r="I13" s="4">
        <v>1024</v>
      </c>
      <c r="J13" s="58"/>
      <c r="K13" s="55"/>
      <c r="L13" s="144">
        <f t="shared" si="2"/>
        <v>478.44797799740007</v>
      </c>
      <c r="M13" s="186">
        <f t="shared" si="3"/>
        <v>478.36332180655387</v>
      </c>
      <c r="N13" s="69">
        <f t="shared" si="5"/>
        <v>6816276371233.6465</v>
      </c>
      <c r="O13" s="70">
        <f t="shared" si="6"/>
        <v>681627637123.36462</v>
      </c>
      <c r="P13" s="70">
        <f t="shared" si="7"/>
        <v>681627637.12336469</v>
      </c>
      <c r="Q13" s="70">
        <f t="shared" si="8"/>
        <v>68162763712336.469</v>
      </c>
      <c r="R13" s="70">
        <f>(((B13*G13*C13*E13)/2))*0.9144^3</f>
        <v>68162763.712336466</v>
      </c>
      <c r="S13" s="139">
        <f t="shared" si="9"/>
        <v>68162763712.336464</v>
      </c>
      <c r="T13" s="115">
        <f t="shared" si="10"/>
        <v>153879726948300.59</v>
      </c>
      <c r="U13" s="72">
        <f t="shared" si="11"/>
        <v>2244079351329383.7</v>
      </c>
      <c r="V13" s="72">
        <f t="shared" si="12"/>
        <v>69798670041.432541</v>
      </c>
      <c r="W13" s="72">
        <f>R13*1000*I13</f>
        <v>69798670041432.539</v>
      </c>
      <c r="X13" s="116">
        <f t="shared" si="13"/>
        <v>6.9798670041432536E+16</v>
      </c>
      <c r="Y13" s="81">
        <f t="shared" si="14"/>
        <v>15139.792767929704</v>
      </c>
      <c r="Z13" s="73">
        <f t="shared" si="15"/>
        <v>374.11242672531006</v>
      </c>
      <c r="AA13" s="73">
        <f t="shared" si="16"/>
        <v>15139792767.929705</v>
      </c>
      <c r="AB13" s="73">
        <f t="shared" si="17"/>
        <v>151397927.67929706</v>
      </c>
      <c r="AC13" s="73">
        <f t="shared" si="18"/>
        <v>151.39792767929706</v>
      </c>
      <c r="AD13" s="73">
        <f>((B13*G13*C13)+(B13*G13*E13))*0.9144^2</f>
        <v>1513979.2767929705</v>
      </c>
      <c r="AE13" s="73">
        <f t="shared" si="19"/>
        <v>1513979276792.9705</v>
      </c>
      <c r="AF13" s="73">
        <f t="shared" si="20"/>
        <v>16296337.308154507</v>
      </c>
      <c r="AG13" s="81">
        <f t="shared" si="21"/>
        <v>2346672572.374249</v>
      </c>
      <c r="AH13" s="144">
        <v>478.45</v>
      </c>
      <c r="AI13" s="186">
        <v>478.36</v>
      </c>
      <c r="AJ13" s="69">
        <v>6816276371234</v>
      </c>
      <c r="AK13" s="70">
        <v>681627637123</v>
      </c>
      <c r="AL13" s="70">
        <v>681627637</v>
      </c>
      <c r="AM13" s="70">
        <v>68162763712336</v>
      </c>
      <c r="AN13" s="70">
        <v>68162764</v>
      </c>
      <c r="AO13" s="71">
        <v>68162763712</v>
      </c>
      <c r="AP13" s="115">
        <v>153879726948301</v>
      </c>
      <c r="AQ13" s="72">
        <v>2244079351329380</v>
      </c>
      <c r="AR13" s="72">
        <v>69798670041</v>
      </c>
      <c r="AS13" s="72">
        <v>69798670041433</v>
      </c>
      <c r="AT13" s="116">
        <v>6.97986700414326E+16</v>
      </c>
      <c r="AU13" s="123">
        <v>15139.8</v>
      </c>
      <c r="AV13" s="123">
        <v>374.11200000000002</v>
      </c>
      <c r="AW13" s="73">
        <v>15139792768</v>
      </c>
      <c r="AX13" s="73">
        <v>151397928</v>
      </c>
      <c r="AY13" s="73">
        <v>151.398</v>
      </c>
      <c r="AZ13" s="73">
        <v>1513979</v>
      </c>
      <c r="BA13" s="73">
        <v>1513979276793</v>
      </c>
      <c r="BB13" s="73">
        <v>16296337</v>
      </c>
      <c r="BC13" s="124">
        <v>2346672572</v>
      </c>
      <c r="BD13" s="251">
        <f t="shared" si="22"/>
        <v>-4.2261702272804424E-6</v>
      </c>
      <c r="BE13" s="252">
        <f t="shared" si="23"/>
        <v>6.9441079665375928E-6</v>
      </c>
      <c r="BF13" s="43">
        <f t="shared" si="24"/>
        <v>-5.1863452381702481E-14</v>
      </c>
      <c r="BG13" s="42">
        <f t="shared" si="24"/>
        <v>5.3493139593972825E-13</v>
      </c>
      <c r="BH13" s="42">
        <f t="shared" si="24"/>
        <v>1.809854534164306E-10</v>
      </c>
      <c r="BI13" s="42">
        <f t="shared" si="24"/>
        <v>6.8769218627671791E-15</v>
      </c>
      <c r="BJ13" s="42">
        <f t="shared" si="24"/>
        <v>-4.2202445824768563E-9</v>
      </c>
      <c r="BK13" s="43">
        <f t="shared" si="24"/>
        <v>4.936183773924079E-12</v>
      </c>
      <c r="BL13" s="107">
        <f t="shared" si="25"/>
        <v>-2.6400488749014285E-15</v>
      </c>
      <c r="BM13" s="44">
        <f t="shared" si="26"/>
        <v>1.6710639032343106E-15</v>
      </c>
      <c r="BN13" s="44">
        <f t="shared" si="26"/>
        <v>6.1969790154730874E-12</v>
      </c>
      <c r="BO13" s="44">
        <f t="shared" si="26"/>
        <v>-6.6038149398317646E-15</v>
      </c>
      <c r="BP13" s="108">
        <f t="shared" si="26"/>
        <v>-9.1692291503562396E-16</v>
      </c>
      <c r="BQ13" s="43">
        <f t="shared" si="26"/>
        <v>-4.7768621444382564E-7</v>
      </c>
      <c r="BR13" s="42">
        <f t="shared" si="26"/>
        <v>1.1406338831628856E-6</v>
      </c>
      <c r="BS13" s="42">
        <f t="shared" si="26"/>
        <v>-4.6430842839018097E-12</v>
      </c>
      <c r="BT13" s="42">
        <f t="shared" si="26"/>
        <v>-2.1182782693362837E-9</v>
      </c>
      <c r="BU13" s="42">
        <f t="shared" si="26"/>
        <v>-4.7768621439877079E-7</v>
      </c>
      <c r="BV13" s="42">
        <f t="shared" si="26"/>
        <v>1.8282480792756282E-7</v>
      </c>
      <c r="BW13" s="42">
        <f t="shared" si="26"/>
        <v>-1.951216643306776E-14</v>
      </c>
      <c r="BX13" s="42">
        <f t="shared" si="26"/>
        <v>1.8909433499185533E-8</v>
      </c>
      <c r="BY13" s="45">
        <f t="shared" si="26"/>
        <v>1.5948069870573515E-10</v>
      </c>
    </row>
    <row r="14" spans="2:77" ht="15.75" thickBot="1" x14ac:dyDescent="0.3">
      <c r="B14" s="88">
        <v>159</v>
      </c>
      <c r="C14" s="95">
        <v>55</v>
      </c>
      <c r="D14" s="153">
        <f t="shared" si="0"/>
        <v>1670.8028380885687</v>
      </c>
      <c r="E14" s="141">
        <f t="shared" si="1"/>
        <v>1668.9103851809466</v>
      </c>
      <c r="F14" s="157" t="s">
        <v>43</v>
      </c>
      <c r="G14" s="131">
        <v>66</v>
      </c>
      <c r="H14" s="12">
        <v>4096</v>
      </c>
      <c r="I14" s="60"/>
      <c r="J14" s="60"/>
      <c r="K14" s="61"/>
      <c r="L14" s="146">
        <f t="shared" si="2"/>
        <v>1670.8028380885687</v>
      </c>
      <c r="M14" s="188">
        <f t="shared" si="3"/>
        <v>1668.9103851809466</v>
      </c>
      <c r="N14" s="79">
        <f t="shared" si="5"/>
        <v>4.8162250350744351E-5</v>
      </c>
      <c r="O14" s="74">
        <f t="shared" si="6"/>
        <v>4.8162250350744347E-6</v>
      </c>
      <c r="P14" s="74">
        <f t="shared" si="7"/>
        <v>4.8162250350744354E-9</v>
      </c>
      <c r="Q14" s="74">
        <f t="shared" si="8"/>
        <v>4.8162250350744349E-4</v>
      </c>
      <c r="R14" s="74">
        <f>(((B14*G14*C14*E14)/2))/1000000^3</f>
        <v>4.816225035074435E-10</v>
      </c>
      <c r="S14" s="140">
        <f t="shared" si="9"/>
        <v>4.8162250350744354E-7</v>
      </c>
      <c r="T14" s="117">
        <f t="shared" si="10"/>
        <v>4.349115868872504E-6</v>
      </c>
      <c r="U14" s="76">
        <f t="shared" si="11"/>
        <v>6.3424606421057367E-5</v>
      </c>
      <c r="V14" s="76">
        <f t="shared" si="12"/>
        <v>1.9727257743664884E-9</v>
      </c>
      <c r="W14" s="76">
        <f>R14*H14</f>
        <v>1.9727257743664886E-6</v>
      </c>
      <c r="X14" s="118">
        <f t="shared" si="13"/>
        <v>1.9727257743664887E-3</v>
      </c>
      <c r="Y14" s="82">
        <f t="shared" si="14"/>
        <v>1.8090715582088856E-7</v>
      </c>
      <c r="Z14" s="77">
        <f t="shared" si="15"/>
        <v>4.4703131749260581E-9</v>
      </c>
      <c r="AA14" s="77">
        <f t="shared" si="16"/>
        <v>0.18090715582088854</v>
      </c>
      <c r="AB14" s="77">
        <f t="shared" si="17"/>
        <v>1.8090715582088856E-3</v>
      </c>
      <c r="AC14" s="77">
        <f t="shared" si="18"/>
        <v>1.8090715582088855E-9</v>
      </c>
      <c r="AD14" s="77">
        <f>((B14*G14*C14)+(B14*G14*E14))/1000000^2</f>
        <v>1.8090715582088855E-5</v>
      </c>
      <c r="AE14" s="77">
        <f t="shared" si="19"/>
        <v>18.090715582088855</v>
      </c>
      <c r="AF14" s="77">
        <f t="shared" si="20"/>
        <v>1.9472684189977913E-4</v>
      </c>
      <c r="AG14" s="82">
        <f t="shared" si="21"/>
        <v>2.8040665233568192E-2</v>
      </c>
      <c r="AH14" s="146">
        <v>1670.8</v>
      </c>
      <c r="AI14" s="188">
        <v>1668.9</v>
      </c>
      <c r="AJ14" s="79">
        <v>4.8162250350744303E-5</v>
      </c>
      <c r="AK14" s="74">
        <v>4.8162250350744296E-6</v>
      </c>
      <c r="AL14" s="74">
        <v>4.8162250350744296E-9</v>
      </c>
      <c r="AM14" s="74">
        <v>4.8162299999999998E-4</v>
      </c>
      <c r="AN14" s="74">
        <v>4.8162250350744298E-10</v>
      </c>
      <c r="AO14" s="75">
        <v>4.8162250350744301E-7</v>
      </c>
      <c r="AP14" s="117">
        <v>4.3491158688724998E-6</v>
      </c>
      <c r="AQ14" s="76">
        <v>6.3424606421057394E-5</v>
      </c>
      <c r="AR14" s="76">
        <v>1.97272577436649E-9</v>
      </c>
      <c r="AS14" s="76">
        <v>1.9727257743664899E-6</v>
      </c>
      <c r="AT14" s="118">
        <v>1.9727299999999998E-3</v>
      </c>
      <c r="AU14" s="125">
        <v>1.8090715582088901E-7</v>
      </c>
      <c r="AV14" s="125">
        <v>4.4703131749260598E-9</v>
      </c>
      <c r="AW14" s="77">
        <v>0.18090700000000001</v>
      </c>
      <c r="AX14" s="77">
        <v>1.8090700000000001E-3</v>
      </c>
      <c r="AY14" s="77">
        <v>1.8090715582088901E-9</v>
      </c>
      <c r="AZ14" s="77">
        <v>1.8090715582088899E-5</v>
      </c>
      <c r="BA14" s="77">
        <v>18.090699999999998</v>
      </c>
      <c r="BB14" s="77">
        <v>1.9472700000000001E-4</v>
      </c>
      <c r="BC14" s="126">
        <v>2.8040700000000002E-2</v>
      </c>
      <c r="BD14" s="253">
        <f t="shared" si="22"/>
        <v>1.6986376274042886E-6</v>
      </c>
      <c r="BE14" s="254">
        <f t="shared" si="23"/>
        <v>6.2227313334071567E-6</v>
      </c>
      <c r="BF14" s="48">
        <f t="shared" si="24"/>
        <v>9.8487601183086596E-16</v>
      </c>
      <c r="BG14" s="47">
        <f t="shared" si="24"/>
        <v>1.0552242983902136E-15</v>
      </c>
      <c r="BH14" s="47">
        <f t="shared" si="24"/>
        <v>1.202241225379475E-15</v>
      </c>
      <c r="BI14" s="47">
        <f t="shared" si="24"/>
        <v>-1.0308749131743582E-6</v>
      </c>
      <c r="BJ14" s="47">
        <f t="shared" si="24"/>
        <v>1.0734296655173885E-15</v>
      </c>
      <c r="BK14" s="48">
        <f t="shared" si="24"/>
        <v>1.0991919774898056E-15</v>
      </c>
      <c r="BL14" s="109">
        <f t="shared" si="25"/>
        <v>9.7379901202067899E-16</v>
      </c>
      <c r="BM14" s="49">
        <f t="shared" si="26"/>
        <v>-4.2735865213250363E-16</v>
      </c>
      <c r="BN14" s="49">
        <f t="shared" si="26"/>
        <v>-8.3861692618545981E-16</v>
      </c>
      <c r="BO14" s="49">
        <f t="shared" si="26"/>
        <v>-6.4405779931043308E-16</v>
      </c>
      <c r="BP14" s="110">
        <f t="shared" si="26"/>
        <v>-2.1420278307191745E-6</v>
      </c>
      <c r="BQ14" s="48">
        <f t="shared" si="26"/>
        <v>-2.4873878050151134E-15</v>
      </c>
      <c r="BR14" s="47">
        <f t="shared" si="26"/>
        <v>-3.7007725418106071E-16</v>
      </c>
      <c r="BS14" s="47">
        <f t="shared" si="26"/>
        <v>8.6133070755796042E-7</v>
      </c>
      <c r="BT14" s="47">
        <f t="shared" si="26"/>
        <v>8.6133070768741226E-7</v>
      </c>
      <c r="BU14" s="47">
        <f t="shared" si="26"/>
        <v>-2.5148222293351331E-15</v>
      </c>
      <c r="BV14" s="47">
        <f t="shared" si="26"/>
        <v>-2.4347137103206757E-15</v>
      </c>
      <c r="BW14" s="47">
        <f t="shared" si="26"/>
        <v>8.613307077788916E-7</v>
      </c>
      <c r="BX14" s="47">
        <f t="shared" si="26"/>
        <v>-8.1190769250783888E-7</v>
      </c>
      <c r="BY14" s="50">
        <f t="shared" si="26"/>
        <v>-1.2398575968236924E-6</v>
      </c>
    </row>
    <row r="15" spans="2:77" ht="15.75" thickTop="1" x14ac:dyDescent="0.25"/>
    <row r="16" spans="2:77" ht="15.75" thickBot="1" x14ac:dyDescent="0.3"/>
    <row r="17" spans="2:77" ht="30.75" customHeight="1" thickTop="1" thickBot="1" x14ac:dyDescent="0.3">
      <c r="B17" s="343" t="s">
        <v>46</v>
      </c>
      <c r="C17" s="356"/>
      <c r="D17" s="356"/>
      <c r="E17" s="356"/>
      <c r="F17" s="356"/>
      <c r="G17" s="357"/>
      <c r="H17" s="346" t="s">
        <v>51</v>
      </c>
      <c r="I17" s="360"/>
      <c r="J17" s="360"/>
      <c r="K17" s="361"/>
      <c r="L17" s="137"/>
      <c r="M17" s="137"/>
    </row>
    <row r="18" spans="2:77" ht="16.5" customHeight="1" thickTop="1" thickBot="1" x14ac:dyDescent="0.3">
      <c r="B18" s="337" t="s">
        <v>49</v>
      </c>
      <c r="C18" s="358"/>
      <c r="D18" s="358"/>
      <c r="E18" s="358"/>
      <c r="F18" s="358"/>
      <c r="G18" s="359"/>
      <c r="H18" s="311" t="s">
        <v>31</v>
      </c>
      <c r="I18" s="312"/>
      <c r="J18" s="312"/>
      <c r="K18" s="313"/>
      <c r="L18" s="364" t="s">
        <v>93</v>
      </c>
      <c r="M18" s="365"/>
      <c r="N18" s="340" t="s">
        <v>21</v>
      </c>
      <c r="O18" s="341"/>
      <c r="P18" s="341"/>
      <c r="Q18" s="341"/>
      <c r="R18" s="341"/>
      <c r="S18" s="341"/>
      <c r="T18" s="294" t="s">
        <v>22</v>
      </c>
      <c r="U18" s="295"/>
      <c r="V18" s="295"/>
      <c r="W18" s="295"/>
      <c r="X18" s="296"/>
      <c r="Y18" s="304" t="s">
        <v>44</v>
      </c>
      <c r="Z18" s="305"/>
      <c r="AA18" s="305"/>
      <c r="AB18" s="305"/>
      <c r="AC18" s="305"/>
      <c r="AD18" s="305"/>
      <c r="AE18" s="305"/>
      <c r="AF18" s="305"/>
      <c r="AG18" s="305"/>
      <c r="AH18" s="364" t="s">
        <v>93</v>
      </c>
      <c r="AI18" s="365"/>
      <c r="AJ18" s="340" t="s">
        <v>21</v>
      </c>
      <c r="AK18" s="301"/>
      <c r="AL18" s="301"/>
      <c r="AM18" s="301"/>
      <c r="AN18" s="301"/>
      <c r="AO18" s="301"/>
      <c r="AP18" s="294" t="s">
        <v>22</v>
      </c>
      <c r="AQ18" s="295"/>
      <c r="AR18" s="295"/>
      <c r="AS18" s="295"/>
      <c r="AT18" s="296"/>
      <c r="AU18" s="304" t="s">
        <v>45</v>
      </c>
      <c r="AV18" s="305"/>
      <c r="AW18" s="305"/>
      <c r="AX18" s="305"/>
      <c r="AY18" s="305"/>
      <c r="AZ18" s="305"/>
      <c r="BA18" s="305"/>
      <c r="BB18" s="305"/>
      <c r="BC18" s="306"/>
      <c r="BD18" s="385" t="s">
        <v>93</v>
      </c>
      <c r="BE18" s="386"/>
      <c r="BF18" s="328" t="s">
        <v>21</v>
      </c>
      <c r="BG18" s="323"/>
      <c r="BH18" s="323"/>
      <c r="BI18" s="323"/>
      <c r="BJ18" s="323"/>
      <c r="BK18" s="323"/>
      <c r="BL18" s="322" t="s">
        <v>22</v>
      </c>
      <c r="BM18" s="323"/>
      <c r="BN18" s="323"/>
      <c r="BO18" s="323"/>
      <c r="BP18" s="324"/>
      <c r="BQ18" s="328" t="s">
        <v>45</v>
      </c>
      <c r="BR18" s="323"/>
      <c r="BS18" s="323"/>
      <c r="BT18" s="323"/>
      <c r="BU18" s="323"/>
      <c r="BV18" s="323"/>
      <c r="BW18" s="323"/>
      <c r="BX18" s="323"/>
      <c r="BY18" s="329"/>
    </row>
    <row r="19" spans="2:77" s="18" customFormat="1" ht="15" customHeight="1" thickBot="1" x14ac:dyDescent="0.3">
      <c r="B19" s="389" t="s">
        <v>85</v>
      </c>
      <c r="C19" s="379" t="s">
        <v>20</v>
      </c>
      <c r="D19" s="309" t="s">
        <v>89</v>
      </c>
      <c r="E19" s="375" t="s">
        <v>92</v>
      </c>
      <c r="F19" s="362" t="s">
        <v>1</v>
      </c>
      <c r="G19" s="392" t="s">
        <v>84</v>
      </c>
      <c r="H19" s="314"/>
      <c r="I19" s="315"/>
      <c r="J19" s="315"/>
      <c r="K19" s="316"/>
      <c r="L19" s="366" t="s">
        <v>89</v>
      </c>
      <c r="M19" s="368" t="s">
        <v>92</v>
      </c>
      <c r="N19" s="342"/>
      <c r="O19" s="342"/>
      <c r="P19" s="342"/>
      <c r="Q19" s="342"/>
      <c r="R19" s="342"/>
      <c r="S19" s="342"/>
      <c r="T19" s="297"/>
      <c r="U19" s="298"/>
      <c r="V19" s="298"/>
      <c r="W19" s="298"/>
      <c r="X19" s="299"/>
      <c r="Y19" s="307"/>
      <c r="Z19" s="307"/>
      <c r="AA19" s="307"/>
      <c r="AB19" s="307"/>
      <c r="AC19" s="307"/>
      <c r="AD19" s="307"/>
      <c r="AE19" s="307"/>
      <c r="AF19" s="307"/>
      <c r="AG19" s="307"/>
      <c r="AH19" s="366" t="s">
        <v>89</v>
      </c>
      <c r="AI19" s="368" t="s">
        <v>92</v>
      </c>
      <c r="AJ19" s="303"/>
      <c r="AK19" s="303"/>
      <c r="AL19" s="303"/>
      <c r="AM19" s="303"/>
      <c r="AN19" s="303"/>
      <c r="AO19" s="303"/>
      <c r="AP19" s="297"/>
      <c r="AQ19" s="298"/>
      <c r="AR19" s="298"/>
      <c r="AS19" s="298"/>
      <c r="AT19" s="299"/>
      <c r="AU19" s="307"/>
      <c r="AV19" s="307"/>
      <c r="AW19" s="307"/>
      <c r="AX19" s="307"/>
      <c r="AY19" s="307"/>
      <c r="AZ19" s="307"/>
      <c r="BA19" s="307"/>
      <c r="BB19" s="307"/>
      <c r="BC19" s="308"/>
      <c r="BD19" s="387" t="s">
        <v>89</v>
      </c>
      <c r="BE19" s="383" t="s">
        <v>92</v>
      </c>
      <c r="BF19" s="326"/>
      <c r="BG19" s="326"/>
      <c r="BH19" s="326"/>
      <c r="BI19" s="326"/>
      <c r="BJ19" s="326"/>
      <c r="BK19" s="326"/>
      <c r="BL19" s="325"/>
      <c r="BM19" s="326"/>
      <c r="BN19" s="326"/>
      <c r="BO19" s="326"/>
      <c r="BP19" s="327"/>
      <c r="BQ19" s="326"/>
      <c r="BR19" s="326"/>
      <c r="BS19" s="326"/>
      <c r="BT19" s="326"/>
      <c r="BU19" s="326"/>
      <c r="BV19" s="326"/>
      <c r="BW19" s="326"/>
      <c r="BX19" s="326"/>
      <c r="BY19" s="330"/>
    </row>
    <row r="20" spans="2:77" s="18" customFormat="1" ht="18" thickBot="1" x14ac:dyDescent="0.3">
      <c r="B20" s="390"/>
      <c r="C20" s="380"/>
      <c r="D20" s="370"/>
      <c r="E20" s="376"/>
      <c r="F20" s="363"/>
      <c r="G20" s="393"/>
      <c r="H20" s="19" t="s">
        <v>29</v>
      </c>
      <c r="I20" s="20" t="s">
        <v>28</v>
      </c>
      <c r="J20" s="20" t="s">
        <v>30</v>
      </c>
      <c r="K20" s="21" t="s">
        <v>27</v>
      </c>
      <c r="L20" s="367"/>
      <c r="M20" s="369"/>
      <c r="N20" s="29" t="s">
        <v>32</v>
      </c>
      <c r="O20" s="24" t="s">
        <v>34</v>
      </c>
      <c r="P20" s="24" t="s">
        <v>33</v>
      </c>
      <c r="Q20" s="24" t="s">
        <v>35</v>
      </c>
      <c r="R20" s="24" t="s">
        <v>37</v>
      </c>
      <c r="S20" s="30" t="s">
        <v>36</v>
      </c>
      <c r="T20" s="111" t="s">
        <v>38</v>
      </c>
      <c r="U20" s="22" t="s">
        <v>39</v>
      </c>
      <c r="V20" s="22" t="s">
        <v>40</v>
      </c>
      <c r="W20" s="22" t="s">
        <v>41</v>
      </c>
      <c r="X20" s="112" t="s">
        <v>42</v>
      </c>
      <c r="Y20" s="25" t="s">
        <v>11</v>
      </c>
      <c r="Z20" s="23" t="s">
        <v>13</v>
      </c>
      <c r="AA20" s="23" t="s">
        <v>23</v>
      </c>
      <c r="AB20" s="23" t="s">
        <v>24</v>
      </c>
      <c r="AC20" s="23" t="s">
        <v>12</v>
      </c>
      <c r="AD20" s="23" t="s">
        <v>25</v>
      </c>
      <c r="AE20" s="23" t="s">
        <v>26</v>
      </c>
      <c r="AF20" s="23" t="s">
        <v>10</v>
      </c>
      <c r="AG20" s="25" t="s">
        <v>9</v>
      </c>
      <c r="AH20" s="367"/>
      <c r="AI20" s="369"/>
      <c r="AJ20" s="29" t="s">
        <v>32</v>
      </c>
      <c r="AK20" s="24" t="s">
        <v>34</v>
      </c>
      <c r="AL20" s="24" t="s">
        <v>33</v>
      </c>
      <c r="AM20" s="24" t="s">
        <v>35</v>
      </c>
      <c r="AN20" s="24" t="s">
        <v>37</v>
      </c>
      <c r="AO20" s="30" t="s">
        <v>36</v>
      </c>
      <c r="AP20" s="111" t="s">
        <v>38</v>
      </c>
      <c r="AQ20" s="22" t="s">
        <v>39</v>
      </c>
      <c r="AR20" s="22" t="s">
        <v>40</v>
      </c>
      <c r="AS20" s="22" t="s">
        <v>41</v>
      </c>
      <c r="AT20" s="112" t="s">
        <v>42</v>
      </c>
      <c r="AU20" s="26" t="s">
        <v>11</v>
      </c>
      <c r="AV20" s="27" t="s">
        <v>13</v>
      </c>
      <c r="AW20" s="27" t="s">
        <v>23</v>
      </c>
      <c r="AX20" s="27" t="s">
        <v>24</v>
      </c>
      <c r="AY20" s="27" t="s">
        <v>12</v>
      </c>
      <c r="AZ20" s="27" t="s">
        <v>25</v>
      </c>
      <c r="BA20" s="27" t="s">
        <v>26</v>
      </c>
      <c r="BB20" s="27" t="s">
        <v>10</v>
      </c>
      <c r="BC20" s="120" t="s">
        <v>9</v>
      </c>
      <c r="BD20" s="388"/>
      <c r="BE20" s="384"/>
      <c r="BF20" s="34" t="s">
        <v>32</v>
      </c>
      <c r="BG20" s="33" t="s">
        <v>34</v>
      </c>
      <c r="BH20" s="33" t="s">
        <v>33</v>
      </c>
      <c r="BI20" s="33" t="s">
        <v>35</v>
      </c>
      <c r="BJ20" s="33" t="s">
        <v>37</v>
      </c>
      <c r="BK20" s="34" t="s">
        <v>36</v>
      </c>
      <c r="BL20" s="103" t="s">
        <v>38</v>
      </c>
      <c r="BM20" s="33" t="s">
        <v>39</v>
      </c>
      <c r="BN20" s="33" t="s">
        <v>40</v>
      </c>
      <c r="BO20" s="33" t="s">
        <v>41</v>
      </c>
      <c r="BP20" s="104" t="s">
        <v>42</v>
      </c>
      <c r="BQ20" s="34" t="s">
        <v>11</v>
      </c>
      <c r="BR20" s="33" t="s">
        <v>13</v>
      </c>
      <c r="BS20" s="33" t="s">
        <v>23</v>
      </c>
      <c r="BT20" s="33" t="s">
        <v>24</v>
      </c>
      <c r="BU20" s="33" t="s">
        <v>12</v>
      </c>
      <c r="BV20" s="33" t="s">
        <v>25</v>
      </c>
      <c r="BW20" s="33" t="s">
        <v>26</v>
      </c>
      <c r="BX20" s="33" t="s">
        <v>10</v>
      </c>
      <c r="BY20" s="35" t="s">
        <v>9</v>
      </c>
    </row>
    <row r="21" spans="2:77" x14ac:dyDescent="0.25">
      <c r="B21" s="84">
        <v>33</v>
      </c>
      <c r="C21" s="92">
        <v>88</v>
      </c>
      <c r="D21" s="151">
        <f t="shared" ref="D21:D28" si="27">2*SIN(((2*PI())/G21)/2)*B21</f>
        <v>25.257106536095925</v>
      </c>
      <c r="E21" s="148">
        <f t="shared" ref="E21:E28" si="28">B21*COS(((2*PI())/G21)/2)</f>
        <v>30.488024572872462</v>
      </c>
      <c r="F21" s="155" t="s">
        <v>2</v>
      </c>
      <c r="G21" s="85">
        <v>8</v>
      </c>
      <c r="H21" s="62"/>
      <c r="I21" s="53"/>
      <c r="J21" s="8">
        <v>598</v>
      </c>
      <c r="K21" s="54"/>
      <c r="L21" s="143">
        <f t="shared" ref="L21:L28" si="29">2*SIN(((2*PI())/G21)/2)*B21</f>
        <v>25.257106536095925</v>
      </c>
      <c r="M21" s="185">
        <f t="shared" ref="M21:M28" si="30">B21*COS(((2*PI())/G21)/2)</f>
        <v>30.488024572872462</v>
      </c>
      <c r="N21" s="78">
        <f>R21*100000</f>
        <v>27105.38282186769</v>
      </c>
      <c r="O21" s="65">
        <f>R21*10000</f>
        <v>2710.5382821867693</v>
      </c>
      <c r="P21" s="65">
        <f>R21*10</f>
        <v>2.7105382821867692</v>
      </c>
      <c r="Q21" s="65">
        <f>R21*1000000</f>
        <v>271053.82821867691</v>
      </c>
      <c r="R21" s="65">
        <f>((D21*G21*C21*E21)/2)/100^3</f>
        <v>0.27105382821867691</v>
      </c>
      <c r="S21" s="138">
        <f>R21*1000</f>
        <v>271.05382821867693</v>
      </c>
      <c r="T21" s="113">
        <f>W21/0.45359237</f>
        <v>5724.1610130614627</v>
      </c>
      <c r="U21" s="67">
        <f>W21*1000/31.1034768</f>
        <v>83477.348107146332</v>
      </c>
      <c r="V21" s="67">
        <f>W21/1000</f>
        <v>2.5964357601761501</v>
      </c>
      <c r="W21" s="67">
        <f>R21*(0.45359237/0.3048^3)*J21</f>
        <v>2596.4357601761499</v>
      </c>
      <c r="X21" s="114">
        <f>W21*1000</f>
        <v>2596435.7601761497</v>
      </c>
      <c r="Y21" s="80">
        <f>AD21/100</f>
        <v>2.3941317279108736E-2</v>
      </c>
      <c r="Z21" s="68">
        <f>AD21/4046.8564224</f>
        <v>5.9160283390806011E-4</v>
      </c>
      <c r="AA21" s="68">
        <f>AD21*10000</f>
        <v>23941.317279108735</v>
      </c>
      <c r="AB21" s="68">
        <f>AD21*100</f>
        <v>239.41317279108736</v>
      </c>
      <c r="AC21" s="68">
        <f>AD21/10000</f>
        <v>2.3941317279108735E-4</v>
      </c>
      <c r="AD21" s="68">
        <f>((D21*G21*C21)+(D21*G21*E21))/100^2</f>
        <v>2.3941317279108736</v>
      </c>
      <c r="AE21" s="68">
        <f>AD21*1000000</f>
        <v>2394131.7279108735</v>
      </c>
      <c r="AF21" s="68">
        <f>AD21/144*10000/(2.54*2.54)</f>
        <v>25.770219445035096</v>
      </c>
      <c r="AG21" s="80">
        <f>AD21*10000/(2.54 *2.54)</f>
        <v>3710.911600085054</v>
      </c>
      <c r="AH21" s="143">
        <v>25.257000000000001</v>
      </c>
      <c r="AI21" s="185">
        <v>30.488</v>
      </c>
      <c r="AJ21" s="78">
        <v>27105.4</v>
      </c>
      <c r="AK21" s="65">
        <v>2710.54</v>
      </c>
      <c r="AL21" s="65">
        <v>2.7105399999999999</v>
      </c>
      <c r="AM21" s="65">
        <v>271054</v>
      </c>
      <c r="AN21" s="65">
        <v>0.27105400000000002</v>
      </c>
      <c r="AO21" s="66">
        <v>271.05399999999997</v>
      </c>
      <c r="AP21" s="113">
        <v>5724.16</v>
      </c>
      <c r="AQ21" s="67">
        <v>83477.3</v>
      </c>
      <c r="AR21" s="67">
        <v>2.5964399999999999</v>
      </c>
      <c r="AS21" s="67">
        <v>2596.44</v>
      </c>
      <c r="AT21" s="114">
        <v>2596436</v>
      </c>
      <c r="AU21" s="121">
        <v>2.3941299999999999E-2</v>
      </c>
      <c r="AV21" s="121">
        <v>5.9160300000000001E-4</v>
      </c>
      <c r="AW21" s="68">
        <v>23941.3</v>
      </c>
      <c r="AX21" s="68">
        <v>239.41300000000001</v>
      </c>
      <c r="AY21" s="68">
        <v>2.3941300000000001E-4</v>
      </c>
      <c r="AZ21" s="68">
        <v>2.3941300000000001</v>
      </c>
      <c r="BA21" s="68">
        <v>2394132</v>
      </c>
      <c r="BB21" s="68">
        <v>25.770199999999999</v>
      </c>
      <c r="BC21" s="122">
        <v>3710.91</v>
      </c>
      <c r="BD21" s="249">
        <f>(L21-AH21)/L21</f>
        <v>4.2180641623204119E-6</v>
      </c>
      <c r="BE21" s="250">
        <f>(M21-AI21)/M21</f>
        <v>8.0598440884303566E-7</v>
      </c>
      <c r="BF21" s="38">
        <f t="shared" ref="BF21:BL21" si="31">(N21-AJ21)/N21</f>
        <v>-6.3375353981975827E-7</v>
      </c>
      <c r="BG21" s="37">
        <f t="shared" si="31"/>
        <v>-6.3375353965198804E-7</v>
      </c>
      <c r="BH21" s="37">
        <f t="shared" si="31"/>
        <v>-6.337535396795128E-7</v>
      </c>
      <c r="BI21" s="37">
        <f t="shared" si="31"/>
        <v>-6.3375353973922852E-7</v>
      </c>
      <c r="BJ21" s="37">
        <f t="shared" si="31"/>
        <v>-6.3375353980239134E-7</v>
      </c>
      <c r="BK21" s="38">
        <f t="shared" si="31"/>
        <v>-6.3375353956810298E-7</v>
      </c>
      <c r="BL21" s="105">
        <f t="shared" si="31"/>
        <v>1.76979903340953E-7</v>
      </c>
      <c r="BM21" s="39">
        <f t="shared" ref="BM21:BM28" si="32">(U21-AQ21)/U21</f>
        <v>5.7628982496404539E-7</v>
      </c>
      <c r="BN21" s="39">
        <f t="shared" ref="BN21:BN28" si="33">(V21-AR21)/V21</f>
        <v>-1.6329400152367034E-6</v>
      </c>
      <c r="BO21" s="39">
        <f t="shared" ref="BO21:BO28" si="34">(W21-AS21)/W21</f>
        <v>-1.6329400153913219E-6</v>
      </c>
      <c r="BP21" s="106">
        <f t="shared" ref="BP21:BP28" si="35">(X21-AT21)/X21</f>
        <v>-9.2366564201513535E-8</v>
      </c>
      <c r="BQ21" s="38">
        <f t="shared" ref="BQ21:BY28" si="36">(Y21-AU21)/Y21</f>
        <v>7.2172756979672243E-7</v>
      </c>
      <c r="BR21" s="37">
        <f t="shared" si="36"/>
        <v>-2.8074906065033485E-7</v>
      </c>
      <c r="BS21" s="37">
        <f t="shared" si="36"/>
        <v>7.2172756969875556E-7</v>
      </c>
      <c r="BT21" s="37">
        <f t="shared" si="36"/>
        <v>7.2172756969400688E-7</v>
      </c>
      <c r="BU21" s="37">
        <f t="shared" si="36"/>
        <v>7.2172756967445069E-7</v>
      </c>
      <c r="BV21" s="37">
        <f t="shared" si="36"/>
        <v>7.2172756968658729E-7</v>
      </c>
      <c r="BW21" s="37">
        <f t="shared" si="36"/>
        <v>-1.1364835248947836E-7</v>
      </c>
      <c r="BX21" s="37">
        <f t="shared" si="36"/>
        <v>7.5455450188306177E-7</v>
      </c>
      <c r="BY21" s="40">
        <f t="shared" si="36"/>
        <v>4.3118382398059847E-7</v>
      </c>
    </row>
    <row r="22" spans="2:77" x14ac:dyDescent="0.25">
      <c r="B22" s="86">
        <v>19</v>
      </c>
      <c r="C22" s="93">
        <v>7</v>
      </c>
      <c r="D22" s="152">
        <f t="shared" si="27"/>
        <v>18.999999999999996</v>
      </c>
      <c r="E22" s="149">
        <f t="shared" si="28"/>
        <v>16.454482671904337</v>
      </c>
      <c r="F22" s="156" t="s">
        <v>3</v>
      </c>
      <c r="G22" s="87">
        <v>6</v>
      </c>
      <c r="H22" s="59"/>
      <c r="I22" s="4">
        <v>48</v>
      </c>
      <c r="J22" s="58"/>
      <c r="K22" s="55"/>
      <c r="L22" s="144">
        <f t="shared" si="29"/>
        <v>18.999999999999996</v>
      </c>
      <c r="M22" s="186">
        <f t="shared" si="30"/>
        <v>16.454482671904337</v>
      </c>
      <c r="N22" s="69">
        <f t="shared" ref="N22:N28" si="37">R22*100000</f>
        <v>18590968.55668439</v>
      </c>
      <c r="O22" s="70">
        <f t="shared" ref="O22:O28" si="38">R22*10000</f>
        <v>1859096.8556684391</v>
      </c>
      <c r="P22" s="70">
        <f t="shared" ref="P22:P28" si="39">R22*10</f>
        <v>1859.096855668439</v>
      </c>
      <c r="Q22" s="70">
        <f t="shared" ref="Q22:Q28" si="40">R22*1000000</f>
        <v>185909685.5668439</v>
      </c>
      <c r="R22" s="70">
        <f>((D22*G22*C22*E22)/2)*0.3048^3</f>
        <v>185.9096855668439</v>
      </c>
      <c r="S22" s="139">
        <f t="shared" ref="S22:S28" si="41">R22*1000</f>
        <v>185909.68556684389</v>
      </c>
      <c r="T22" s="115">
        <f t="shared" ref="T22:T28" si="42">W22/0.45359237</f>
        <v>19673313.524229929</v>
      </c>
      <c r="U22" s="72">
        <f t="shared" ref="U22:U28" si="43">W22*1000/31.1034768</f>
        <v>286902488.89501977</v>
      </c>
      <c r="V22" s="72">
        <f t="shared" ref="V22:V28" si="44">W22/1000</f>
        <v>8923.6649072085056</v>
      </c>
      <c r="W22" s="72">
        <f>R22*1000*I22</f>
        <v>8923664.907208506</v>
      </c>
      <c r="X22" s="116">
        <f t="shared" ref="X22:X28" si="45">W22*1000</f>
        <v>8923664907.2085056</v>
      </c>
      <c r="Y22" s="81">
        <f t="shared" ref="Y22:Y28" si="46">AD22/100</f>
        <v>2.4840517257058479</v>
      </c>
      <c r="Z22" s="73">
        <f t="shared" ref="Z22:Z28" si="47">AD22/4046.8564224</f>
        <v>6.138225492647139E-2</v>
      </c>
      <c r="AA22" s="73">
        <f t="shared" ref="AA22:AA28" si="48">AD22*10000</f>
        <v>2484051.7257058481</v>
      </c>
      <c r="AB22" s="73">
        <f t="shared" ref="AB22:AB28" si="49">AD22*100</f>
        <v>24840.51725705848</v>
      </c>
      <c r="AC22" s="73">
        <f t="shared" ref="AC22:AC28" si="50">AD22/10000</f>
        <v>2.4840517257058478E-2</v>
      </c>
      <c r="AD22" s="73">
        <f>((D22*G22*C22)+(D22*G22*E22))*0.3048^2</f>
        <v>248.4051725705848</v>
      </c>
      <c r="AE22" s="73">
        <f t="shared" ref="AE22:AE28" si="51">AD22*1000000</f>
        <v>248405172.5705848</v>
      </c>
      <c r="AF22" s="73">
        <f t="shared" ref="AF22:AF28" si="52">AD22/144*10000/(2.54*2.54)</f>
        <v>2673.8110245970938</v>
      </c>
      <c r="AG22" s="81">
        <f t="shared" ref="AG22:AG28" si="53">AD22*10000/(2.54 *2.54)</f>
        <v>385028.78754198155</v>
      </c>
      <c r="AH22" s="144">
        <v>19</v>
      </c>
      <c r="AI22" s="186">
        <v>16.454000000000001</v>
      </c>
      <c r="AJ22" s="69">
        <v>18590969</v>
      </c>
      <c r="AK22" s="69">
        <v>1859097</v>
      </c>
      <c r="AL22" s="70">
        <v>1859.1</v>
      </c>
      <c r="AM22" s="70">
        <v>185909686</v>
      </c>
      <c r="AN22" s="70">
        <v>185.91</v>
      </c>
      <c r="AO22" s="71">
        <v>185910</v>
      </c>
      <c r="AP22" s="115">
        <v>19673314</v>
      </c>
      <c r="AQ22" s="72">
        <v>286902489</v>
      </c>
      <c r="AR22" s="72">
        <v>8923.66</v>
      </c>
      <c r="AS22" s="72">
        <v>8923665</v>
      </c>
      <c r="AT22" s="116">
        <v>8923664907</v>
      </c>
      <c r="AU22" s="123">
        <v>2.4840499999999999</v>
      </c>
      <c r="AV22" s="123">
        <v>6.1382300000000001E-2</v>
      </c>
      <c r="AW22" s="73">
        <v>2484052</v>
      </c>
      <c r="AX22" s="73">
        <v>24840.5</v>
      </c>
      <c r="AY22" s="73">
        <v>2.4840500000000001E-2</v>
      </c>
      <c r="AZ22" s="73">
        <v>248.405</v>
      </c>
      <c r="BA22" s="73">
        <v>248405173</v>
      </c>
      <c r="BB22" s="73">
        <v>2673.81</v>
      </c>
      <c r="BC22" s="124">
        <v>385029</v>
      </c>
      <c r="BD22" s="251">
        <f t="shared" ref="BD22:BD28" si="54">(L22-AH22)/L22</f>
        <v>-1.869849304631843E-16</v>
      </c>
      <c r="BE22" s="252">
        <f t="shared" ref="BE22:BE28" si="55">(M22-AI22)/M22</f>
        <v>2.9333763568309332E-5</v>
      </c>
      <c r="BF22" s="43">
        <f t="shared" ref="BF22:BK28" si="56">(N22-AJ22)/N22</f>
        <v>-2.3845751174173192E-8</v>
      </c>
      <c r="BG22" s="42">
        <f t="shared" si="56"/>
        <v>-7.7635310121553959E-8</v>
      </c>
      <c r="BH22" s="42">
        <f t="shared" si="56"/>
        <v>-1.6913220800057245E-6</v>
      </c>
      <c r="BI22" s="42">
        <f t="shared" si="56"/>
        <v>-2.3299275751827102E-9</v>
      </c>
      <c r="BJ22" s="42">
        <f t="shared" si="56"/>
        <v>-1.6913220800363003E-6</v>
      </c>
      <c r="BK22" s="43">
        <f t="shared" si="56"/>
        <v>-1.6913220801084595E-6</v>
      </c>
      <c r="BL22" s="107">
        <f t="shared" ref="BL22:BL28" si="57">(T22-AP22)/T22</f>
        <v>-2.4183525086554804E-8</v>
      </c>
      <c r="BM22" s="44">
        <f t="shared" si="32"/>
        <v>-3.6590909592922397E-10</v>
      </c>
      <c r="BN22" s="44">
        <f t="shared" si="33"/>
        <v>5.4990954465266432E-7</v>
      </c>
      <c r="BO22" s="44">
        <f t="shared" si="34"/>
        <v>-1.0398361541693481E-8</v>
      </c>
      <c r="BP22" s="108">
        <f t="shared" si="35"/>
        <v>2.3365470651495882E-11</v>
      </c>
      <c r="BQ22" s="43">
        <f t="shared" si="36"/>
        <v>6.9471413583739871E-7</v>
      </c>
      <c r="BR22" s="42">
        <f t="shared" si="36"/>
        <v>-7.3430877808051491E-7</v>
      </c>
      <c r="BS22" s="42">
        <f t="shared" si="36"/>
        <v>-1.1042207740123017E-7</v>
      </c>
      <c r="BT22" s="42">
        <f t="shared" si="36"/>
        <v>6.9471413583882893E-7</v>
      </c>
      <c r="BU22" s="42">
        <f t="shared" si="36"/>
        <v>6.9471413570331668E-7</v>
      </c>
      <c r="BV22" s="42">
        <f t="shared" si="36"/>
        <v>6.9471413581594559E-7</v>
      </c>
      <c r="BW22" s="42">
        <f t="shared" si="36"/>
        <v>-1.728688624864784E-9</v>
      </c>
      <c r="BX22" s="42">
        <f t="shared" si="36"/>
        <v>3.8319727327342747E-7</v>
      </c>
      <c r="BY22" s="45">
        <f t="shared" si="36"/>
        <v>-5.5179774946873505E-7</v>
      </c>
    </row>
    <row r="23" spans="2:77" x14ac:dyDescent="0.25">
      <c r="B23" s="86">
        <v>78</v>
      </c>
      <c r="C23" s="93">
        <v>16</v>
      </c>
      <c r="D23" s="152">
        <f t="shared" si="27"/>
        <v>21.241997259014468</v>
      </c>
      <c r="E23" s="149">
        <f t="shared" si="28"/>
        <v>77.2735037908338</v>
      </c>
      <c r="F23" s="156" t="s">
        <v>4</v>
      </c>
      <c r="G23" s="87">
        <v>23</v>
      </c>
      <c r="H23" s="11">
        <v>157</v>
      </c>
      <c r="I23" s="56"/>
      <c r="J23" s="56"/>
      <c r="K23" s="55"/>
      <c r="L23" s="144">
        <f t="shared" si="29"/>
        <v>21.241997259014468</v>
      </c>
      <c r="M23" s="186">
        <f t="shared" si="30"/>
        <v>77.2735037908338</v>
      </c>
      <c r="N23" s="69">
        <f t="shared" si="37"/>
        <v>494931.30703926989</v>
      </c>
      <c r="O23" s="70">
        <f t="shared" si="38"/>
        <v>49493.130703926989</v>
      </c>
      <c r="P23" s="70">
        <f t="shared" si="39"/>
        <v>49.493130703926987</v>
      </c>
      <c r="Q23" s="70">
        <f t="shared" si="40"/>
        <v>4949313.070392699</v>
      </c>
      <c r="R23" s="70">
        <f>((D23*G23*C23*E23)/2)*(2.54/100)^3</f>
        <v>4.9493130703926989</v>
      </c>
      <c r="S23" s="139">
        <f t="shared" si="41"/>
        <v>4949.313070392699</v>
      </c>
      <c r="T23" s="115">
        <f t="shared" si="42"/>
        <v>1713.0847065431319</v>
      </c>
      <c r="U23" s="72">
        <f t="shared" si="43"/>
        <v>24982.485303754009</v>
      </c>
      <c r="V23" s="72">
        <f t="shared" si="44"/>
        <v>0.77704215205165372</v>
      </c>
      <c r="W23" s="72">
        <f>R23*H23</f>
        <v>777.04215205165372</v>
      </c>
      <c r="X23" s="116">
        <f t="shared" si="45"/>
        <v>777042.15205165371</v>
      </c>
      <c r="Y23" s="81">
        <f t="shared" si="46"/>
        <v>0.29400106859579678</v>
      </c>
      <c r="Z23" s="73">
        <f t="shared" si="47"/>
        <v>7.2649246207118611E-3</v>
      </c>
      <c r="AA23" s="73">
        <f t="shared" si="48"/>
        <v>294001.06859579682</v>
      </c>
      <c r="AB23" s="73">
        <f t="shared" si="49"/>
        <v>2940.0106859579678</v>
      </c>
      <c r="AC23" s="73">
        <f t="shared" si="50"/>
        <v>2.9400106859579678E-3</v>
      </c>
      <c r="AD23" s="73">
        <f>((D23*G23*C23)+(D23*G23*E23))*(2.54/100)^2</f>
        <v>29.40010685957968</v>
      </c>
      <c r="AE23" s="73">
        <f t="shared" si="51"/>
        <v>29400106.859579679</v>
      </c>
      <c r="AF23" s="73">
        <f t="shared" si="52"/>
        <v>316.4601164782087</v>
      </c>
      <c r="AG23" s="81">
        <f t="shared" si="53"/>
        <v>45570.256772862056</v>
      </c>
      <c r="AH23" s="144">
        <v>21.242000000000001</v>
      </c>
      <c r="AI23" s="186">
        <v>77.274000000000001</v>
      </c>
      <c r="AJ23" s="69">
        <v>494931</v>
      </c>
      <c r="AK23" s="70">
        <v>49493.1</v>
      </c>
      <c r="AL23" s="70">
        <v>49.493099999999998</v>
      </c>
      <c r="AM23" s="70">
        <v>4949313</v>
      </c>
      <c r="AN23" s="70">
        <v>4.9493099999999997</v>
      </c>
      <c r="AO23" s="71">
        <v>4949.3100000000004</v>
      </c>
      <c r="AP23" s="115">
        <v>1713.08</v>
      </c>
      <c r="AQ23" s="72">
        <v>24982.5</v>
      </c>
      <c r="AR23" s="72">
        <v>0.77704200000000001</v>
      </c>
      <c r="AS23" s="72">
        <v>777.04200000000003</v>
      </c>
      <c r="AT23" s="116">
        <v>777042</v>
      </c>
      <c r="AU23" s="123">
        <v>0.29400100000000001</v>
      </c>
      <c r="AV23" s="123">
        <v>7.2649200000000002E-3</v>
      </c>
      <c r="AW23" s="73">
        <v>294001</v>
      </c>
      <c r="AX23" s="73">
        <v>2940.01</v>
      </c>
      <c r="AY23" s="73">
        <v>2.9400099999999998E-3</v>
      </c>
      <c r="AZ23" s="73">
        <v>29.400099999999998</v>
      </c>
      <c r="BA23" s="73">
        <v>29400107</v>
      </c>
      <c r="BB23" s="73">
        <v>316.45999999999998</v>
      </c>
      <c r="BC23" s="124">
        <v>45570.3</v>
      </c>
      <c r="BD23" s="251">
        <f t="shared" si="54"/>
        <v>-1.2903614944232183E-7</v>
      </c>
      <c r="BE23" s="252">
        <f t="shared" si="55"/>
        <v>-6.4214658564468582E-6</v>
      </c>
      <c r="BF23" s="43">
        <f t="shared" si="56"/>
        <v>6.2036744396547841E-7</v>
      </c>
      <c r="BG23" s="42">
        <f t="shared" si="56"/>
        <v>6.203674439948803E-7</v>
      </c>
      <c r="BH23" s="42">
        <f t="shared" si="56"/>
        <v>6.2036744396157349E-7</v>
      </c>
      <c r="BI23" s="42">
        <f t="shared" si="56"/>
        <v>1.4222721007883749E-8</v>
      </c>
      <c r="BJ23" s="42">
        <f t="shared" si="56"/>
        <v>6.203674440333554E-7</v>
      </c>
      <c r="BK23" s="43">
        <f t="shared" si="56"/>
        <v>6.2036744392137552E-7</v>
      </c>
      <c r="BL23" s="107">
        <f t="shared" si="57"/>
        <v>2.7474082945293206E-6</v>
      </c>
      <c r="BM23" s="44">
        <f t="shared" si="32"/>
        <v>-5.8826196883658717E-7</v>
      </c>
      <c r="BN23" s="44">
        <f t="shared" si="33"/>
        <v>1.9568005842524849E-7</v>
      </c>
      <c r="BO23" s="44">
        <f t="shared" si="34"/>
        <v>1.9568005839095773E-7</v>
      </c>
      <c r="BP23" s="108">
        <f t="shared" si="35"/>
        <v>1.9568005842607146E-7</v>
      </c>
      <c r="BQ23" s="43">
        <f t="shared" si="36"/>
        <v>2.3331818857876299E-7</v>
      </c>
      <c r="BR23" s="42">
        <f t="shared" si="36"/>
        <v>6.3603025524947903E-7</v>
      </c>
      <c r="BS23" s="42">
        <f t="shared" si="36"/>
        <v>2.333181887777746E-7</v>
      </c>
      <c r="BT23" s="42">
        <f t="shared" si="36"/>
        <v>2.3331818854885505E-7</v>
      </c>
      <c r="BU23" s="42">
        <f t="shared" si="36"/>
        <v>2.3331818867906977E-7</v>
      </c>
      <c r="BV23" s="42">
        <f t="shared" si="36"/>
        <v>2.3331818873736568E-7</v>
      </c>
      <c r="BW23" s="42">
        <f t="shared" si="36"/>
        <v>-4.7761840474187697E-9</v>
      </c>
      <c r="BX23" s="42">
        <f t="shared" si="36"/>
        <v>3.6806599839706091E-7</v>
      </c>
      <c r="BY23" s="45">
        <f t="shared" si="36"/>
        <v>-9.4858227730148178E-7</v>
      </c>
    </row>
    <row r="24" spans="2:77" x14ac:dyDescent="0.25">
      <c r="B24" s="86">
        <v>180</v>
      </c>
      <c r="C24" s="93">
        <v>77</v>
      </c>
      <c r="D24" s="152">
        <f t="shared" si="27"/>
        <v>33.216609406788713</v>
      </c>
      <c r="E24" s="149">
        <f t="shared" si="28"/>
        <v>179.23215173310621</v>
      </c>
      <c r="F24" s="156" t="s">
        <v>5</v>
      </c>
      <c r="G24" s="87">
        <v>34</v>
      </c>
      <c r="H24" s="59"/>
      <c r="I24" s="5">
        <v>684</v>
      </c>
      <c r="J24" s="56"/>
      <c r="K24" s="57"/>
      <c r="L24" s="144">
        <f t="shared" si="29"/>
        <v>33.216609406788713</v>
      </c>
      <c r="M24" s="186">
        <f t="shared" si="30"/>
        <v>179.23215173310621</v>
      </c>
      <c r="N24" s="69">
        <f t="shared" si="37"/>
        <v>779311104982.92529</v>
      </c>
      <c r="O24" s="70">
        <f t="shared" si="38"/>
        <v>77931110498.292526</v>
      </c>
      <c r="P24" s="70">
        <f t="shared" si="39"/>
        <v>77931110.498292536</v>
      </c>
      <c r="Q24" s="70">
        <f t="shared" si="40"/>
        <v>7793111049829.2529</v>
      </c>
      <c r="R24" s="70">
        <f>(D24*G24*C24*E24)/2</f>
        <v>7793111.049829253</v>
      </c>
      <c r="S24" s="139">
        <f t="shared" si="41"/>
        <v>7793111049.8292532</v>
      </c>
      <c r="T24" s="115">
        <f t="shared" si="42"/>
        <v>11751714337882.73</v>
      </c>
      <c r="U24" s="72">
        <f t="shared" si="43"/>
        <v>171379167427456.5</v>
      </c>
      <c r="V24" s="72">
        <f t="shared" si="44"/>
        <v>5330487958.083209</v>
      </c>
      <c r="W24" s="72">
        <f>R24*1000*I24</f>
        <v>5330487958083.209</v>
      </c>
      <c r="X24" s="116">
        <f t="shared" si="45"/>
        <v>5330487958083209</v>
      </c>
      <c r="Y24" s="81">
        <f t="shared" si="46"/>
        <v>2893.7955225370674</v>
      </c>
      <c r="Z24" s="73">
        <f t="shared" si="47"/>
        <v>71.507244648449699</v>
      </c>
      <c r="AA24" s="73">
        <f t="shared" si="48"/>
        <v>2893795522.5370674</v>
      </c>
      <c r="AB24" s="73">
        <f t="shared" si="49"/>
        <v>28937955.225370672</v>
      </c>
      <c r="AC24" s="73">
        <f t="shared" si="50"/>
        <v>28.937955225370672</v>
      </c>
      <c r="AD24" s="73">
        <f>(D24*G24*C24)+(D24*G24*E24)</f>
        <v>289379.55225370673</v>
      </c>
      <c r="AE24" s="73">
        <f t="shared" si="51"/>
        <v>289379552253.70673</v>
      </c>
      <c r="AF24" s="73">
        <f t="shared" si="52"/>
        <v>3114855.5768864695</v>
      </c>
      <c r="AG24" s="81">
        <f t="shared" si="53"/>
        <v>448539203.07165158</v>
      </c>
      <c r="AH24" s="145">
        <v>33.216999999999999</v>
      </c>
      <c r="AI24" s="187">
        <v>179.23</v>
      </c>
      <c r="AJ24" s="69">
        <v>779311104983</v>
      </c>
      <c r="AK24" s="70">
        <v>77931110498</v>
      </c>
      <c r="AL24" s="70">
        <v>77931110</v>
      </c>
      <c r="AM24" s="70">
        <v>7793111049829</v>
      </c>
      <c r="AN24" s="70">
        <v>7793111</v>
      </c>
      <c r="AO24" s="71">
        <v>7793111050</v>
      </c>
      <c r="AP24" s="115">
        <v>11751714337883</v>
      </c>
      <c r="AQ24" s="72">
        <v>171379167427457</v>
      </c>
      <c r="AR24" s="72">
        <v>5330487958</v>
      </c>
      <c r="AS24" s="72">
        <v>5330487958083</v>
      </c>
      <c r="AT24" s="116">
        <v>5330487958083210</v>
      </c>
      <c r="AU24" s="123">
        <v>2893.8</v>
      </c>
      <c r="AV24" s="123">
        <v>71.507199999999997</v>
      </c>
      <c r="AW24" s="73">
        <v>2893795523</v>
      </c>
      <c r="AX24" s="73">
        <v>28937955</v>
      </c>
      <c r="AY24" s="73">
        <v>28.937999999999999</v>
      </c>
      <c r="AZ24" s="73">
        <v>289380</v>
      </c>
      <c r="BA24" s="73">
        <v>289379552254</v>
      </c>
      <c r="BB24" s="73">
        <v>3114856</v>
      </c>
      <c r="BC24" s="124">
        <v>448539203</v>
      </c>
      <c r="BD24" s="251">
        <f t="shared" si="54"/>
        <v>-1.175897294339539E-5</v>
      </c>
      <c r="BE24" s="252">
        <f t="shared" si="55"/>
        <v>1.2005285242690249E-5</v>
      </c>
      <c r="BF24" s="43">
        <f t="shared" si="56"/>
        <v>-9.5862911194672161E-14</v>
      </c>
      <c r="BG24" s="42">
        <f t="shared" si="56"/>
        <v>3.7536516963093548E-12</v>
      </c>
      <c r="BH24" s="42">
        <f t="shared" si="56"/>
        <v>6.3940130245463308E-9</v>
      </c>
      <c r="BI24" s="42">
        <f t="shared" si="56"/>
        <v>3.2455547711660246E-14</v>
      </c>
      <c r="BJ24" s="42">
        <f t="shared" si="56"/>
        <v>6.3940129528428047E-9</v>
      </c>
      <c r="BK24" s="43">
        <f t="shared" si="56"/>
        <v>-2.1909966660545978E-11</v>
      </c>
      <c r="BL24" s="107">
        <f t="shared" si="57"/>
        <v>-2.293548347504851E-14</v>
      </c>
      <c r="BM24" s="44">
        <f t="shared" si="32"/>
        <v>-2.91750746316145E-15</v>
      </c>
      <c r="BN24" s="44">
        <f t="shared" si="33"/>
        <v>1.5610022653663938E-11</v>
      </c>
      <c r="BO24" s="44">
        <f t="shared" si="34"/>
        <v>3.9205486747811496E-14</v>
      </c>
      <c r="BP24" s="108">
        <f t="shared" si="35"/>
        <v>-1.8760008612036902E-16</v>
      </c>
      <c r="BQ24" s="43">
        <f t="shared" si="36"/>
        <v>-1.547263066061195E-6</v>
      </c>
      <c r="BR24" s="42">
        <f t="shared" si="36"/>
        <v>6.243905763866587E-7</v>
      </c>
      <c r="BS24" s="42">
        <f t="shared" si="36"/>
        <v>-1.5997418721004053E-10</v>
      </c>
      <c r="BT24" s="42">
        <f t="shared" si="36"/>
        <v>7.7880648388907228E-9</v>
      </c>
      <c r="BU24" s="42">
        <f t="shared" si="36"/>
        <v>-1.5472630660366412E-6</v>
      </c>
      <c r="BV24" s="42">
        <f t="shared" si="36"/>
        <v>-1.5472630660423377E-6</v>
      </c>
      <c r="BW24" s="42">
        <f t="shared" si="36"/>
        <v>-1.013457666573929E-12</v>
      </c>
      <c r="BX24" s="42">
        <f t="shared" si="36"/>
        <v>-1.3583728685252779E-7</v>
      </c>
      <c r="BY24" s="45">
        <f t="shared" si="36"/>
        <v>1.5974429316065378E-10</v>
      </c>
    </row>
    <row r="25" spans="2:77" x14ac:dyDescent="0.25">
      <c r="B25" s="86">
        <v>65</v>
      </c>
      <c r="C25" s="93">
        <v>7</v>
      </c>
      <c r="D25" s="152">
        <f t="shared" si="27"/>
        <v>7.2891581408349326</v>
      </c>
      <c r="E25" s="149">
        <f t="shared" si="28"/>
        <v>64.897742976158085</v>
      </c>
      <c r="F25" s="156" t="s">
        <v>6</v>
      </c>
      <c r="G25" s="87">
        <v>56</v>
      </c>
      <c r="H25" s="59"/>
      <c r="I25" s="58"/>
      <c r="J25" s="4">
        <v>158</v>
      </c>
      <c r="K25" s="55"/>
      <c r="L25" s="144">
        <f t="shared" si="29"/>
        <v>7.2891581408349326</v>
      </c>
      <c r="M25" s="186">
        <f t="shared" si="30"/>
        <v>64.897742976158085</v>
      </c>
      <c r="N25" s="69">
        <f t="shared" si="37"/>
        <v>3.8646457658335199E+19</v>
      </c>
      <c r="O25" s="70">
        <f t="shared" si="38"/>
        <v>3.8646457658335201E+18</v>
      </c>
      <c r="P25" s="70">
        <f t="shared" si="39"/>
        <v>3864645765833520</v>
      </c>
      <c r="Q25" s="70">
        <f t="shared" si="40"/>
        <v>3.8646457658335199E+20</v>
      </c>
      <c r="R25" s="70">
        <f>((D25*G25*C25*E25)/2)*(63360*2.54/100)^3</f>
        <v>386464576583352</v>
      </c>
      <c r="S25" s="139">
        <f t="shared" si="41"/>
        <v>3.86464576583352E+17</v>
      </c>
      <c r="T25" s="115">
        <f t="shared" si="42"/>
        <v>2.1563631000289597E+18</v>
      </c>
      <c r="U25" s="72">
        <f t="shared" si="43"/>
        <v>3.1446961875422331E+19</v>
      </c>
      <c r="V25" s="72">
        <f t="shared" si="44"/>
        <v>978109849122683</v>
      </c>
      <c r="W25" s="72">
        <f>R25*(0.45359237/0.3048^3)*J25</f>
        <v>9.7810984912268301E+17</v>
      </c>
      <c r="X25" s="116">
        <f t="shared" si="45"/>
        <v>9.7810984912268296E+20</v>
      </c>
      <c r="Y25" s="81">
        <f t="shared" si="46"/>
        <v>760113467.06893826</v>
      </c>
      <c r="Z25" s="73">
        <f t="shared" si="47"/>
        <v>18782812.823839962</v>
      </c>
      <c r="AA25" s="73">
        <f t="shared" si="48"/>
        <v>760113467068938.25</v>
      </c>
      <c r="AB25" s="73">
        <f t="shared" si="49"/>
        <v>7601134670689.3828</v>
      </c>
      <c r="AC25" s="73">
        <f t="shared" si="50"/>
        <v>7601134.6706893826</v>
      </c>
      <c r="AD25" s="73">
        <f>((D25*G25*C25)+(D25*G25*E25))*(63360*2.54/100)^2</f>
        <v>76011346706.893829</v>
      </c>
      <c r="AE25" s="73">
        <f t="shared" si="51"/>
        <v>7.6011346706893824E+16</v>
      </c>
      <c r="AF25" s="73">
        <f t="shared" si="52"/>
        <v>818179326606.46875</v>
      </c>
      <c r="AG25" s="81">
        <f t="shared" si="53"/>
        <v>117817823031331.48</v>
      </c>
      <c r="AH25" s="144">
        <v>7.2892000000000001</v>
      </c>
      <c r="AI25" s="186">
        <v>64.897999999999996</v>
      </c>
      <c r="AJ25" s="69">
        <v>3.8646457658335199E+19</v>
      </c>
      <c r="AK25" s="70">
        <v>3.8646457658335201E+18</v>
      </c>
      <c r="AL25" s="70">
        <v>3864645765833520</v>
      </c>
      <c r="AM25" s="70">
        <v>3.8646457658335199E+20</v>
      </c>
      <c r="AN25" s="70">
        <v>386464576583352</v>
      </c>
      <c r="AO25" s="71">
        <v>3.86464576583352E+17</v>
      </c>
      <c r="AP25" s="115">
        <v>2.15636310002896E+18</v>
      </c>
      <c r="AQ25" s="72">
        <v>3.1446961875422298E+19</v>
      </c>
      <c r="AR25" s="72">
        <v>978109849122683</v>
      </c>
      <c r="AS25" s="72">
        <v>9.7810984912268301E+17</v>
      </c>
      <c r="AT25" s="116">
        <v>9.7810984912268296E+20</v>
      </c>
      <c r="AU25" s="123">
        <v>760113467</v>
      </c>
      <c r="AV25" s="123">
        <v>18782813</v>
      </c>
      <c r="AW25" s="73">
        <v>760113467068938</v>
      </c>
      <c r="AX25" s="73">
        <v>7601134670689</v>
      </c>
      <c r="AY25" s="73">
        <v>7601135</v>
      </c>
      <c r="AZ25" s="73">
        <v>76011346707</v>
      </c>
      <c r="BA25" s="73">
        <v>7.6011346706893792E+16</v>
      </c>
      <c r="BB25" s="73">
        <v>818179326606</v>
      </c>
      <c r="BC25" s="124">
        <v>117817823031331</v>
      </c>
      <c r="BD25" s="251">
        <f t="shared" si="54"/>
        <v>-5.7426611220013835E-6</v>
      </c>
      <c r="BE25" s="252">
        <f t="shared" si="55"/>
        <v>-3.9604434626561402E-6</v>
      </c>
      <c r="BF25" s="43">
        <f t="shared" si="56"/>
        <v>0</v>
      </c>
      <c r="BG25" s="42">
        <f t="shared" si="56"/>
        <v>0</v>
      </c>
      <c r="BH25" s="42">
        <f t="shared" si="56"/>
        <v>0</v>
      </c>
      <c r="BI25" s="42">
        <f t="shared" si="56"/>
        <v>0</v>
      </c>
      <c r="BJ25" s="42">
        <f t="shared" si="56"/>
        <v>0</v>
      </c>
      <c r="BK25" s="43">
        <f t="shared" si="56"/>
        <v>0</v>
      </c>
      <c r="BL25" s="107">
        <f t="shared" si="57"/>
        <v>-1.1871841064084336E-16</v>
      </c>
      <c r="BM25" s="44">
        <f t="shared" si="32"/>
        <v>1.0420084499676307E-15</v>
      </c>
      <c r="BN25" s="44">
        <f t="shared" si="33"/>
        <v>0</v>
      </c>
      <c r="BO25" s="44">
        <f t="shared" si="34"/>
        <v>0</v>
      </c>
      <c r="BP25" s="108">
        <f t="shared" si="35"/>
        <v>0</v>
      </c>
      <c r="BQ25" s="43">
        <f t="shared" si="36"/>
        <v>9.0694690065011387E-11</v>
      </c>
      <c r="BR25" s="42">
        <f t="shared" si="36"/>
        <v>-9.3787889582734709E-9</v>
      </c>
      <c r="BS25" s="42">
        <f t="shared" si="36"/>
        <v>3.288982643131178E-16</v>
      </c>
      <c r="BT25" s="42">
        <f t="shared" si="36"/>
        <v>5.0362546722946157E-14</v>
      </c>
      <c r="BU25" s="42">
        <f t="shared" si="36"/>
        <v>-4.3323876194365572E-8</v>
      </c>
      <c r="BV25" s="42">
        <f t="shared" si="36"/>
        <v>-1.3967737567692098E-12</v>
      </c>
      <c r="BW25" s="42">
        <f t="shared" si="36"/>
        <v>4.2098977832079074E-16</v>
      </c>
      <c r="BX25" s="42">
        <f t="shared" si="36"/>
        <v>5.7291841135147783E-13</v>
      </c>
      <c r="BY25" s="45">
        <f t="shared" si="36"/>
        <v>4.1112200814573643E-15</v>
      </c>
    </row>
    <row r="26" spans="2:77" x14ac:dyDescent="0.25">
      <c r="B26" s="86">
        <v>78</v>
      </c>
      <c r="C26" s="93">
        <v>45</v>
      </c>
      <c r="D26" s="152">
        <f t="shared" si="27"/>
        <v>4.949557625698553</v>
      </c>
      <c r="E26" s="149">
        <f t="shared" si="28"/>
        <v>77.960730305888433</v>
      </c>
      <c r="F26" s="156" t="s">
        <v>7</v>
      </c>
      <c r="G26" s="87">
        <v>99</v>
      </c>
      <c r="H26" s="59"/>
      <c r="I26" s="58"/>
      <c r="J26" s="58"/>
      <c r="K26" s="14">
        <v>125</v>
      </c>
      <c r="L26" s="144">
        <f t="shared" si="29"/>
        <v>4.949557625698553</v>
      </c>
      <c r="M26" s="186">
        <f t="shared" si="30"/>
        <v>77.960730305888433</v>
      </c>
      <c r="N26" s="69">
        <f t="shared" si="37"/>
        <v>85.952793581692418</v>
      </c>
      <c r="O26" s="70">
        <f t="shared" si="38"/>
        <v>8.5952793581692415</v>
      </c>
      <c r="P26" s="70">
        <f t="shared" si="39"/>
        <v>8.5952793581692416E-3</v>
      </c>
      <c r="Q26" s="70">
        <f t="shared" si="40"/>
        <v>859.52793581692413</v>
      </c>
      <c r="R26" s="70">
        <f>((D26*G26*C26*E26)/2)/1000^3</f>
        <v>8.5952793581692418E-4</v>
      </c>
      <c r="S26" s="139">
        <f t="shared" si="41"/>
        <v>0.85952793581692422</v>
      </c>
      <c r="T26" s="115">
        <f t="shared" si="42"/>
        <v>236.8668414266217</v>
      </c>
      <c r="U26" s="72">
        <f t="shared" si="43"/>
        <v>3454.3081041382334</v>
      </c>
      <c r="V26" s="72">
        <f t="shared" si="44"/>
        <v>0.10744099197711553</v>
      </c>
      <c r="W26" s="72">
        <f>R26*1000*K26</f>
        <v>107.44099197711553</v>
      </c>
      <c r="X26" s="116">
        <f t="shared" si="45"/>
        <v>107440.99197711553</v>
      </c>
      <c r="Y26" s="81">
        <f t="shared" si="46"/>
        <v>6.0251520814350349E-4</v>
      </c>
      <c r="Z26" s="73">
        <f t="shared" si="47"/>
        <v>1.4888475034806896E-5</v>
      </c>
      <c r="AA26" s="73">
        <f t="shared" si="48"/>
        <v>602.51520814350351</v>
      </c>
      <c r="AB26" s="73">
        <f t="shared" si="49"/>
        <v>6.025152081435035</v>
      </c>
      <c r="AC26" s="73">
        <f t="shared" si="50"/>
        <v>6.0251520814350358E-6</v>
      </c>
      <c r="AD26" s="73">
        <f>((D26*G26*C26)+(D26*G26*E26))/1000^2</f>
        <v>6.0251520814350354E-2</v>
      </c>
      <c r="AE26" s="73">
        <f t="shared" si="51"/>
        <v>60251.520814350355</v>
      </c>
      <c r="AF26" s="73">
        <f t="shared" si="52"/>
        <v>0.64854197251618839</v>
      </c>
      <c r="AG26" s="81">
        <f t="shared" si="53"/>
        <v>93.390044042331127</v>
      </c>
      <c r="AH26" s="144">
        <v>4.9496000000000002</v>
      </c>
      <c r="AI26" s="186">
        <v>77.960999999999999</v>
      </c>
      <c r="AJ26" s="69">
        <v>85.952799999999996</v>
      </c>
      <c r="AK26" s="70">
        <v>8.5952800000000007</v>
      </c>
      <c r="AL26" s="70">
        <v>8.5952800000000003E-3</v>
      </c>
      <c r="AM26" s="70">
        <v>859.52800000000002</v>
      </c>
      <c r="AN26" s="70">
        <v>8.5952800000000003E-4</v>
      </c>
      <c r="AO26" s="71">
        <v>0.85952799999999996</v>
      </c>
      <c r="AP26" s="115">
        <v>236.86699999999999</v>
      </c>
      <c r="AQ26" s="72">
        <v>3454.31</v>
      </c>
      <c r="AR26" s="72">
        <v>0.10744099999999999</v>
      </c>
      <c r="AS26" s="72">
        <v>107.441</v>
      </c>
      <c r="AT26" s="116">
        <v>107441</v>
      </c>
      <c r="AU26" s="123">
        <v>6.0251499999999997E-4</v>
      </c>
      <c r="AV26" s="123">
        <v>1.4888475034806899E-5</v>
      </c>
      <c r="AW26" s="73">
        <v>602.51499999999999</v>
      </c>
      <c r="AX26" s="73">
        <v>6.02515</v>
      </c>
      <c r="AY26" s="73">
        <v>6.02515208143504E-6</v>
      </c>
      <c r="AZ26" s="73">
        <v>6.02515E-2</v>
      </c>
      <c r="BA26" s="73">
        <v>60251.5</v>
      </c>
      <c r="BB26" s="73">
        <v>0.64854199999999995</v>
      </c>
      <c r="BC26" s="124">
        <v>93.39</v>
      </c>
      <c r="BD26" s="251">
        <f t="shared" si="54"/>
        <v>-8.5612300435207585E-6</v>
      </c>
      <c r="BE26" s="252">
        <f t="shared" si="55"/>
        <v>-3.459358455310474E-6</v>
      </c>
      <c r="BF26" s="43">
        <f t="shared" si="56"/>
        <v>-7.467247206758824E-8</v>
      </c>
      <c r="BG26" s="42">
        <f t="shared" si="56"/>
        <v>-7.4672472232921501E-8</v>
      </c>
      <c r="BH26" s="42">
        <f t="shared" si="56"/>
        <v>-7.4672472171567357E-8</v>
      </c>
      <c r="BI26" s="42">
        <f t="shared" si="56"/>
        <v>-7.4672472199854843E-8</v>
      </c>
      <c r="BJ26" s="42">
        <f t="shared" si="56"/>
        <v>-7.46724721463395E-8</v>
      </c>
      <c r="BK26" s="43">
        <f t="shared" si="56"/>
        <v>-7.4672472026254925E-8</v>
      </c>
      <c r="BL26" s="107">
        <f t="shared" si="57"/>
        <v>-6.6946212197112574E-7</v>
      </c>
      <c r="BM26" s="44">
        <f t="shared" si="32"/>
        <v>-5.4883979929267995E-7</v>
      </c>
      <c r="BN26" s="44">
        <f t="shared" si="33"/>
        <v>-7.4672472026254925E-8</v>
      </c>
      <c r="BO26" s="44">
        <f t="shared" si="34"/>
        <v>-7.467247206758824E-8</v>
      </c>
      <c r="BP26" s="108">
        <f t="shared" si="35"/>
        <v>-7.4672472087692765E-8</v>
      </c>
      <c r="BQ26" s="43">
        <f t="shared" si="36"/>
        <v>3.4545767593027713E-7</v>
      </c>
      <c r="BR26" s="42">
        <f t="shared" si="36"/>
        <v>-2.2756741580963032E-16</v>
      </c>
      <c r="BS26" s="42">
        <f t="shared" si="36"/>
        <v>3.4545767594693001E-7</v>
      </c>
      <c r="BT26" s="42">
        <f t="shared" si="36"/>
        <v>3.4545767589975827E-7</v>
      </c>
      <c r="BU26" s="42">
        <f t="shared" si="36"/>
        <v>-7.0291416366419664E-16</v>
      </c>
      <c r="BV26" s="42">
        <f t="shared" si="36"/>
        <v>3.4545767597346416E-7</v>
      </c>
      <c r="BW26" s="42">
        <f t="shared" si="36"/>
        <v>3.4545767598466744E-7</v>
      </c>
      <c r="BX26" s="42">
        <f t="shared" si="36"/>
        <v>-4.2377845574580999E-8</v>
      </c>
      <c r="BY26" s="45">
        <f t="shared" si="36"/>
        <v>4.7159557078835652E-7</v>
      </c>
    </row>
    <row r="27" spans="2:77" x14ac:dyDescent="0.25">
      <c r="B27" s="86">
        <v>114</v>
      </c>
      <c r="C27" s="93">
        <v>124</v>
      </c>
      <c r="D27" s="152">
        <f t="shared" si="27"/>
        <v>4.288867534959361</v>
      </c>
      <c r="E27" s="149">
        <f t="shared" si="28"/>
        <v>113.97982893396924</v>
      </c>
      <c r="F27" s="156" t="s">
        <v>8</v>
      </c>
      <c r="G27" s="87">
        <v>167</v>
      </c>
      <c r="H27" s="11">
        <v>948</v>
      </c>
      <c r="I27" s="58"/>
      <c r="J27" s="58"/>
      <c r="K27" s="55"/>
      <c r="L27" s="144">
        <f t="shared" si="29"/>
        <v>4.288867534959361</v>
      </c>
      <c r="M27" s="186">
        <f t="shared" si="30"/>
        <v>113.97982893396924</v>
      </c>
      <c r="N27" s="69">
        <f t="shared" si="37"/>
        <v>386979043256.27332</v>
      </c>
      <c r="O27" s="70">
        <f t="shared" si="38"/>
        <v>38697904325.627327</v>
      </c>
      <c r="P27" s="70">
        <f t="shared" si="39"/>
        <v>38697904.325627327</v>
      </c>
      <c r="Q27" s="70">
        <f t="shared" si="40"/>
        <v>3869790432562.7329</v>
      </c>
      <c r="R27" s="70">
        <f>((D27*G27*C27*E27)/2)*0.9144^3</f>
        <v>3869790.4325627331</v>
      </c>
      <c r="S27" s="139">
        <f t="shared" si="41"/>
        <v>3869790432.5627332</v>
      </c>
      <c r="T27" s="115">
        <f t="shared" si="42"/>
        <v>8087793297.9107885</v>
      </c>
      <c r="U27" s="72">
        <f t="shared" si="43"/>
        <v>117946985594.53233</v>
      </c>
      <c r="V27" s="72">
        <f t="shared" si="44"/>
        <v>3668561.3300694707</v>
      </c>
      <c r="W27" s="72">
        <f>R27*H27</f>
        <v>3668561330.0694709</v>
      </c>
      <c r="X27" s="116">
        <f t="shared" si="45"/>
        <v>3668561330069.4707</v>
      </c>
      <c r="Y27" s="81">
        <f t="shared" si="46"/>
        <v>1425.186457275367</v>
      </c>
      <c r="Z27" s="73">
        <f t="shared" si="47"/>
        <v>35.21712431868675</v>
      </c>
      <c r="AA27" s="73">
        <f t="shared" si="48"/>
        <v>1425186457.275367</v>
      </c>
      <c r="AB27" s="73">
        <f t="shared" si="49"/>
        <v>14251864.57275367</v>
      </c>
      <c r="AC27" s="73">
        <f t="shared" si="50"/>
        <v>14.25186457275367</v>
      </c>
      <c r="AD27" s="73">
        <f>((D27*G27*C27)+(D27*G27*E27))*0.9144^2</f>
        <v>142518.6457275367</v>
      </c>
      <c r="AE27" s="73">
        <f t="shared" si="51"/>
        <v>142518645727.53671</v>
      </c>
      <c r="AF27" s="73">
        <f t="shared" si="52"/>
        <v>1534057.9353219948</v>
      </c>
      <c r="AG27" s="81">
        <f t="shared" si="53"/>
        <v>220904342.68636727</v>
      </c>
      <c r="AH27" s="144">
        <v>4.2888999999999999</v>
      </c>
      <c r="AI27" s="186">
        <v>113.98</v>
      </c>
      <c r="AJ27" s="69">
        <v>386979043256</v>
      </c>
      <c r="AK27" s="70">
        <v>38697904326</v>
      </c>
      <c r="AL27" s="70">
        <v>38697904</v>
      </c>
      <c r="AM27" s="70">
        <v>3869790432563</v>
      </c>
      <c r="AN27" s="70">
        <v>3869790</v>
      </c>
      <c r="AO27" s="71">
        <v>3869790433</v>
      </c>
      <c r="AP27" s="115">
        <v>8087793298</v>
      </c>
      <c r="AQ27" s="72">
        <v>117946985595</v>
      </c>
      <c r="AR27" s="72">
        <v>3668561</v>
      </c>
      <c r="AS27" s="72">
        <v>3668561330</v>
      </c>
      <c r="AT27" s="116">
        <v>3668561330069</v>
      </c>
      <c r="AU27" s="123">
        <v>1425.19</v>
      </c>
      <c r="AV27" s="123">
        <v>35.217100000000002</v>
      </c>
      <c r="AW27" s="73">
        <v>1425186457</v>
      </c>
      <c r="AX27" s="73">
        <v>14251865</v>
      </c>
      <c r="AY27" s="73">
        <v>14.251899999999999</v>
      </c>
      <c r="AZ27" s="73">
        <v>142519</v>
      </c>
      <c r="BA27" s="73">
        <v>142518645728</v>
      </c>
      <c r="BB27" s="73">
        <v>1534058</v>
      </c>
      <c r="BC27" s="124">
        <v>220904343</v>
      </c>
      <c r="BD27" s="251">
        <f t="shared" si="54"/>
        <v>-7.5696067491685351E-6</v>
      </c>
      <c r="BE27" s="252">
        <f t="shared" si="55"/>
        <v>-1.5008447754255707E-6</v>
      </c>
      <c r="BF27" s="43">
        <f t="shared" si="56"/>
        <v>7.0627966669114787E-13</v>
      </c>
      <c r="BG27" s="42">
        <f t="shared" si="56"/>
        <v>-9.6303156763238335E-12</v>
      </c>
      <c r="BH27" s="42">
        <f t="shared" si="56"/>
        <v>8.4145984812332164E-9</v>
      </c>
      <c r="BI27" s="42">
        <f t="shared" si="56"/>
        <v>-6.9019201014749065E-14</v>
      </c>
      <c r="BJ27" s="42">
        <f t="shared" si="56"/>
        <v>1.1177936909172664E-7</v>
      </c>
      <c r="BK27" s="43">
        <f t="shared" si="56"/>
        <v>-1.1299496297014274E-10</v>
      </c>
      <c r="BL27" s="107">
        <f t="shared" si="57"/>
        <v>-1.1030383769979316E-11</v>
      </c>
      <c r="BM27" s="44">
        <f t="shared" si="32"/>
        <v>-3.9650578912144926E-12</v>
      </c>
      <c r="BN27" s="44">
        <f t="shared" si="33"/>
        <v>8.9972455409032226E-8</v>
      </c>
      <c r="BO27" s="44">
        <f t="shared" si="34"/>
        <v>1.8936819141157968E-11</v>
      </c>
      <c r="BP27" s="108">
        <f t="shared" si="35"/>
        <v>1.2830727978891016E-13</v>
      </c>
      <c r="BQ27" s="43">
        <f t="shared" si="36"/>
        <v>-2.4857972898368649E-6</v>
      </c>
      <c r="BR27" s="42">
        <f t="shared" si="36"/>
        <v>6.9053584636381199E-7</v>
      </c>
      <c r="BS27" s="42">
        <f t="shared" si="36"/>
        <v>1.9321473352133038E-10</v>
      </c>
      <c r="BT27" s="42">
        <f t="shared" si="36"/>
        <v>-2.9978276044155789E-8</v>
      </c>
      <c r="BU27" s="42">
        <f t="shared" si="36"/>
        <v>-2.4857972897919946E-6</v>
      </c>
      <c r="BV27" s="42">
        <f t="shared" si="36"/>
        <v>-2.4857972898368649E-6</v>
      </c>
      <c r="BW27" s="42">
        <f t="shared" si="36"/>
        <v>-3.2507139760598428E-12</v>
      </c>
      <c r="BX27" s="42">
        <f t="shared" si="36"/>
        <v>-4.216138366514122E-8</v>
      </c>
      <c r="BY27" s="45">
        <f t="shared" si="36"/>
        <v>-1.4197671392752879E-9</v>
      </c>
    </row>
    <row r="28" spans="2:77" ht="15.75" thickBot="1" x14ac:dyDescent="0.3">
      <c r="B28" s="88">
        <v>23</v>
      </c>
      <c r="C28" s="95">
        <v>55</v>
      </c>
      <c r="D28" s="153">
        <f t="shared" si="27"/>
        <v>2.1887681278921454</v>
      </c>
      <c r="E28" s="150">
        <f t="shared" si="28"/>
        <v>22.973948801209183</v>
      </c>
      <c r="F28" s="157" t="s">
        <v>43</v>
      </c>
      <c r="G28" s="89">
        <v>66</v>
      </c>
      <c r="H28" s="63"/>
      <c r="I28" s="60"/>
      <c r="J28" s="60"/>
      <c r="K28" s="15">
        <v>945</v>
      </c>
      <c r="L28" s="146">
        <f t="shared" si="29"/>
        <v>2.1887681278921454</v>
      </c>
      <c r="M28" s="188">
        <f t="shared" si="30"/>
        <v>22.973948801209183</v>
      </c>
      <c r="N28" s="79">
        <f t="shared" si="37"/>
        <v>9.126663413786141E-9</v>
      </c>
      <c r="O28" s="74">
        <f t="shared" si="38"/>
        <v>9.126663413786141E-10</v>
      </c>
      <c r="P28" s="74">
        <f t="shared" si="39"/>
        <v>9.1266634137861404E-13</v>
      </c>
      <c r="Q28" s="74">
        <f t="shared" si="40"/>
        <v>9.1266634137861403E-8</v>
      </c>
      <c r="R28" s="74">
        <f>((D28*G28*C28*E28)/2)/1000000^3</f>
        <v>9.1266634137861407E-14</v>
      </c>
      <c r="S28" s="140">
        <f t="shared" si="41"/>
        <v>9.1266634137861405E-11</v>
      </c>
      <c r="T28" s="117">
        <f t="shared" si="42"/>
        <v>1.9014201949710709E-7</v>
      </c>
      <c r="U28" s="76">
        <f t="shared" si="43"/>
        <v>2.772904450999479E-6</v>
      </c>
      <c r="V28" s="76">
        <f t="shared" si="44"/>
        <v>8.6246969260279024E-11</v>
      </c>
      <c r="W28" s="76">
        <f>R28*1000*K28</f>
        <v>8.6246969260279022E-8</v>
      </c>
      <c r="X28" s="118">
        <f t="shared" si="45"/>
        <v>8.6246969260279026E-5</v>
      </c>
      <c r="Y28" s="82">
        <f t="shared" si="46"/>
        <v>1.126401500017072E-10</v>
      </c>
      <c r="Z28" s="77">
        <f t="shared" si="47"/>
        <v>2.7833987234690584E-12</v>
      </c>
      <c r="AA28" s="77">
        <f t="shared" si="48"/>
        <v>1.1264015000170721E-4</v>
      </c>
      <c r="AB28" s="77">
        <f t="shared" si="49"/>
        <v>1.126401500017072E-6</v>
      </c>
      <c r="AC28" s="77">
        <f t="shared" si="50"/>
        <v>1.1264015000170721E-12</v>
      </c>
      <c r="AD28" s="77">
        <f>((D28*G28*C28)+(D28*G28*E28))/1000000^2</f>
        <v>1.1264015000170721E-8</v>
      </c>
      <c r="AE28" s="77">
        <f t="shared" si="51"/>
        <v>1.1264015000170722E-2</v>
      </c>
      <c r="AF28" s="77">
        <f t="shared" si="52"/>
        <v>1.2124484839431221E-7</v>
      </c>
      <c r="AG28" s="82">
        <f t="shared" si="53"/>
        <v>1.7459258168780956E-5</v>
      </c>
      <c r="AH28" s="146">
        <v>2.1888000000000001</v>
      </c>
      <c r="AI28" s="188">
        <v>22.974</v>
      </c>
      <c r="AJ28" s="79">
        <v>9.1266634137861393E-9</v>
      </c>
      <c r="AK28" s="74">
        <v>9.12666341378614E-10</v>
      </c>
      <c r="AL28" s="74">
        <v>9.1266634137861404E-13</v>
      </c>
      <c r="AM28" s="74">
        <v>9.1266634137861403E-8</v>
      </c>
      <c r="AN28" s="74">
        <v>9.1266634137861394E-14</v>
      </c>
      <c r="AO28" s="75">
        <v>9.1266634137861405E-11</v>
      </c>
      <c r="AP28" s="117">
        <v>1.9014201949710701E-7</v>
      </c>
      <c r="AQ28" s="76">
        <v>2.7729044509994798E-6</v>
      </c>
      <c r="AR28" s="76">
        <v>8.6246969260278998E-11</v>
      </c>
      <c r="AS28" s="76">
        <v>8.6246969260278995E-8</v>
      </c>
      <c r="AT28" s="118">
        <v>8.6246969260278999E-5</v>
      </c>
      <c r="AU28" s="125">
        <v>1.12640150001707E-10</v>
      </c>
      <c r="AV28" s="125">
        <v>2.78339872346906E-12</v>
      </c>
      <c r="AW28" s="77">
        <v>1.1264000000000001E-4</v>
      </c>
      <c r="AX28" s="77">
        <v>1.1264015000170699E-6</v>
      </c>
      <c r="AY28" s="77">
        <v>1.1264015000170701E-12</v>
      </c>
      <c r="AZ28" s="77">
        <v>1.1264015000170699E-8</v>
      </c>
      <c r="BA28" s="77">
        <v>1.1264E-2</v>
      </c>
      <c r="BB28" s="77">
        <v>1.21244848394312E-7</v>
      </c>
      <c r="BC28" s="126">
        <v>1.7459258168781001E-5</v>
      </c>
      <c r="BD28" s="253">
        <f t="shared" si="54"/>
        <v>-1.4561664823494747E-5</v>
      </c>
      <c r="BE28" s="254">
        <f t="shared" si="55"/>
        <v>-2.2285585843611442E-6</v>
      </c>
      <c r="BF28" s="48">
        <f t="shared" si="56"/>
        <v>1.8126681680920603E-16</v>
      </c>
      <c r="BG28" s="47">
        <f t="shared" si="56"/>
        <v>1.1329176050575378E-16</v>
      </c>
      <c r="BH28" s="47">
        <f t="shared" si="56"/>
        <v>0</v>
      </c>
      <c r="BI28" s="47">
        <f t="shared" si="56"/>
        <v>0</v>
      </c>
      <c r="BJ28" s="47">
        <f t="shared" si="56"/>
        <v>1.3829560608612522E-16</v>
      </c>
      <c r="BK28" s="48">
        <f t="shared" si="56"/>
        <v>0</v>
      </c>
      <c r="BL28" s="109">
        <f t="shared" si="57"/>
        <v>4.1763172083222156E-16</v>
      </c>
      <c r="BM28" s="49">
        <f t="shared" si="32"/>
        <v>-3.0546777295156772E-16</v>
      </c>
      <c r="BN28" s="49">
        <f t="shared" si="33"/>
        <v>2.9971365213162378E-16</v>
      </c>
      <c r="BO28" s="49">
        <f t="shared" si="34"/>
        <v>3.0690677978278274E-16</v>
      </c>
      <c r="BP28" s="110">
        <f t="shared" si="35"/>
        <v>3.1427254249756948E-16</v>
      </c>
      <c r="BQ28" s="48">
        <f t="shared" si="36"/>
        <v>1.835892025491112E-15</v>
      </c>
      <c r="BR28" s="47">
        <f t="shared" si="36"/>
        <v>-5.8043683079622275E-16</v>
      </c>
      <c r="BS28" s="47">
        <f t="shared" si="36"/>
        <v>1.3316895192923052E-6</v>
      </c>
      <c r="BT28" s="47">
        <f t="shared" si="36"/>
        <v>1.8799534341028986E-15</v>
      </c>
      <c r="BU28" s="47">
        <f t="shared" si="36"/>
        <v>1.792863306143664E-15</v>
      </c>
      <c r="BV28" s="47">
        <f t="shared" si="36"/>
        <v>1.9093277065107564E-15</v>
      </c>
      <c r="BW28" s="47">
        <f t="shared" si="36"/>
        <v>1.3316895193789334E-6</v>
      </c>
      <c r="BX28" s="47">
        <f t="shared" si="36"/>
        <v>1.7465338908659891E-15</v>
      </c>
      <c r="BY28" s="50">
        <f t="shared" si="36"/>
        <v>-2.5227711756953181E-15</v>
      </c>
    </row>
    <row r="29" spans="2:77" ht="15.75" thickTop="1" x14ac:dyDescent="0.25"/>
    <row r="30" spans="2:77" ht="15.75" thickBot="1" x14ac:dyDescent="0.3"/>
    <row r="31" spans="2:77" ht="30.75" customHeight="1" thickTop="1" thickBot="1" x14ac:dyDescent="0.3">
      <c r="B31" s="343" t="s">
        <v>46</v>
      </c>
      <c r="C31" s="356"/>
      <c r="D31" s="356"/>
      <c r="E31" s="356"/>
      <c r="F31" s="356"/>
      <c r="G31" s="357"/>
      <c r="H31" s="346" t="s">
        <v>51</v>
      </c>
      <c r="I31" s="360"/>
      <c r="J31" s="360"/>
      <c r="K31" s="361"/>
      <c r="L31" s="137"/>
      <c r="M31" s="137"/>
    </row>
    <row r="32" spans="2:77" ht="16.5" customHeight="1" thickTop="1" thickBot="1" x14ac:dyDescent="0.3">
      <c r="B32" s="337" t="s">
        <v>50</v>
      </c>
      <c r="C32" s="358"/>
      <c r="D32" s="358"/>
      <c r="E32" s="358"/>
      <c r="F32" s="358"/>
      <c r="G32" s="359"/>
      <c r="H32" s="311" t="s">
        <v>31</v>
      </c>
      <c r="I32" s="312"/>
      <c r="J32" s="312"/>
      <c r="K32" s="313"/>
      <c r="L32" s="364" t="s">
        <v>93</v>
      </c>
      <c r="M32" s="365"/>
      <c r="N32" s="340" t="s">
        <v>21</v>
      </c>
      <c r="O32" s="341"/>
      <c r="P32" s="341"/>
      <c r="Q32" s="341"/>
      <c r="R32" s="341"/>
      <c r="S32" s="341"/>
      <c r="T32" s="294" t="s">
        <v>22</v>
      </c>
      <c r="U32" s="295"/>
      <c r="V32" s="295"/>
      <c r="W32" s="295"/>
      <c r="X32" s="296"/>
      <c r="Y32" s="304" t="s">
        <v>44</v>
      </c>
      <c r="Z32" s="305"/>
      <c r="AA32" s="305"/>
      <c r="AB32" s="305"/>
      <c r="AC32" s="305"/>
      <c r="AD32" s="305"/>
      <c r="AE32" s="305"/>
      <c r="AF32" s="305"/>
      <c r="AG32" s="305"/>
      <c r="AH32" s="364" t="s">
        <v>93</v>
      </c>
      <c r="AI32" s="365"/>
      <c r="AJ32" s="340" t="s">
        <v>21</v>
      </c>
      <c r="AK32" s="301"/>
      <c r="AL32" s="301"/>
      <c r="AM32" s="301"/>
      <c r="AN32" s="301"/>
      <c r="AO32" s="301"/>
      <c r="AP32" s="294" t="s">
        <v>22</v>
      </c>
      <c r="AQ32" s="295"/>
      <c r="AR32" s="295"/>
      <c r="AS32" s="295"/>
      <c r="AT32" s="296"/>
      <c r="AU32" s="304" t="s">
        <v>45</v>
      </c>
      <c r="AV32" s="305"/>
      <c r="AW32" s="305"/>
      <c r="AX32" s="305"/>
      <c r="AY32" s="305"/>
      <c r="AZ32" s="305"/>
      <c r="BA32" s="305"/>
      <c r="BB32" s="305"/>
      <c r="BC32" s="306"/>
      <c r="BD32" s="385" t="s">
        <v>93</v>
      </c>
      <c r="BE32" s="386"/>
      <c r="BF32" s="328" t="s">
        <v>21</v>
      </c>
      <c r="BG32" s="323"/>
      <c r="BH32" s="323"/>
      <c r="BI32" s="323"/>
      <c r="BJ32" s="323"/>
      <c r="BK32" s="323"/>
      <c r="BL32" s="322" t="s">
        <v>22</v>
      </c>
      <c r="BM32" s="323"/>
      <c r="BN32" s="323"/>
      <c r="BO32" s="323"/>
      <c r="BP32" s="324"/>
      <c r="BQ32" s="328" t="s">
        <v>45</v>
      </c>
      <c r="BR32" s="323"/>
      <c r="BS32" s="323"/>
      <c r="BT32" s="323"/>
      <c r="BU32" s="323"/>
      <c r="BV32" s="323"/>
      <c r="BW32" s="323"/>
      <c r="BX32" s="323"/>
      <c r="BY32" s="329"/>
    </row>
    <row r="33" spans="2:77" s="18" customFormat="1" ht="15" customHeight="1" thickBot="1" x14ac:dyDescent="0.3">
      <c r="B33" s="389" t="s">
        <v>86</v>
      </c>
      <c r="C33" s="379" t="s">
        <v>20</v>
      </c>
      <c r="D33" s="309" t="s">
        <v>89</v>
      </c>
      <c r="E33" s="371" t="s">
        <v>91</v>
      </c>
      <c r="F33" s="362" t="s">
        <v>1</v>
      </c>
      <c r="G33" s="392" t="s">
        <v>84</v>
      </c>
      <c r="H33" s="314"/>
      <c r="I33" s="315"/>
      <c r="J33" s="315"/>
      <c r="K33" s="316"/>
      <c r="L33" s="366" t="s">
        <v>89</v>
      </c>
      <c r="M33" s="368" t="s">
        <v>91</v>
      </c>
      <c r="N33" s="342"/>
      <c r="O33" s="342"/>
      <c r="P33" s="342"/>
      <c r="Q33" s="342"/>
      <c r="R33" s="342"/>
      <c r="S33" s="342"/>
      <c r="T33" s="297"/>
      <c r="U33" s="298"/>
      <c r="V33" s="298"/>
      <c r="W33" s="298"/>
      <c r="X33" s="299"/>
      <c r="Y33" s="307"/>
      <c r="Z33" s="307"/>
      <c r="AA33" s="307"/>
      <c r="AB33" s="307"/>
      <c r="AC33" s="307"/>
      <c r="AD33" s="307"/>
      <c r="AE33" s="307"/>
      <c r="AF33" s="307"/>
      <c r="AG33" s="307"/>
      <c r="AH33" s="366" t="s">
        <v>89</v>
      </c>
      <c r="AI33" s="368" t="s">
        <v>91</v>
      </c>
      <c r="AJ33" s="303"/>
      <c r="AK33" s="303"/>
      <c r="AL33" s="303"/>
      <c r="AM33" s="303"/>
      <c r="AN33" s="303"/>
      <c r="AO33" s="303"/>
      <c r="AP33" s="297"/>
      <c r="AQ33" s="298"/>
      <c r="AR33" s="298"/>
      <c r="AS33" s="298"/>
      <c r="AT33" s="299"/>
      <c r="AU33" s="307"/>
      <c r="AV33" s="307"/>
      <c r="AW33" s="307"/>
      <c r="AX33" s="307"/>
      <c r="AY33" s="307"/>
      <c r="AZ33" s="307"/>
      <c r="BA33" s="307"/>
      <c r="BB33" s="307"/>
      <c r="BC33" s="308"/>
      <c r="BD33" s="387" t="s">
        <v>89</v>
      </c>
      <c r="BE33" s="383" t="s">
        <v>91</v>
      </c>
      <c r="BF33" s="326"/>
      <c r="BG33" s="326"/>
      <c r="BH33" s="326"/>
      <c r="BI33" s="326"/>
      <c r="BJ33" s="326"/>
      <c r="BK33" s="326"/>
      <c r="BL33" s="325"/>
      <c r="BM33" s="326"/>
      <c r="BN33" s="326"/>
      <c r="BO33" s="326"/>
      <c r="BP33" s="327"/>
      <c r="BQ33" s="326"/>
      <c r="BR33" s="326"/>
      <c r="BS33" s="326"/>
      <c r="BT33" s="326"/>
      <c r="BU33" s="326"/>
      <c r="BV33" s="326"/>
      <c r="BW33" s="326"/>
      <c r="BX33" s="326"/>
      <c r="BY33" s="330"/>
    </row>
    <row r="34" spans="2:77" s="18" customFormat="1" ht="18" thickBot="1" x14ac:dyDescent="0.3">
      <c r="B34" s="390"/>
      <c r="C34" s="391"/>
      <c r="D34" s="370"/>
      <c r="E34" s="372"/>
      <c r="F34" s="363"/>
      <c r="G34" s="393"/>
      <c r="H34" s="19" t="s">
        <v>29</v>
      </c>
      <c r="I34" s="20" t="s">
        <v>28</v>
      </c>
      <c r="J34" s="20" t="s">
        <v>30</v>
      </c>
      <c r="K34" s="21" t="s">
        <v>27</v>
      </c>
      <c r="L34" s="367"/>
      <c r="M34" s="369"/>
      <c r="N34" s="29" t="s">
        <v>32</v>
      </c>
      <c r="O34" s="24" t="s">
        <v>34</v>
      </c>
      <c r="P34" s="24" t="s">
        <v>33</v>
      </c>
      <c r="Q34" s="24" t="s">
        <v>35</v>
      </c>
      <c r="R34" s="24" t="s">
        <v>37</v>
      </c>
      <c r="S34" s="30" t="s">
        <v>36</v>
      </c>
      <c r="T34" s="111" t="s">
        <v>38</v>
      </c>
      <c r="U34" s="22" t="s">
        <v>39</v>
      </c>
      <c r="V34" s="22" t="s">
        <v>40</v>
      </c>
      <c r="W34" s="22" t="s">
        <v>41</v>
      </c>
      <c r="X34" s="112" t="s">
        <v>42</v>
      </c>
      <c r="Y34" s="25" t="s">
        <v>11</v>
      </c>
      <c r="Z34" s="23" t="s">
        <v>13</v>
      </c>
      <c r="AA34" s="23" t="s">
        <v>23</v>
      </c>
      <c r="AB34" s="23" t="s">
        <v>24</v>
      </c>
      <c r="AC34" s="23" t="s">
        <v>12</v>
      </c>
      <c r="AD34" s="23" t="s">
        <v>25</v>
      </c>
      <c r="AE34" s="23" t="s">
        <v>26</v>
      </c>
      <c r="AF34" s="23" t="s">
        <v>10</v>
      </c>
      <c r="AG34" s="25" t="s">
        <v>9</v>
      </c>
      <c r="AH34" s="367"/>
      <c r="AI34" s="369"/>
      <c r="AJ34" s="29" t="s">
        <v>32</v>
      </c>
      <c r="AK34" s="24" t="s">
        <v>34</v>
      </c>
      <c r="AL34" s="24" t="s">
        <v>33</v>
      </c>
      <c r="AM34" s="24" t="s">
        <v>35</v>
      </c>
      <c r="AN34" s="24" t="s">
        <v>37</v>
      </c>
      <c r="AO34" s="30" t="s">
        <v>36</v>
      </c>
      <c r="AP34" s="111" t="s">
        <v>38</v>
      </c>
      <c r="AQ34" s="22" t="s">
        <v>39</v>
      </c>
      <c r="AR34" s="22" t="s">
        <v>40</v>
      </c>
      <c r="AS34" s="22" t="s">
        <v>41</v>
      </c>
      <c r="AT34" s="112" t="s">
        <v>42</v>
      </c>
      <c r="AU34" s="26" t="s">
        <v>11</v>
      </c>
      <c r="AV34" s="27" t="s">
        <v>13</v>
      </c>
      <c r="AW34" s="27" t="s">
        <v>23</v>
      </c>
      <c r="AX34" s="27" t="s">
        <v>24</v>
      </c>
      <c r="AY34" s="27" t="s">
        <v>12</v>
      </c>
      <c r="AZ34" s="27" t="s">
        <v>25</v>
      </c>
      <c r="BA34" s="27" t="s">
        <v>26</v>
      </c>
      <c r="BB34" s="27" t="s">
        <v>10</v>
      </c>
      <c r="BC34" s="120" t="s">
        <v>9</v>
      </c>
      <c r="BD34" s="388"/>
      <c r="BE34" s="384"/>
      <c r="BF34" s="34" t="s">
        <v>32</v>
      </c>
      <c r="BG34" s="33" t="s">
        <v>34</v>
      </c>
      <c r="BH34" s="33" t="s">
        <v>33</v>
      </c>
      <c r="BI34" s="33" t="s">
        <v>35</v>
      </c>
      <c r="BJ34" s="33" t="s">
        <v>37</v>
      </c>
      <c r="BK34" s="34" t="s">
        <v>36</v>
      </c>
      <c r="BL34" s="103" t="s">
        <v>38</v>
      </c>
      <c r="BM34" s="33" t="s">
        <v>39</v>
      </c>
      <c r="BN34" s="33" t="s">
        <v>40</v>
      </c>
      <c r="BO34" s="33" t="s">
        <v>41</v>
      </c>
      <c r="BP34" s="104" t="s">
        <v>42</v>
      </c>
      <c r="BQ34" s="34" t="s">
        <v>11</v>
      </c>
      <c r="BR34" s="33" t="s">
        <v>13</v>
      </c>
      <c r="BS34" s="33" t="s">
        <v>23</v>
      </c>
      <c r="BT34" s="33" t="s">
        <v>24</v>
      </c>
      <c r="BU34" s="33" t="s">
        <v>12</v>
      </c>
      <c r="BV34" s="33" t="s">
        <v>25</v>
      </c>
      <c r="BW34" s="33" t="s">
        <v>26</v>
      </c>
      <c r="BX34" s="33" t="s">
        <v>10</v>
      </c>
      <c r="BY34" s="35" t="s">
        <v>9</v>
      </c>
    </row>
    <row r="35" spans="2:77" x14ac:dyDescent="0.25">
      <c r="B35" s="84">
        <v>96</v>
      </c>
      <c r="C35" s="92">
        <v>236</v>
      </c>
      <c r="D35" s="154">
        <f t="shared" ref="D35:D42" si="58">2*SIN(((2*PI())/G35)/2)*(B35/COS(((2*PI())/G35)/2))</f>
        <v>32.039133352941391</v>
      </c>
      <c r="E35" s="127">
        <f t="shared" ref="E35:E42" si="59">(B35/COS(((2*PI())/G35)/2))</f>
        <v>97.327419140249944</v>
      </c>
      <c r="F35" s="155" t="s">
        <v>2</v>
      </c>
      <c r="G35" s="85">
        <v>19</v>
      </c>
      <c r="H35" s="62"/>
      <c r="I35" s="53"/>
      <c r="J35" s="53"/>
      <c r="K35" s="13">
        <v>67</v>
      </c>
      <c r="L35" s="143">
        <f t="shared" ref="L35:L42" si="60">2*SIN(((2*PI())/G35)/2)*(B35/COS(((2*PI())/G35)/2))</f>
        <v>32.039133352941391</v>
      </c>
      <c r="M35" s="185">
        <f t="shared" ref="M35:M42" si="61">(B35/COS(((2*PI())/G35)/2))</f>
        <v>97.327419140249944</v>
      </c>
      <c r="N35" s="78">
        <f>R35*100000</f>
        <v>689584.67498202808</v>
      </c>
      <c r="O35" s="65">
        <f>R35*10000</f>
        <v>68958.467498202808</v>
      </c>
      <c r="P35" s="65">
        <f>R35*10</f>
        <v>68.958467498202808</v>
      </c>
      <c r="Q35" s="65">
        <f>R35*1000000</f>
        <v>6895846.7498202808</v>
      </c>
      <c r="R35" s="65">
        <f>((D35*G35*C35*B35)/2)/100^3</f>
        <v>6.8958467498202811</v>
      </c>
      <c r="S35" s="138">
        <f>R35*1000</f>
        <v>6895.8467498202808</v>
      </c>
      <c r="T35" s="113">
        <f>W35/0.45359237</f>
        <v>1018583.5626775618</v>
      </c>
      <c r="U35" s="67">
        <f>W35*1000/31.1034768</f>
        <v>14854343.62238111</v>
      </c>
      <c r="V35" s="67">
        <f>W35/1000</f>
        <v>462.02173223795882</v>
      </c>
      <c r="W35" s="67">
        <f>R35*1000*K35</f>
        <v>462021.73223795881</v>
      </c>
      <c r="X35" s="114">
        <f>W35*1000</f>
        <v>462021732.23795879</v>
      </c>
      <c r="Y35" s="80">
        <f>AD35/100</f>
        <v>0.20210285319035431</v>
      </c>
      <c r="Z35" s="68">
        <f>AD35/4046.8564224</f>
        <v>4.9940702633205014E-3</v>
      </c>
      <c r="AA35" s="68">
        <f>AD35*10000</f>
        <v>202102.8531903543</v>
      </c>
      <c r="AB35" s="68">
        <f>AD35*100</f>
        <v>2021.0285319035431</v>
      </c>
      <c r="AC35" s="68">
        <f>AD35/10000</f>
        <v>2.0210285319035431E-3</v>
      </c>
      <c r="AD35" s="68">
        <f>((D35*G35*C35)+(D35*G35*B35))/100^2</f>
        <v>20.210285319035432</v>
      </c>
      <c r="AE35" s="68">
        <f>AD35*1000000</f>
        <v>20210285.319035433</v>
      </c>
      <c r="AF35" s="68">
        <f>AD35/144*10000/(2.54*2.54)</f>
        <v>217.54170067024106</v>
      </c>
      <c r="AG35" s="80">
        <f>AD35*10000/(2.54 *2.54)</f>
        <v>31326.004896514711</v>
      </c>
      <c r="AH35" s="143">
        <v>32.039000000000001</v>
      </c>
      <c r="AI35" s="185">
        <v>97.326999999999998</v>
      </c>
      <c r="AJ35" s="78">
        <v>689585</v>
      </c>
      <c r="AK35" s="65">
        <v>68958.5</v>
      </c>
      <c r="AL35" s="65">
        <v>68.958500000000001</v>
      </c>
      <c r="AM35" s="65">
        <v>6895847</v>
      </c>
      <c r="AN35" s="65">
        <v>6.8958500000000003</v>
      </c>
      <c r="AO35" s="66">
        <v>6895.85</v>
      </c>
      <c r="AP35" s="113">
        <v>1018584</v>
      </c>
      <c r="AQ35" s="67">
        <v>14854344</v>
      </c>
      <c r="AR35" s="67">
        <v>462.02199999999999</v>
      </c>
      <c r="AS35" s="67">
        <v>462022</v>
      </c>
      <c r="AT35" s="114">
        <v>462021732</v>
      </c>
      <c r="AU35" s="121">
        <v>0.202103</v>
      </c>
      <c r="AV35" s="121">
        <v>4.9940699999999998E-3</v>
      </c>
      <c r="AW35" s="68">
        <v>202103</v>
      </c>
      <c r="AX35" s="68">
        <v>2021.03</v>
      </c>
      <c r="AY35" s="68">
        <v>2.02103E-3</v>
      </c>
      <c r="AZ35" s="68">
        <v>20.2103</v>
      </c>
      <c r="BA35" s="68">
        <v>20210285</v>
      </c>
      <c r="BB35" s="68">
        <v>217.542</v>
      </c>
      <c r="BC35" s="122">
        <v>31326</v>
      </c>
      <c r="BD35" s="249">
        <f>(L35-AH35)/L35</f>
        <v>4.1621894050885066E-6</v>
      </c>
      <c r="BE35" s="250">
        <f>(M35-AI35)/M35</f>
        <v>4.3064971171365423E-6</v>
      </c>
      <c r="BF35" s="38">
        <f t="shared" ref="BF35:BL35" si="62">(N35-AJ35)/N35</f>
        <v>-4.7132423864619305E-7</v>
      </c>
      <c r="BG35" s="37">
        <f t="shared" si="62"/>
        <v>-4.7132423864619305E-7</v>
      </c>
      <c r="BH35" s="37">
        <f t="shared" si="62"/>
        <v>-4.7132423866597657E-7</v>
      </c>
      <c r="BI35" s="37">
        <f t="shared" si="62"/>
        <v>-3.6279767845245238E-8</v>
      </c>
      <c r="BJ35" s="37">
        <f t="shared" si="62"/>
        <v>-4.7132423864021676E-7</v>
      </c>
      <c r="BK35" s="38">
        <f t="shared" si="62"/>
        <v>-4.7132423869894912E-7</v>
      </c>
      <c r="BL35" s="105">
        <f t="shared" si="62"/>
        <v>-4.2934370262100156E-7</v>
      </c>
      <c r="BM35" s="39">
        <f t="shared" ref="BM35:BM42" si="63">(U35-AQ35)/U35</f>
        <v>-2.5421445730306754E-8</v>
      </c>
      <c r="BN35" s="39">
        <f t="shared" ref="BN35:BN42" si="64">(V35-AR35)/V35</f>
        <v>-5.7954425623868398E-7</v>
      </c>
      <c r="BO35" s="39">
        <f t="shared" ref="BO35:BO42" si="65">(W35-AS35)/W35</f>
        <v>-5.7954425625836913E-7</v>
      </c>
      <c r="BP35" s="106">
        <f t="shared" ref="BP35:BP42" si="66">(X35-AT35)/X35</f>
        <v>5.150380864534902E-10</v>
      </c>
      <c r="BQ35" s="38">
        <f t="shared" ref="BQ35:BY42" si="67">(Y35-AU35)/Y35</f>
        <v>-7.264105546890703E-7</v>
      </c>
      <c r="BR35" s="37">
        <f t="shared" si="67"/>
        <v>5.2726631345582413E-8</v>
      </c>
      <c r="BS35" s="37">
        <f t="shared" si="67"/>
        <v>-7.2641055471560541E-7</v>
      </c>
      <c r="BT35" s="37">
        <f t="shared" si="67"/>
        <v>-7.2641055466160346E-7</v>
      </c>
      <c r="BU35" s="37">
        <f t="shared" si="67"/>
        <v>-7.264105546890703E-7</v>
      </c>
      <c r="BV35" s="37">
        <f t="shared" si="67"/>
        <v>-7.2641055466160346E-7</v>
      </c>
      <c r="BW35" s="37">
        <f t="shared" si="67"/>
        <v>1.5785795608352685E-8</v>
      </c>
      <c r="BX35" s="37">
        <f t="shared" si="67"/>
        <v>-1.3759649668238511E-6</v>
      </c>
      <c r="BY35" s="40">
        <f t="shared" si="67"/>
        <v>1.5630830445452263E-7</v>
      </c>
    </row>
    <row r="36" spans="2:77" x14ac:dyDescent="0.25">
      <c r="B36" s="86">
        <v>45</v>
      </c>
      <c r="C36" s="93">
        <v>499</v>
      </c>
      <c r="D36" s="152">
        <f t="shared" si="58"/>
        <v>1.8127023573868017</v>
      </c>
      <c r="E36" s="128">
        <f t="shared" si="59"/>
        <v>45.009126546280797</v>
      </c>
      <c r="F36" s="156" t="s">
        <v>3</v>
      </c>
      <c r="G36" s="87">
        <v>156</v>
      </c>
      <c r="H36" s="11">
        <v>266</v>
      </c>
      <c r="I36" s="58"/>
      <c r="J36" s="58"/>
      <c r="K36" s="55"/>
      <c r="L36" s="144">
        <f t="shared" si="60"/>
        <v>1.8127023573868017</v>
      </c>
      <c r="M36" s="186">
        <f t="shared" si="61"/>
        <v>45.009126546280797</v>
      </c>
      <c r="N36" s="69">
        <f t="shared" ref="N36:N42" si="68">R36*100000</f>
        <v>8990400722.1098862</v>
      </c>
      <c r="O36" s="70">
        <f t="shared" ref="O36:O42" si="69">R36*10000</f>
        <v>899040072.21098864</v>
      </c>
      <c r="P36" s="70">
        <f t="shared" ref="P36:P42" si="70">R36*10</f>
        <v>899040.07221098861</v>
      </c>
      <c r="Q36" s="70">
        <f t="shared" ref="Q36:Q42" si="71">R36*1000000</f>
        <v>89904007221.098862</v>
      </c>
      <c r="R36" s="70">
        <f>(((2*SIN(((2*PI())/G36)/2)*(B36/COS(((2*PI())/G36)/2)))*G36*C36*B36)/2)*0.3048^3</f>
        <v>89904.007221098858</v>
      </c>
      <c r="S36" s="139">
        <f t="shared" ref="S36:S42" si="72">R36*1000</f>
        <v>89904007.221098855</v>
      </c>
      <c r="T36" s="115">
        <f t="shared" ref="T36:T42" si="73">W36/0.45359237</f>
        <v>52722372.558454402</v>
      </c>
      <c r="U36" s="72">
        <f t="shared" ref="U36:U42" si="74">W36*1000/31.1034768</f>
        <v>768867933.14412677</v>
      </c>
      <c r="V36" s="72">
        <f t="shared" ref="V36:V42" si="75">W36/1000</f>
        <v>23914.465920812298</v>
      </c>
      <c r="W36" s="72">
        <f>R36*H36</f>
        <v>23914465.920812298</v>
      </c>
      <c r="X36" s="116">
        <f t="shared" ref="X36:X42" si="76">W36*1000</f>
        <v>23914465920.812298</v>
      </c>
      <c r="Y36" s="81">
        <f t="shared" ref="Y36:Y42" si="77">AD36/100</f>
        <v>142.91569411286201</v>
      </c>
      <c r="Z36" s="73">
        <f t="shared" ref="Z36:Z42" si="78">AD36/4046.8564224</f>
        <v>3.5315237111403479</v>
      </c>
      <c r="AA36" s="73">
        <f t="shared" ref="AA36:AA42" si="79">AD36*10000</f>
        <v>142915694.11286199</v>
      </c>
      <c r="AB36" s="73">
        <f t="shared" ref="AB36:AB42" si="80">AD36*100</f>
        <v>1429156.9411286199</v>
      </c>
      <c r="AC36" s="73">
        <f t="shared" ref="AC36:AC42" si="81">AD36/10000</f>
        <v>1.42915694112862</v>
      </c>
      <c r="AD36" s="73">
        <f>((2*SIN(((2*PI())/G36)/2)*(B36/COS(((2*PI())/G36)/2)))*G36*C36+(2*SIN(((2*PI())/G36)/2)*(B36/COS(((2*PI())/G36)/2)))*G36*B36)*0.3048^2</f>
        <v>14291.5694112862</v>
      </c>
      <c r="AE36" s="73">
        <f t="shared" ref="AE36:AE42" si="82">AD36*1000000</f>
        <v>14291569411.2862</v>
      </c>
      <c r="AF36" s="73">
        <f t="shared" ref="AF36:AF42" si="83">AD36/144*10000/(2.54*2.54)</f>
        <v>153833.17285727357</v>
      </c>
      <c r="AG36" s="81">
        <f t="shared" ref="AG36:AG42" si="84">AD36*10000/(2.54 *2.54)</f>
        <v>22151976.891447391</v>
      </c>
      <c r="AH36" s="144">
        <v>1.8127</v>
      </c>
      <c r="AI36" s="186">
        <v>45.009</v>
      </c>
      <c r="AJ36" s="69">
        <v>8990400722</v>
      </c>
      <c r="AK36" s="69">
        <v>899040072</v>
      </c>
      <c r="AL36" s="70">
        <v>899040</v>
      </c>
      <c r="AM36" s="70">
        <v>89904007221</v>
      </c>
      <c r="AN36" s="70">
        <v>89904</v>
      </c>
      <c r="AO36" s="71">
        <v>89904007</v>
      </c>
      <c r="AP36" s="115">
        <v>52722373</v>
      </c>
      <c r="AQ36" s="72">
        <v>768867933</v>
      </c>
      <c r="AR36" s="72">
        <v>23914.5</v>
      </c>
      <c r="AS36" s="72">
        <v>23914466</v>
      </c>
      <c r="AT36" s="116">
        <v>23914465921</v>
      </c>
      <c r="AU36" s="123">
        <v>142.916</v>
      </c>
      <c r="AV36" s="123">
        <v>3.53152</v>
      </c>
      <c r="AW36" s="73">
        <v>142915694</v>
      </c>
      <c r="AX36" s="73">
        <v>1429157</v>
      </c>
      <c r="AY36" s="73">
        <v>1.42916</v>
      </c>
      <c r="AZ36" s="73">
        <v>14291.6</v>
      </c>
      <c r="BA36" s="73">
        <v>14291569411</v>
      </c>
      <c r="BB36" s="73">
        <v>153833</v>
      </c>
      <c r="BC36" s="124">
        <v>22151977</v>
      </c>
      <c r="BD36" s="251">
        <f t="shared" ref="BD36:BD42" si="85">(L36-AH36)/L36</f>
        <v>1.3004820080689297E-6</v>
      </c>
      <c r="BE36" s="252">
        <f t="shared" ref="BE36:BE42" si="86">(M36-AI36)/M36</f>
        <v>2.8115693528583617E-6</v>
      </c>
      <c r="BF36" s="43">
        <f t="shared" ref="BF36:BK42" si="87">(N36-AJ36)/N36</f>
        <v>1.2222610852412087E-11</v>
      </c>
      <c r="BG36" s="42">
        <f t="shared" si="87"/>
        <v>2.3468213187242898E-10</v>
      </c>
      <c r="BH36" s="42">
        <f t="shared" si="87"/>
        <v>8.0320100120039576E-8</v>
      </c>
      <c r="BI36" s="42">
        <f t="shared" si="87"/>
        <v>1.0996361273731571E-12</v>
      </c>
      <c r="BJ36" s="42">
        <f t="shared" si="87"/>
        <v>8.0320100087667459E-8</v>
      </c>
      <c r="BK36" s="43">
        <f t="shared" si="87"/>
        <v>2.4592769774330712E-9</v>
      </c>
      <c r="BL36" s="107">
        <f t="shared" ref="BL36:BL42" si="88">(T36-AP36)/T36</f>
        <v>-8.3749189723841314E-9</v>
      </c>
      <c r="BM36" s="44">
        <f t="shared" si="63"/>
        <v>1.8745322397720177E-10</v>
      </c>
      <c r="BN36" s="44">
        <f t="shared" si="64"/>
        <v>-1.4250449002412101E-6</v>
      </c>
      <c r="BO36" s="44">
        <f t="shared" si="65"/>
        <v>-3.3112887676348149E-9</v>
      </c>
      <c r="BP36" s="108">
        <f t="shared" si="66"/>
        <v>-7.8488969637295782E-12</v>
      </c>
      <c r="BQ36" s="43">
        <f t="shared" si="67"/>
        <v>-2.1403327317009421E-6</v>
      </c>
      <c r="BR36" s="42">
        <f t="shared" si="67"/>
        <v>1.0508609460019625E-6</v>
      </c>
      <c r="BS36" s="42">
        <f t="shared" si="67"/>
        <v>7.8971026680611878E-10</v>
      </c>
      <c r="BT36" s="42">
        <f t="shared" si="67"/>
        <v>-4.1193082690393166E-8</v>
      </c>
      <c r="BU36" s="42">
        <f t="shared" si="67"/>
        <v>-2.1403327317941627E-6</v>
      </c>
      <c r="BV36" s="42">
        <f t="shared" si="67"/>
        <v>-2.1403327318282194E-6</v>
      </c>
      <c r="BW36" s="42">
        <f t="shared" si="67"/>
        <v>2.0025762144508334E-11</v>
      </c>
      <c r="BX36" s="42">
        <f t="shared" si="67"/>
        <v>1.1236670892443422E-6</v>
      </c>
      <c r="BY36" s="45">
        <f t="shared" si="67"/>
        <v>-4.9003576146250263E-9</v>
      </c>
    </row>
    <row r="37" spans="2:77" x14ac:dyDescent="0.25">
      <c r="B37" s="86">
        <v>78</v>
      </c>
      <c r="C37" s="93">
        <v>67</v>
      </c>
      <c r="D37" s="152">
        <f t="shared" si="58"/>
        <v>0.58344135597126023</v>
      </c>
      <c r="E37" s="128">
        <f t="shared" si="59"/>
        <v>78.000545517028044</v>
      </c>
      <c r="F37" s="156" t="s">
        <v>4</v>
      </c>
      <c r="G37" s="87">
        <v>840</v>
      </c>
      <c r="H37" s="59"/>
      <c r="I37" s="5">
        <v>588</v>
      </c>
      <c r="J37" s="56"/>
      <c r="K37" s="55"/>
      <c r="L37" s="144">
        <f t="shared" si="60"/>
        <v>0.58344135597126023</v>
      </c>
      <c r="M37" s="186">
        <f t="shared" si="61"/>
        <v>78.000545517028044</v>
      </c>
      <c r="N37" s="69">
        <f t="shared" si="68"/>
        <v>2098539.0523735229</v>
      </c>
      <c r="O37" s="70">
        <f t="shared" si="69"/>
        <v>209853.9052373523</v>
      </c>
      <c r="P37" s="70">
        <f t="shared" si="70"/>
        <v>209.85390523735231</v>
      </c>
      <c r="Q37" s="70">
        <f t="shared" si="71"/>
        <v>20985390.523735229</v>
      </c>
      <c r="R37" s="70">
        <f>(((2*SIN(((2*PI())/G37)/2)*(B37/COS(((2*PI())/G37)/2)))*G37*C37*B37)/2)*(2.54/100)^3</f>
        <v>20.98539052373523</v>
      </c>
      <c r="S37" s="139">
        <f t="shared" si="72"/>
        <v>20985.39052373523</v>
      </c>
      <c r="T37" s="115">
        <f t="shared" si="73"/>
        <v>27203741.60605108</v>
      </c>
      <c r="U37" s="72">
        <f t="shared" si="74"/>
        <v>396721231.7549116</v>
      </c>
      <c r="V37" s="72">
        <f t="shared" si="75"/>
        <v>12339.409627956316</v>
      </c>
      <c r="W37" s="72">
        <f>R37*1000*I37</f>
        <v>12339409.627956316</v>
      </c>
      <c r="X37" s="116">
        <f t="shared" si="76"/>
        <v>12339409627.956316</v>
      </c>
      <c r="Y37" s="81">
        <f t="shared" si="77"/>
        <v>0.45847106471603349</v>
      </c>
      <c r="Z37" s="73">
        <f t="shared" si="78"/>
        <v>1.132906673383129E-2</v>
      </c>
      <c r="AA37" s="73">
        <f t="shared" si="79"/>
        <v>458471.06471603346</v>
      </c>
      <c r="AB37" s="73">
        <f t="shared" si="80"/>
        <v>4584.7106471603347</v>
      </c>
      <c r="AC37" s="73">
        <f t="shared" si="81"/>
        <v>4.5847106471603345E-3</v>
      </c>
      <c r="AD37" s="73">
        <f>((2*SIN(((2*PI())/G37)/2)*(B37/COS(((2*PI())/G37)/2)))*G37*C37+(2*SIN(((2*PI())/G37)/2)*(B37/COS(((2*PI())/G37)/2)))*G37*B37)*(2.54/100)^2</f>
        <v>45.847106471603347</v>
      </c>
      <c r="AE37" s="73">
        <f t="shared" si="82"/>
        <v>45847106.471603349</v>
      </c>
      <c r="AF37" s="73">
        <f t="shared" si="83"/>
        <v>493.49414692569093</v>
      </c>
      <c r="AG37" s="81">
        <f t="shared" si="84"/>
        <v>71063.157157299502</v>
      </c>
      <c r="AH37" s="144">
        <v>0.58340000000000003</v>
      </c>
      <c r="AI37" s="186">
        <v>78.001000000000005</v>
      </c>
      <c r="AJ37" s="69">
        <v>2098539</v>
      </c>
      <c r="AK37" s="70">
        <v>209854</v>
      </c>
      <c r="AL37" s="70">
        <v>209.85400000000001</v>
      </c>
      <c r="AM37" s="70">
        <v>20985391</v>
      </c>
      <c r="AN37" s="70">
        <v>20.985399999999998</v>
      </c>
      <c r="AO37" s="71">
        <v>20985.4</v>
      </c>
      <c r="AP37" s="115">
        <v>27203742</v>
      </c>
      <c r="AQ37" s="72">
        <v>396721232</v>
      </c>
      <c r="AR37" s="72">
        <v>12339.4</v>
      </c>
      <c r="AS37" s="72">
        <v>12339410</v>
      </c>
      <c r="AT37" s="116">
        <v>12339409628</v>
      </c>
      <c r="AU37" s="123">
        <v>0.45847100000000002</v>
      </c>
      <c r="AV37" s="123">
        <v>1.13291E-2</v>
      </c>
      <c r="AW37" s="73">
        <v>458471</v>
      </c>
      <c r="AX37" s="73">
        <v>4584.71</v>
      </c>
      <c r="AY37" s="73">
        <v>4.5847099999999997E-3</v>
      </c>
      <c r="AZ37" s="73">
        <v>45.847099999999998</v>
      </c>
      <c r="BA37" s="73">
        <v>45847106</v>
      </c>
      <c r="BB37" s="73">
        <v>493.49400000000003</v>
      </c>
      <c r="BC37" s="124">
        <v>71063.199999999997</v>
      </c>
      <c r="BD37" s="251">
        <f t="shared" si="85"/>
        <v>7.0882824532310365E-5</v>
      </c>
      <c r="BE37" s="252">
        <f t="shared" si="86"/>
        <v>-5.826664018155933E-6</v>
      </c>
      <c r="BF37" s="43">
        <f t="shared" si="87"/>
        <v>2.4957135219074434E-8</v>
      </c>
      <c r="BG37" s="42">
        <f t="shared" si="87"/>
        <v>-4.5156485218571025E-7</v>
      </c>
      <c r="BH37" s="42">
        <f t="shared" si="87"/>
        <v>-4.5156485221713131E-7</v>
      </c>
      <c r="BI37" s="42">
        <f t="shared" si="87"/>
        <v>-2.2695063526951481E-8</v>
      </c>
      <c r="BJ37" s="42">
        <f t="shared" si="87"/>
        <v>-4.5156485211555454E-7</v>
      </c>
      <c r="BK37" s="43">
        <f t="shared" si="87"/>
        <v>-4.5156485225505329E-7</v>
      </c>
      <c r="BL37" s="107">
        <f t="shared" si="88"/>
        <v>-1.4481424128197747E-8</v>
      </c>
      <c r="BM37" s="44">
        <f t="shared" si="63"/>
        <v>-6.177849301697707E-10</v>
      </c>
      <c r="BN37" s="44">
        <f t="shared" si="64"/>
        <v>7.8026069374903526E-7</v>
      </c>
      <c r="BO37" s="44">
        <f t="shared" si="65"/>
        <v>-3.0150849622662653E-8</v>
      </c>
      <c r="BP37" s="108">
        <f t="shared" si="66"/>
        <v>-3.540202250708468E-12</v>
      </c>
      <c r="BQ37" s="43">
        <f t="shared" si="67"/>
        <v>1.4115620037364559E-7</v>
      </c>
      <c r="BR37" s="42">
        <f t="shared" si="67"/>
        <v>-2.9363556144455331E-6</v>
      </c>
      <c r="BS37" s="42">
        <f t="shared" si="67"/>
        <v>1.4115620034381952E-7</v>
      </c>
      <c r="BT37" s="42">
        <f t="shared" si="67"/>
        <v>1.4115620035175455E-7</v>
      </c>
      <c r="BU37" s="42">
        <f t="shared" si="67"/>
        <v>1.411562003963479E-7</v>
      </c>
      <c r="BV37" s="42">
        <f t="shared" si="67"/>
        <v>1.4115620040754769E-7</v>
      </c>
      <c r="BW37" s="42">
        <f t="shared" si="67"/>
        <v>1.0286436487399795E-8</v>
      </c>
      <c r="BX37" s="42">
        <f t="shared" si="67"/>
        <v>2.9772529586080039E-7</v>
      </c>
      <c r="BY37" s="45">
        <f t="shared" si="67"/>
        <v>-6.0288203070617297E-7</v>
      </c>
    </row>
    <row r="38" spans="2:77" x14ac:dyDescent="0.25">
      <c r="B38" s="86">
        <v>63</v>
      </c>
      <c r="C38" s="93">
        <v>133</v>
      </c>
      <c r="D38" s="152">
        <f t="shared" si="58"/>
        <v>11.675619426495752</v>
      </c>
      <c r="E38" s="128">
        <f t="shared" si="59"/>
        <v>63.269898231687492</v>
      </c>
      <c r="F38" s="156" t="s">
        <v>5</v>
      </c>
      <c r="G38" s="87">
        <v>34</v>
      </c>
      <c r="H38" s="59"/>
      <c r="I38" s="56"/>
      <c r="J38" s="5">
        <v>960</v>
      </c>
      <c r="K38" s="57"/>
      <c r="L38" s="144">
        <f t="shared" si="60"/>
        <v>11.675619426495752</v>
      </c>
      <c r="M38" s="186">
        <f t="shared" si="61"/>
        <v>63.269898231687492</v>
      </c>
      <c r="N38" s="69">
        <f t="shared" si="68"/>
        <v>166311025796.83344</v>
      </c>
      <c r="O38" s="70">
        <f t="shared" si="69"/>
        <v>16631102579.683344</v>
      </c>
      <c r="P38" s="70">
        <f t="shared" si="70"/>
        <v>16631102.579683345</v>
      </c>
      <c r="Q38" s="70">
        <f t="shared" si="71"/>
        <v>1663110257968.3345</v>
      </c>
      <c r="R38" s="70">
        <f>((2*SIN(((2*PI())/G38)/2)*(B38/COS(((2*PI())/G38)/2)))*G38*C38*B38)/2</f>
        <v>1663110.2579683345</v>
      </c>
      <c r="S38" s="139">
        <f t="shared" si="72"/>
        <v>1663110257.9683344</v>
      </c>
      <c r="T38" s="115">
        <f t="shared" si="73"/>
        <v>56382897101.991013</v>
      </c>
      <c r="U38" s="72">
        <f t="shared" si="74"/>
        <v>822250582737.36902</v>
      </c>
      <c r="V38" s="72">
        <f t="shared" si="75"/>
        <v>25574851.923958238</v>
      </c>
      <c r="W38" s="72">
        <f>R38*(0.45359237/0.3048^3)*J38</f>
        <v>25574851923.958237</v>
      </c>
      <c r="X38" s="116">
        <f t="shared" si="76"/>
        <v>25574851923958.238</v>
      </c>
      <c r="Y38" s="81">
        <f t="shared" si="77"/>
        <v>778.06327858167697</v>
      </c>
      <c r="Z38" s="73">
        <f t="shared" si="78"/>
        <v>19.226362325951861</v>
      </c>
      <c r="AA38" s="73">
        <f t="shared" si="79"/>
        <v>778063278.58167696</v>
      </c>
      <c r="AB38" s="73">
        <f t="shared" si="80"/>
        <v>7780632.78581677</v>
      </c>
      <c r="AC38" s="73">
        <f t="shared" si="81"/>
        <v>7.7806327858167696</v>
      </c>
      <c r="AD38" s="73">
        <f>(2*SIN(((2*PI())/G38)/2)*(B38/COS(((2*PI())/G38)/2)))*G38*C38+(2*SIN(((2*PI())/G38)/2)*(B38/COS(((2*PI())/G38)/2)))*G38*B38</f>
        <v>77806.3278581677</v>
      </c>
      <c r="AE38" s="73">
        <f t="shared" si="82"/>
        <v>77806327858.167694</v>
      </c>
      <c r="AF38" s="73">
        <f t="shared" si="83"/>
        <v>837500.34291846328</v>
      </c>
      <c r="AG38" s="81">
        <f t="shared" si="84"/>
        <v>120600049.38025869</v>
      </c>
      <c r="AH38" s="145">
        <v>11.676</v>
      </c>
      <c r="AI38" s="187">
        <v>63.27</v>
      </c>
      <c r="AJ38" s="69">
        <v>166311025797</v>
      </c>
      <c r="AK38" s="70">
        <v>16631102580</v>
      </c>
      <c r="AL38" s="70">
        <v>16631103</v>
      </c>
      <c r="AM38" s="70">
        <v>1663110257968</v>
      </c>
      <c r="AN38" s="70">
        <v>1663110</v>
      </c>
      <c r="AO38" s="71">
        <v>1663110258</v>
      </c>
      <c r="AP38" s="115">
        <v>56382897102</v>
      </c>
      <c r="AQ38" s="72">
        <v>822250582737</v>
      </c>
      <c r="AR38" s="72">
        <v>25574852</v>
      </c>
      <c r="AS38" s="72">
        <v>25574851924</v>
      </c>
      <c r="AT38" s="116">
        <v>25574851923958</v>
      </c>
      <c r="AU38" s="123">
        <v>778.06299999999999</v>
      </c>
      <c r="AV38" s="123">
        <v>19.226400000000002</v>
      </c>
      <c r="AW38" s="73">
        <v>778063279</v>
      </c>
      <c r="AX38" s="73">
        <v>7780633</v>
      </c>
      <c r="AY38" s="73">
        <v>7.7806300000000004</v>
      </c>
      <c r="AZ38" s="73">
        <v>77806.3</v>
      </c>
      <c r="BA38" s="73">
        <v>77806327858</v>
      </c>
      <c r="BB38" s="73">
        <v>837500</v>
      </c>
      <c r="BC38" s="124">
        <v>120600049</v>
      </c>
      <c r="BD38" s="251">
        <f t="shared" si="85"/>
        <v>-3.2595572906797241E-5</v>
      </c>
      <c r="BE38" s="252">
        <f t="shared" si="86"/>
        <v>-1.6084791560535184E-6</v>
      </c>
      <c r="BF38" s="43">
        <f t="shared" si="87"/>
        <v>-1.001526751507905E-12</v>
      </c>
      <c r="BG38" s="42">
        <f t="shared" si="87"/>
        <v>-1.9039995162902035E-11</v>
      </c>
      <c r="BH38" s="42">
        <f t="shared" si="87"/>
        <v>-2.5272927827542852E-8</v>
      </c>
      <c r="BI38" s="42">
        <f t="shared" si="87"/>
        <v>2.0111273720275997E-13</v>
      </c>
      <c r="BJ38" s="42">
        <f t="shared" si="87"/>
        <v>1.5511198565767719E-7</v>
      </c>
      <c r="BK38" s="43">
        <f t="shared" si="87"/>
        <v>-1.9039966491492192E-11</v>
      </c>
      <c r="BL38" s="107">
        <f t="shared" si="88"/>
        <v>-1.5939987513509894E-13</v>
      </c>
      <c r="BM38" s="44">
        <f t="shared" si="63"/>
        <v>4.4879087036824442E-13</v>
      </c>
      <c r="BN38" s="44">
        <f t="shared" si="64"/>
        <v>-2.9733021333550924E-9</v>
      </c>
      <c r="BO38" s="44">
        <f t="shared" si="65"/>
        <v>-1.6329832832752044E-12</v>
      </c>
      <c r="BP38" s="108">
        <f t="shared" si="66"/>
        <v>9.3170138661401505E-15</v>
      </c>
      <c r="BQ38" s="43">
        <f t="shared" si="67"/>
        <v>3.5804501336698742E-7</v>
      </c>
      <c r="BR38" s="42">
        <f t="shared" si="67"/>
        <v>-1.9594995403705948E-6</v>
      </c>
      <c r="BS38" s="42">
        <f t="shared" si="67"/>
        <v>-5.3764655333831125E-10</v>
      </c>
      <c r="BT38" s="42">
        <f t="shared" si="67"/>
        <v>-2.7527739176109541E-8</v>
      </c>
      <c r="BU38" s="42">
        <f t="shared" si="67"/>
        <v>3.5804501329849591E-7</v>
      </c>
      <c r="BV38" s="42">
        <f t="shared" si="67"/>
        <v>3.5804501336114279E-7</v>
      </c>
      <c r="BW38" s="42">
        <f t="shared" si="67"/>
        <v>2.1552757521542813E-12</v>
      </c>
      <c r="BX38" s="42">
        <f t="shared" si="67"/>
        <v>4.0945471388008179E-7</v>
      </c>
      <c r="BY38" s="45">
        <f t="shared" si="67"/>
        <v>3.1530558755588724E-9</v>
      </c>
    </row>
    <row r="39" spans="2:77" x14ac:dyDescent="0.25">
      <c r="B39" s="86">
        <v>19</v>
      </c>
      <c r="C39" s="93">
        <v>7</v>
      </c>
      <c r="D39" s="152">
        <f t="shared" si="58"/>
        <v>4.8005163809521108</v>
      </c>
      <c r="E39" s="128">
        <f t="shared" si="59"/>
        <v>19.151011445376646</v>
      </c>
      <c r="F39" s="156" t="s">
        <v>6</v>
      </c>
      <c r="G39" s="87">
        <v>25</v>
      </c>
      <c r="H39" s="59"/>
      <c r="I39" s="58"/>
      <c r="J39" s="58"/>
      <c r="K39" s="14">
        <v>1200</v>
      </c>
      <c r="L39" s="144">
        <f t="shared" si="60"/>
        <v>4.8005163809521108</v>
      </c>
      <c r="M39" s="186">
        <f t="shared" si="61"/>
        <v>19.151011445376646</v>
      </c>
      <c r="N39" s="69">
        <f t="shared" si="68"/>
        <v>3.3265669281641395E+18</v>
      </c>
      <c r="O39" s="70">
        <f t="shared" si="69"/>
        <v>3.3265669281641395E+17</v>
      </c>
      <c r="P39" s="70">
        <f t="shared" si="70"/>
        <v>332656692816413.94</v>
      </c>
      <c r="Q39" s="70">
        <f t="shared" si="71"/>
        <v>3.3265669281641394E+19</v>
      </c>
      <c r="R39" s="70">
        <f>(((2*SIN(((2*PI())/G39)/2)*(B39/COS(((2*PI())/G39)/2)))*G39*C39*B39)/2)*(63360*2.54/100)^3</f>
        <v>33265669281641.395</v>
      </c>
      <c r="S39" s="139">
        <f t="shared" si="72"/>
        <v>3.3265669281641396E+16</v>
      </c>
      <c r="T39" s="115">
        <f t="shared" si="73"/>
        <v>8.8005896435095847E+19</v>
      </c>
      <c r="U39" s="72">
        <f t="shared" si="74"/>
        <v>1.2834193230118144E+21</v>
      </c>
      <c r="V39" s="72">
        <f t="shared" si="75"/>
        <v>3.991880313796968E+16</v>
      </c>
      <c r="W39" s="72">
        <f>R39*1000*K39</f>
        <v>3.9918803137969676E+19</v>
      </c>
      <c r="X39" s="116">
        <f t="shared" si="76"/>
        <v>3.9918803137969674E+22</v>
      </c>
      <c r="Y39" s="81">
        <f t="shared" si="77"/>
        <v>80816322.275904611</v>
      </c>
      <c r="Z39" s="73">
        <f t="shared" si="78"/>
        <v>1997014.8144760779</v>
      </c>
      <c r="AA39" s="73">
        <f t="shared" si="79"/>
        <v>80816322275904.609</v>
      </c>
      <c r="AB39" s="73">
        <f t="shared" si="80"/>
        <v>808163222759.04602</v>
      </c>
      <c r="AC39" s="73">
        <f t="shared" si="81"/>
        <v>808163.22275904613</v>
      </c>
      <c r="AD39" s="73">
        <f>((2*SIN(((2*PI())/G39)/2)*(B39/COS(((2*PI())/G39)/2)))*G39*C39+(2*SIN(((2*PI())/G39)/2)*(B39/COS(((2*PI())/G39)/2)))*G39*B39)*(63360*2.54/100)^2</f>
        <v>8081632227.5904608</v>
      </c>
      <c r="AE39" s="73">
        <f t="shared" si="82"/>
        <v>8081632227590461</v>
      </c>
      <c r="AF39" s="73">
        <f t="shared" si="83"/>
        <v>86989965318.577957</v>
      </c>
      <c r="AG39" s="81">
        <f t="shared" si="84"/>
        <v>12526555005875.227</v>
      </c>
      <c r="AH39" s="144">
        <v>4.8005000000000004</v>
      </c>
      <c r="AI39" s="186">
        <v>19.151</v>
      </c>
      <c r="AJ39" s="69">
        <v>3.32656692816414E+18</v>
      </c>
      <c r="AK39" s="70">
        <v>3.3265669281641402E+17</v>
      </c>
      <c r="AL39" s="70">
        <v>332656692816414</v>
      </c>
      <c r="AM39" s="70">
        <v>3.3265669281641398E+19</v>
      </c>
      <c r="AN39" s="70">
        <v>33265669281641</v>
      </c>
      <c r="AO39" s="71">
        <v>3.32656692816414E+16</v>
      </c>
      <c r="AP39" s="115">
        <v>8.8005896435095896E+19</v>
      </c>
      <c r="AQ39" s="72">
        <v>1.2834193230118099E+21</v>
      </c>
      <c r="AR39" s="72">
        <v>3.9918803137969696E+16</v>
      </c>
      <c r="AS39" s="72">
        <v>3.9918803137969701E+19</v>
      </c>
      <c r="AT39" s="116">
        <v>3.9918803137969699E+22</v>
      </c>
      <c r="AU39" s="123">
        <v>80816322</v>
      </c>
      <c r="AV39" s="123">
        <v>1997015</v>
      </c>
      <c r="AW39" s="73">
        <v>80816322275905</v>
      </c>
      <c r="AX39" s="73">
        <v>808163222759</v>
      </c>
      <c r="AY39" s="73">
        <v>808163</v>
      </c>
      <c r="AZ39" s="73">
        <v>8081632228</v>
      </c>
      <c r="BA39" s="73">
        <v>8081632227590460</v>
      </c>
      <c r="BB39" s="73">
        <v>86989965319</v>
      </c>
      <c r="BC39" s="124">
        <v>12526555005875</v>
      </c>
      <c r="BD39" s="251">
        <f t="shared" si="85"/>
        <v>3.4123312598859667E-6</v>
      </c>
      <c r="BE39" s="252">
        <f t="shared" si="86"/>
        <v>5.9763823331629681E-7</v>
      </c>
      <c r="BF39" s="43">
        <f t="shared" si="87"/>
        <v>-1.5391243015890913E-16</v>
      </c>
      <c r="BG39" s="42">
        <f t="shared" si="87"/>
        <v>-1.9239053769863642E-16</v>
      </c>
      <c r="BH39" s="42">
        <f t="shared" si="87"/>
        <v>-1.8788138447132463E-16</v>
      </c>
      <c r="BI39" s="42">
        <f t="shared" si="87"/>
        <v>-1.2312994412712731E-16</v>
      </c>
      <c r="BJ39" s="42">
        <f t="shared" si="87"/>
        <v>1.1860012394752367E-14</v>
      </c>
      <c r="BK39" s="43">
        <f t="shared" si="87"/>
        <v>-1.2024408606164776E-16</v>
      </c>
      <c r="BL39" s="107">
        <f t="shared" si="88"/>
        <v>-5.5850803174591251E-16</v>
      </c>
      <c r="BM39" s="44">
        <f t="shared" si="63"/>
        <v>3.4723242202260162E-15</v>
      </c>
      <c r="BN39" s="44">
        <f t="shared" si="64"/>
        <v>-4.0081362020549249E-16</v>
      </c>
      <c r="BO39" s="44">
        <f t="shared" si="65"/>
        <v>-6.1564972063563651E-16</v>
      </c>
      <c r="BP39" s="108">
        <f t="shared" si="66"/>
        <v>-6.3042531393089175E-16</v>
      </c>
      <c r="BQ39" s="43">
        <f t="shared" si="67"/>
        <v>3.4139713733956976E-9</v>
      </c>
      <c r="BR39" s="42">
        <f t="shared" si="67"/>
        <v>-9.2900623843474087E-8</v>
      </c>
      <c r="BS39" s="42">
        <f t="shared" si="67"/>
        <v>-4.8334914160832197E-15</v>
      </c>
      <c r="BT39" s="42">
        <f t="shared" si="67"/>
        <v>5.6944570745730439E-14</v>
      </c>
      <c r="BU39" s="42">
        <f t="shared" si="67"/>
        <v>2.7563620795025048E-7</v>
      </c>
      <c r="BV39" s="42">
        <f t="shared" si="67"/>
        <v>-5.0675310529366828E-11</v>
      </c>
      <c r="BW39" s="42">
        <f t="shared" si="67"/>
        <v>1.2373738025173041E-16</v>
      </c>
      <c r="BX39" s="42">
        <f t="shared" si="67"/>
        <v>-4.851626795505276E-12</v>
      </c>
      <c r="BY39" s="45">
        <f t="shared" si="67"/>
        <v>1.8086576867601447E-14</v>
      </c>
    </row>
    <row r="40" spans="2:77" x14ac:dyDescent="0.25">
      <c r="B40" s="86">
        <v>85</v>
      </c>
      <c r="C40" s="93">
        <v>99</v>
      </c>
      <c r="D40" s="152">
        <f t="shared" si="58"/>
        <v>5.3964655863748412</v>
      </c>
      <c r="E40" s="128">
        <f t="shared" si="59"/>
        <v>85.042815453195303</v>
      </c>
      <c r="F40" s="156" t="s">
        <v>7</v>
      </c>
      <c r="G40" s="87">
        <v>99</v>
      </c>
      <c r="H40" s="11">
        <v>655</v>
      </c>
      <c r="I40" s="58"/>
      <c r="J40" s="58"/>
      <c r="K40" s="55"/>
      <c r="L40" s="144">
        <f t="shared" si="60"/>
        <v>5.3964655863748412</v>
      </c>
      <c r="M40" s="186">
        <f t="shared" si="61"/>
        <v>85.042815453195303</v>
      </c>
      <c r="N40" s="69">
        <f t="shared" si="68"/>
        <v>224.78572665125424</v>
      </c>
      <c r="O40" s="70">
        <f t="shared" si="69"/>
        <v>22.478572665125423</v>
      </c>
      <c r="P40" s="70">
        <f t="shared" si="70"/>
        <v>2.2478572665125422E-2</v>
      </c>
      <c r="Q40" s="70">
        <f t="shared" si="71"/>
        <v>2247.8572665125425</v>
      </c>
      <c r="R40" s="70">
        <f>(((2*SIN(((2*PI())/G40)/2)*(B40/COS(((2*PI())/G40)/2)))*G40*C40*B40)/2)/1000^3</f>
        <v>2.2478572665125423E-3</v>
      </c>
      <c r="S40" s="139">
        <f t="shared" si="72"/>
        <v>2.2478572665125425</v>
      </c>
      <c r="T40" s="115">
        <f t="shared" si="73"/>
        <v>3.2459684221886604</v>
      </c>
      <c r="U40" s="72">
        <f t="shared" si="74"/>
        <v>47.337039490251307</v>
      </c>
      <c r="V40" s="72">
        <f t="shared" si="75"/>
        <v>1.4723465095657152E-3</v>
      </c>
      <c r="W40" s="72">
        <f>R40*H40</f>
        <v>1.4723465095657151</v>
      </c>
      <c r="X40" s="116">
        <f t="shared" si="76"/>
        <v>1472.3465095657152</v>
      </c>
      <c r="Y40" s="81">
        <f t="shared" si="77"/>
        <v>9.8302017121404124E-4</v>
      </c>
      <c r="Z40" s="73">
        <f t="shared" si="78"/>
        <v>2.4290957439776383E-5</v>
      </c>
      <c r="AA40" s="73">
        <f t="shared" si="79"/>
        <v>983.02017121404117</v>
      </c>
      <c r="AB40" s="73">
        <f t="shared" si="80"/>
        <v>9.8302017121404113</v>
      </c>
      <c r="AC40" s="73">
        <f t="shared" si="81"/>
        <v>9.8302017121404116E-6</v>
      </c>
      <c r="AD40" s="73">
        <f>((2*SIN(((2*PI())/G40)/2)*(B40/COS(((2*PI())/G40)/2)))*G40*C40+(2*SIN(((2*PI())/G40)/2)*(B40/COS(((2*PI())/G40)/2)))*G40*B40)/1000^2</f>
        <v>9.8302017121404114E-2</v>
      </c>
      <c r="AE40" s="73">
        <f t="shared" si="82"/>
        <v>98302.017121404118</v>
      </c>
      <c r="AF40" s="73">
        <f t="shared" si="83"/>
        <v>1.0581141060766592</v>
      </c>
      <c r="AG40" s="81">
        <f t="shared" si="84"/>
        <v>152.36843127503894</v>
      </c>
      <c r="AH40" s="144">
        <v>5.3964999999999996</v>
      </c>
      <c r="AI40" s="186">
        <v>85.043000000000006</v>
      </c>
      <c r="AJ40" s="69">
        <v>224.786</v>
      </c>
      <c r="AK40" s="70">
        <v>22.4786</v>
      </c>
      <c r="AL40" s="70">
        <v>2.2478600000000001E-2</v>
      </c>
      <c r="AM40" s="70">
        <v>2247.86</v>
      </c>
      <c r="AN40" s="70">
        <v>2.24786E-3</v>
      </c>
      <c r="AO40" s="71">
        <v>2.2478600000000002</v>
      </c>
      <c r="AP40" s="115">
        <v>3.2459699999999998</v>
      </c>
      <c r="AQ40" s="72">
        <v>47.337000000000003</v>
      </c>
      <c r="AR40" s="72">
        <v>1.4723500000000001E-3</v>
      </c>
      <c r="AS40" s="72">
        <v>1.47235</v>
      </c>
      <c r="AT40" s="116">
        <v>1472.35</v>
      </c>
      <c r="AU40" s="123">
        <v>9.8302000000000003E-4</v>
      </c>
      <c r="AV40" s="123">
        <v>2.42909574397764E-5</v>
      </c>
      <c r="AW40" s="73">
        <v>983.02</v>
      </c>
      <c r="AX40" s="73">
        <v>9.8301999999999996</v>
      </c>
      <c r="AY40" s="73">
        <v>9.8302017121404099E-6</v>
      </c>
      <c r="AZ40" s="73">
        <v>9.8302E-2</v>
      </c>
      <c r="BA40" s="73">
        <v>98302</v>
      </c>
      <c r="BB40" s="73">
        <v>1.0581100000000001</v>
      </c>
      <c r="BC40" s="124">
        <v>152.36799999999999</v>
      </c>
      <c r="BD40" s="251">
        <f t="shared" si="85"/>
        <v>-6.3770674727037066E-6</v>
      </c>
      <c r="BE40" s="252">
        <f t="shared" si="86"/>
        <v>-2.1700458024613326E-6</v>
      </c>
      <c r="BF40" s="43">
        <f t="shared" si="87"/>
        <v>-1.2160413823283723E-6</v>
      </c>
      <c r="BG40" s="42">
        <f t="shared" si="87"/>
        <v>-1.2160413823599821E-6</v>
      </c>
      <c r="BH40" s="42">
        <f t="shared" si="87"/>
        <v>-1.216041382446415E-6</v>
      </c>
      <c r="BI40" s="42">
        <f t="shared" si="87"/>
        <v>-1.2160413823030843E-6</v>
      </c>
      <c r="BJ40" s="42">
        <f t="shared" si="87"/>
        <v>-1.2160413823306565E-6</v>
      </c>
      <c r="BK40" s="43">
        <f t="shared" si="87"/>
        <v>-1.2160413823599819E-6</v>
      </c>
      <c r="BL40" s="107">
        <f t="shared" si="88"/>
        <v>-4.8608339150001423E-7</v>
      </c>
      <c r="BM40" s="44">
        <f t="shared" si="63"/>
        <v>8.3423576397945545E-7</v>
      </c>
      <c r="BN40" s="44">
        <f t="shared" si="64"/>
        <v>-2.3706608887526231E-6</v>
      </c>
      <c r="BO40" s="44">
        <f t="shared" si="65"/>
        <v>-2.3706608887644053E-6</v>
      </c>
      <c r="BP40" s="108">
        <f t="shared" si="66"/>
        <v>-2.3706608885942915E-6</v>
      </c>
      <c r="BQ40" s="43">
        <f t="shared" si="67"/>
        <v>1.741714424813032E-7</v>
      </c>
      <c r="BR40" s="42">
        <f t="shared" si="67"/>
        <v>-6.9740597862749203E-16</v>
      </c>
      <c r="BS40" s="42">
        <f t="shared" si="67"/>
        <v>1.741714424606352E-7</v>
      </c>
      <c r="BT40" s="42">
        <f t="shared" si="67"/>
        <v>1.741714424389507E-7</v>
      </c>
      <c r="BU40" s="42">
        <f t="shared" si="67"/>
        <v>1.7233277038622817E-16</v>
      </c>
      <c r="BV40" s="42">
        <f t="shared" si="67"/>
        <v>1.7417144241071571E-7</v>
      </c>
      <c r="BW40" s="42">
        <f t="shared" si="67"/>
        <v>1.7417144245600915E-7</v>
      </c>
      <c r="BX40" s="42">
        <f t="shared" si="67"/>
        <v>3.8805613076570503E-6</v>
      </c>
      <c r="BY40" s="45">
        <f t="shared" si="67"/>
        <v>2.8304750225478563E-6</v>
      </c>
    </row>
    <row r="41" spans="2:77" x14ac:dyDescent="0.25">
      <c r="B41" s="86">
        <v>122</v>
      </c>
      <c r="C41" s="93">
        <v>74</v>
      </c>
      <c r="D41" s="152">
        <f t="shared" si="58"/>
        <v>4.5906529616583853</v>
      </c>
      <c r="E41" s="128">
        <f t="shared" si="59"/>
        <v>122.02159039962393</v>
      </c>
      <c r="F41" s="156" t="s">
        <v>8</v>
      </c>
      <c r="G41" s="87">
        <v>167</v>
      </c>
      <c r="H41" s="59"/>
      <c r="I41" s="4">
        <v>710</v>
      </c>
      <c r="J41" s="58"/>
      <c r="K41" s="55"/>
      <c r="L41" s="144">
        <f t="shared" si="60"/>
        <v>4.5906529616583853</v>
      </c>
      <c r="M41" s="186">
        <f t="shared" si="61"/>
        <v>122.02159039962393</v>
      </c>
      <c r="N41" s="69">
        <f t="shared" si="68"/>
        <v>264582515288.27841</v>
      </c>
      <c r="O41" s="70">
        <f t="shared" si="69"/>
        <v>26458251528.827843</v>
      </c>
      <c r="P41" s="70">
        <f t="shared" si="70"/>
        <v>26458251.528827842</v>
      </c>
      <c r="Q41" s="70">
        <f t="shared" si="71"/>
        <v>2645825152882.7842</v>
      </c>
      <c r="R41" s="70">
        <f>(((2*SIN(((2*PI())/G41)/2)*(B41/COS(((2*PI())/G41)/2)))*G41*C41*B41)/2)*0.9144^3</f>
        <v>2645825.1528827841</v>
      </c>
      <c r="S41" s="139">
        <f t="shared" si="72"/>
        <v>2645825152.8827844</v>
      </c>
      <c r="T41" s="115">
        <f t="shared" si="73"/>
        <v>4141462649706.3359</v>
      </c>
      <c r="U41" s="72">
        <f t="shared" si="74"/>
        <v>60396330308217.398</v>
      </c>
      <c r="V41" s="72">
        <f t="shared" si="75"/>
        <v>1878535858.5467768</v>
      </c>
      <c r="W41" s="72">
        <f>R41*1000*I41</f>
        <v>1878535858546.7769</v>
      </c>
      <c r="X41" s="116">
        <f t="shared" si="76"/>
        <v>1878535858546776.7</v>
      </c>
      <c r="Y41" s="81">
        <f t="shared" si="77"/>
        <v>1256.37544564627</v>
      </c>
      <c r="Z41" s="73">
        <f t="shared" si="78"/>
        <v>31.045713376240137</v>
      </c>
      <c r="AA41" s="73">
        <f t="shared" si="79"/>
        <v>1256375445.64627</v>
      </c>
      <c r="AB41" s="73">
        <f t="shared" si="80"/>
        <v>12563754.4564627</v>
      </c>
      <c r="AC41" s="73">
        <f t="shared" si="81"/>
        <v>12.5637544564627</v>
      </c>
      <c r="AD41" s="73">
        <f>((2*SIN(((2*PI())/G41)/2)*(B41/COS(((2*PI())/G41)/2)))*G41*C41+(2*SIN(((2*PI())/G41)/2)*(B41/COS(((2*PI())/G41)/2)))*G41*B41)*0.9144^2</f>
        <v>125637.54456462699</v>
      </c>
      <c r="AE41" s="73">
        <f t="shared" si="82"/>
        <v>125637544564.627</v>
      </c>
      <c r="AF41" s="73">
        <f t="shared" si="83"/>
        <v>1352351.2746690207</v>
      </c>
      <c r="AG41" s="81">
        <f t="shared" si="84"/>
        <v>194738583.55233896</v>
      </c>
      <c r="AH41" s="144">
        <v>4.5907</v>
      </c>
      <c r="AI41" s="186">
        <v>122.02</v>
      </c>
      <c r="AJ41" s="69">
        <v>264582515288</v>
      </c>
      <c r="AK41" s="70">
        <v>26458251529</v>
      </c>
      <c r="AL41" s="70">
        <v>26458252</v>
      </c>
      <c r="AM41" s="70">
        <v>2645825152883</v>
      </c>
      <c r="AN41" s="70">
        <v>2645825</v>
      </c>
      <c r="AO41" s="71">
        <v>2645825153</v>
      </c>
      <c r="AP41" s="115">
        <v>4141462649706</v>
      </c>
      <c r="AQ41" s="72">
        <v>60396330308217</v>
      </c>
      <c r="AR41" s="72">
        <v>1878535859</v>
      </c>
      <c r="AS41" s="72">
        <v>1878535858547</v>
      </c>
      <c r="AT41" s="116">
        <v>1878535858546780</v>
      </c>
      <c r="AU41" s="123">
        <v>1256.3800000000001</v>
      </c>
      <c r="AV41" s="123">
        <v>31.0457</v>
      </c>
      <c r="AW41" s="73">
        <v>1256375446</v>
      </c>
      <c r="AX41" s="73">
        <v>12563754</v>
      </c>
      <c r="AY41" s="73">
        <v>12.563800000000001</v>
      </c>
      <c r="AZ41" s="73">
        <v>125638</v>
      </c>
      <c r="BA41" s="73">
        <v>125637544565</v>
      </c>
      <c r="BB41" s="73">
        <v>1352351</v>
      </c>
      <c r="BC41" s="124">
        <v>194738584</v>
      </c>
      <c r="BD41" s="251">
        <f t="shared" si="85"/>
        <v>-1.0246547061507239E-5</v>
      </c>
      <c r="BE41" s="252">
        <f t="shared" si="86"/>
        <v>1.3033755901126368E-5</v>
      </c>
      <c r="BF41" s="43">
        <f t="shared" si="87"/>
        <v>1.0522685708503024E-12</v>
      </c>
      <c r="BG41" s="42">
        <f t="shared" si="87"/>
        <v>-6.5067522474068482E-12</v>
      </c>
      <c r="BH41" s="42">
        <f t="shared" si="87"/>
        <v>-1.7808136609543441E-8</v>
      </c>
      <c r="BI41" s="42">
        <f t="shared" si="87"/>
        <v>-8.157013409024815E-14</v>
      </c>
      <c r="BJ41" s="42">
        <f t="shared" si="87"/>
        <v>5.7782648249749255E-8</v>
      </c>
      <c r="BK41" s="43">
        <f t="shared" si="87"/>
        <v>-4.430210865015799E-11</v>
      </c>
      <c r="BL41" s="107">
        <f t="shared" si="88"/>
        <v>8.1115665747660609E-14</v>
      </c>
      <c r="BM41" s="44">
        <f t="shared" si="63"/>
        <v>6.5970481644609032E-15</v>
      </c>
      <c r="BN41" s="44">
        <f t="shared" si="64"/>
        <v>-2.4126408148801611E-10</v>
      </c>
      <c r="BO41" s="44">
        <f t="shared" si="65"/>
        <v>-1.1878641029648651E-13</v>
      </c>
      <c r="BP41" s="108">
        <f t="shared" si="66"/>
        <v>-1.7300707810359175E-15</v>
      </c>
      <c r="BQ41" s="43">
        <f t="shared" si="67"/>
        <v>-3.6249942211798972E-6</v>
      </c>
      <c r="BR41" s="42">
        <f t="shared" si="67"/>
        <v>4.3085626587989156E-7</v>
      </c>
      <c r="BS41" s="42">
        <f t="shared" si="67"/>
        <v>-2.8154797558993704E-10</v>
      </c>
      <c r="BT41" s="42">
        <f t="shared" si="67"/>
        <v>3.6331711313025388E-8</v>
      </c>
      <c r="BU41" s="42">
        <f t="shared" si="67"/>
        <v>-3.6249942211459642E-6</v>
      </c>
      <c r="BV41" s="42">
        <f t="shared" si="67"/>
        <v>-3.6249942211437022E-6</v>
      </c>
      <c r="BW41" s="42">
        <f t="shared" si="67"/>
        <v>-2.9688665114029154E-12</v>
      </c>
      <c r="BX41" s="42">
        <f t="shared" si="67"/>
        <v>2.0310478927655707E-7</v>
      </c>
      <c r="BY41" s="45">
        <f t="shared" si="67"/>
        <v>-2.2987793895148889E-9</v>
      </c>
    </row>
    <row r="42" spans="2:77" ht="15.75" thickBot="1" x14ac:dyDescent="0.3">
      <c r="B42" s="88">
        <v>63</v>
      </c>
      <c r="C42" s="95">
        <v>56</v>
      </c>
      <c r="D42" s="153">
        <f t="shared" si="58"/>
        <v>6.0021197596621922</v>
      </c>
      <c r="E42" s="142">
        <f t="shared" si="59"/>
        <v>63.071438547113637</v>
      </c>
      <c r="F42" s="157" t="s">
        <v>43</v>
      </c>
      <c r="G42" s="89">
        <v>66</v>
      </c>
      <c r="H42" s="63"/>
      <c r="I42" s="60"/>
      <c r="J42" s="9">
        <v>830</v>
      </c>
      <c r="K42" s="61"/>
      <c r="L42" s="146">
        <f t="shared" si="60"/>
        <v>6.0021197596621922</v>
      </c>
      <c r="M42" s="188">
        <f t="shared" si="61"/>
        <v>63.071438547113637</v>
      </c>
      <c r="N42" s="79">
        <f t="shared" si="68"/>
        <v>6.9879079089891102E-8</v>
      </c>
      <c r="O42" s="74">
        <f t="shared" si="69"/>
        <v>6.9879079089891105E-9</v>
      </c>
      <c r="P42" s="74">
        <f t="shared" si="70"/>
        <v>6.9879079089891105E-12</v>
      </c>
      <c r="Q42" s="74">
        <f t="shared" si="71"/>
        <v>6.98790790898911E-7</v>
      </c>
      <c r="R42" s="74">
        <f>(((2*SIN(((2*PI())/G42)/2)*(B42/COS(((2*PI())/G42)/2)))*G42*C42*B42)/2)/1000000^3</f>
        <v>6.9879079089891103E-13</v>
      </c>
      <c r="S42" s="140">
        <f t="shared" si="72"/>
        <v>6.9879079089891105E-10</v>
      </c>
      <c r="T42" s="117">
        <f t="shared" si="73"/>
        <v>2.0482378027571583E-8</v>
      </c>
      <c r="U42" s="76">
        <f t="shared" si="74"/>
        <v>2.9870134623541889E-7</v>
      </c>
      <c r="V42" s="76">
        <f t="shared" si="75"/>
        <v>9.2906503927621196E-12</v>
      </c>
      <c r="W42" s="76">
        <f>R42*(0.45359237/0.3048^3)*J42</f>
        <v>9.2906503927621197E-9</v>
      </c>
      <c r="X42" s="118">
        <f t="shared" si="76"/>
        <v>9.290650392762119E-6</v>
      </c>
      <c r="Y42" s="82">
        <f t="shared" si="77"/>
        <v>4.714064859238686E-10</v>
      </c>
      <c r="Z42" s="77">
        <f t="shared" si="78"/>
        <v>1.1648707953031346E-11</v>
      </c>
      <c r="AA42" s="77">
        <f t="shared" si="79"/>
        <v>4.7140648592386864E-4</v>
      </c>
      <c r="AB42" s="77">
        <f t="shared" si="80"/>
        <v>4.7140648592386863E-6</v>
      </c>
      <c r="AC42" s="77">
        <f t="shared" si="81"/>
        <v>4.7140648592386863E-12</v>
      </c>
      <c r="AD42" s="77">
        <f>((2*SIN(((2*PI())/G42)/2)*(B42/COS(((2*PI())/G42)/2)))*G42*C42+(2*SIN(((2*PI())/G42)/2)*(B42/COS(((2*PI())/G42)/2)))*G42*B42)/1000000^2</f>
        <v>4.7140648592386863E-8</v>
      </c>
      <c r="AE42" s="77">
        <f t="shared" si="82"/>
        <v>4.7140648592386862E-2</v>
      </c>
      <c r="AF42" s="77">
        <f t="shared" si="83"/>
        <v>5.0741771843404552E-7</v>
      </c>
      <c r="AG42" s="82">
        <f t="shared" si="84"/>
        <v>7.3068151454502544E-5</v>
      </c>
      <c r="AH42" s="146">
        <v>6.0021000000000004</v>
      </c>
      <c r="AI42" s="188">
        <v>63.070999999999998</v>
      </c>
      <c r="AJ42" s="79">
        <v>6.9879079089891102E-8</v>
      </c>
      <c r="AK42" s="74">
        <v>6.9879079089891097E-9</v>
      </c>
      <c r="AL42" s="74">
        <v>6.9879079089891097E-12</v>
      </c>
      <c r="AM42" s="74">
        <v>6.98790790898911E-7</v>
      </c>
      <c r="AN42" s="74">
        <v>6.9879079089891103E-13</v>
      </c>
      <c r="AO42" s="75">
        <v>6.9879079089891095E-10</v>
      </c>
      <c r="AP42" s="117">
        <v>2.04823780275716E-8</v>
      </c>
      <c r="AQ42" s="76">
        <v>2.98701346235419E-7</v>
      </c>
      <c r="AR42" s="76">
        <v>9.2906503927621196E-12</v>
      </c>
      <c r="AS42" s="76">
        <v>9.2906503927621197E-9</v>
      </c>
      <c r="AT42" s="118">
        <v>9.2906503927621207E-6</v>
      </c>
      <c r="AU42" s="125">
        <v>4.7140648592386901E-10</v>
      </c>
      <c r="AV42" s="125">
        <v>1.1648707953031301E-11</v>
      </c>
      <c r="AW42" s="77">
        <v>4.7140600000000001E-4</v>
      </c>
      <c r="AX42" s="77">
        <v>4.7140648592386897E-6</v>
      </c>
      <c r="AY42" s="77">
        <v>4.7140648592386799E-12</v>
      </c>
      <c r="AZ42" s="77">
        <v>4.7140648592386903E-8</v>
      </c>
      <c r="BA42" s="77">
        <v>4.7140599999999998E-2</v>
      </c>
      <c r="BB42" s="77">
        <v>5.0741771843404499E-7</v>
      </c>
      <c r="BC42" s="126">
        <v>7.3068151454502503E-5</v>
      </c>
      <c r="BD42" s="253">
        <f t="shared" si="85"/>
        <v>3.2921139502424007E-6</v>
      </c>
      <c r="BE42" s="254">
        <f t="shared" si="86"/>
        <v>6.9531807699484573E-6</v>
      </c>
      <c r="BF42" s="48">
        <f t="shared" si="87"/>
        <v>0</v>
      </c>
      <c r="BG42" s="47">
        <f t="shared" si="87"/>
        <v>1.183731416221096E-16</v>
      </c>
      <c r="BH42" s="47">
        <f t="shared" si="87"/>
        <v>1.1559877111534139E-16</v>
      </c>
      <c r="BI42" s="47">
        <f t="shared" si="87"/>
        <v>0</v>
      </c>
      <c r="BJ42" s="47">
        <f t="shared" si="87"/>
        <v>0</v>
      </c>
      <c r="BK42" s="48">
        <f t="shared" si="87"/>
        <v>1.4796642702763699E-16</v>
      </c>
      <c r="BL42" s="109">
        <f t="shared" si="88"/>
        <v>-8.0769978118707664E-16</v>
      </c>
      <c r="BM42" s="49">
        <f t="shared" si="63"/>
        <v>-3.5446481825809993E-16</v>
      </c>
      <c r="BN42" s="49">
        <f t="shared" si="64"/>
        <v>0</v>
      </c>
      <c r="BO42" s="49">
        <f t="shared" si="65"/>
        <v>0</v>
      </c>
      <c r="BP42" s="110">
        <f t="shared" si="66"/>
        <v>-1.8234093662897516E-16</v>
      </c>
      <c r="BQ42" s="48">
        <f t="shared" si="67"/>
        <v>-8.7735387319916509E-16</v>
      </c>
      <c r="BR42" s="47">
        <f t="shared" si="67"/>
        <v>3.8833868898929523E-15</v>
      </c>
      <c r="BS42" s="47">
        <f t="shared" si="67"/>
        <v>1.0307958909003436E-6</v>
      </c>
      <c r="BT42" s="47">
        <f t="shared" si="67"/>
        <v>-7.18728292924756E-16</v>
      </c>
      <c r="BU42" s="47">
        <f t="shared" si="67"/>
        <v>1.3708654268736955E-15</v>
      </c>
      <c r="BV42" s="47">
        <f t="shared" si="67"/>
        <v>-8.4225971827119846E-16</v>
      </c>
      <c r="BW42" s="47">
        <f t="shared" si="67"/>
        <v>1.030795890918743E-6</v>
      </c>
      <c r="BX42" s="47">
        <f t="shared" si="67"/>
        <v>1.0433131772925049E-15</v>
      </c>
      <c r="BY42" s="50">
        <f t="shared" si="67"/>
        <v>5.5643369455600273E-16</v>
      </c>
    </row>
    <row r="43" spans="2:77" ht="15.75" thickTop="1" x14ac:dyDescent="0.25"/>
    <row r="45" spans="2:77" x14ac:dyDescent="0.25">
      <c r="B45" s="317" t="s">
        <v>14</v>
      </c>
      <c r="C45" s="318"/>
      <c r="D45" s="349" t="s">
        <v>15</v>
      </c>
      <c r="E45" s="318"/>
      <c r="F45" s="350"/>
      <c r="H45" s="207"/>
      <c r="I45" s="206"/>
      <c r="J45" s="208"/>
      <c r="K45" s="206"/>
    </row>
    <row r="46" spans="2:77" x14ac:dyDescent="0.25">
      <c r="B46" s="264"/>
      <c r="C46" s="265" t="s">
        <v>16</v>
      </c>
      <c r="D46" s="351">
        <v>41031</v>
      </c>
      <c r="E46" s="352"/>
      <c r="F46" s="353"/>
      <c r="H46" s="206"/>
      <c r="I46" s="207"/>
      <c r="J46" s="205"/>
      <c r="K46" s="206"/>
    </row>
  </sheetData>
  <mergeCells count="91">
    <mergeCell ref="L5:L6"/>
    <mergeCell ref="BF4:BK5"/>
    <mergeCell ref="N4:S5"/>
    <mergeCell ref="AH4:AI4"/>
    <mergeCell ref="AH5:AH6"/>
    <mergeCell ref="AI5:AI6"/>
    <mergeCell ref="T4:X5"/>
    <mergeCell ref="Y4:AG5"/>
    <mergeCell ref="AJ4:AO5"/>
    <mergeCell ref="AP4:AT5"/>
    <mergeCell ref="AU4:BC5"/>
    <mergeCell ref="BQ18:BY19"/>
    <mergeCell ref="B19:B20"/>
    <mergeCell ref="C19:C20"/>
    <mergeCell ref="G19:G20"/>
    <mergeCell ref="Y18:AG19"/>
    <mergeCell ref="AJ18:AO19"/>
    <mergeCell ref="AP18:AT19"/>
    <mergeCell ref="AU18:BC19"/>
    <mergeCell ref="BF18:BK19"/>
    <mergeCell ref="BL18:BP19"/>
    <mergeCell ref="T18:X19"/>
    <mergeCell ref="H18:K19"/>
    <mergeCell ref="D19:D20"/>
    <mergeCell ref="E19:E20"/>
    <mergeCell ref="N18:S19"/>
    <mergeCell ref="F19:F20"/>
    <mergeCell ref="BQ32:BY33"/>
    <mergeCell ref="B33:B34"/>
    <mergeCell ref="C33:C34"/>
    <mergeCell ref="G33:G34"/>
    <mergeCell ref="Y32:AG33"/>
    <mergeCell ref="AJ32:AO33"/>
    <mergeCell ref="AP32:AT33"/>
    <mergeCell ref="AU32:BC33"/>
    <mergeCell ref="BF32:BK33"/>
    <mergeCell ref="BL32:BP33"/>
    <mergeCell ref="T32:X33"/>
    <mergeCell ref="AH32:AI32"/>
    <mergeCell ref="AH33:AH34"/>
    <mergeCell ref="AI33:AI34"/>
    <mergeCell ref="BD32:BE32"/>
    <mergeCell ref="BD33:BD34"/>
    <mergeCell ref="BE33:BE34"/>
    <mergeCell ref="BD4:BE4"/>
    <mergeCell ref="BD5:BD6"/>
    <mergeCell ref="BE5:BE6"/>
    <mergeCell ref="L18:M18"/>
    <mergeCell ref="L19:L20"/>
    <mergeCell ref="M19:M20"/>
    <mergeCell ref="AH18:AI18"/>
    <mergeCell ref="AH19:AH20"/>
    <mergeCell ref="AI19:AI20"/>
    <mergeCell ref="BD18:BE18"/>
    <mergeCell ref="BD19:BD20"/>
    <mergeCell ref="BE19:BE20"/>
    <mergeCell ref="L4:M4"/>
    <mergeCell ref="M5:M6"/>
    <mergeCell ref="N32:S33"/>
    <mergeCell ref="AH1:BC1"/>
    <mergeCell ref="BD1:BY1"/>
    <mergeCell ref="H3:K3"/>
    <mergeCell ref="B3:G3"/>
    <mergeCell ref="B17:G17"/>
    <mergeCell ref="B4:G4"/>
    <mergeCell ref="H4:K5"/>
    <mergeCell ref="F5:F6"/>
    <mergeCell ref="D5:D6"/>
    <mergeCell ref="E5:E6"/>
    <mergeCell ref="H17:K17"/>
    <mergeCell ref="BL4:BP5"/>
    <mergeCell ref="BQ4:BY5"/>
    <mergeCell ref="B5:B6"/>
    <mergeCell ref="C5:C6"/>
    <mergeCell ref="G5:G6"/>
    <mergeCell ref="B45:C45"/>
    <mergeCell ref="D45:F45"/>
    <mergeCell ref="D46:F46"/>
    <mergeCell ref="B1:K1"/>
    <mergeCell ref="L1:AG1"/>
    <mergeCell ref="B31:G31"/>
    <mergeCell ref="B18:G18"/>
    <mergeCell ref="H31:K31"/>
    <mergeCell ref="F33:F34"/>
    <mergeCell ref="L32:M32"/>
    <mergeCell ref="L33:L34"/>
    <mergeCell ref="M33:M34"/>
    <mergeCell ref="H32:K33"/>
    <mergeCell ref="B32:G32"/>
    <mergeCell ref="D33:D34"/>
    <mergeCell ref="E33:E34"/>
  </mergeCells>
  <conditionalFormatting sqref="BD7:BY14 BD21:BY28 BD35:BY42">
    <cfRule type="cellIs" dxfId="38" priority="7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Y32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.7109375" customWidth="1"/>
    <col min="2" max="3" width="9.28515625" bestFit="1" customWidth="1"/>
    <col min="5" max="5" width="10" bestFit="1" customWidth="1"/>
    <col min="6" max="6" width="8.140625" bestFit="1" customWidth="1"/>
    <col min="8" max="11" width="9.140625" customWidth="1"/>
    <col min="12" max="32" width="12" bestFit="1" customWidth="1"/>
    <col min="33" max="33" width="9.28515625" bestFit="1" customWidth="1"/>
    <col min="34" max="53" width="12" bestFit="1" customWidth="1"/>
    <col min="54" max="74" width="15" bestFit="1" customWidth="1"/>
  </cols>
  <sheetData>
    <row r="1" spans="2:77" s="262" customFormat="1" ht="21.95" customHeight="1" thickBot="1" x14ac:dyDescent="0.4">
      <c r="B1" s="319" t="s">
        <v>98</v>
      </c>
      <c r="C1" s="394"/>
      <c r="D1" s="394"/>
      <c r="E1" s="394"/>
      <c r="F1" s="394"/>
      <c r="G1" s="394"/>
      <c r="H1" s="394"/>
      <c r="I1" s="394"/>
      <c r="J1" s="394"/>
      <c r="K1" s="395"/>
      <c r="L1" s="319" t="s">
        <v>99</v>
      </c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1"/>
      <c r="AG1" s="319" t="s">
        <v>100</v>
      </c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1"/>
      <c r="BB1" s="319" t="s">
        <v>101</v>
      </c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0"/>
      <c r="BV1" s="321"/>
      <c r="BW1" s="263"/>
      <c r="BX1" s="263"/>
      <c r="BY1" s="263"/>
    </row>
    <row r="2" spans="2:77" ht="15" customHeight="1" thickBot="1" x14ac:dyDescent="0.3">
      <c r="F2" s="3"/>
    </row>
    <row r="3" spans="2:77" ht="30.75" customHeight="1" thickTop="1" thickBot="1" x14ac:dyDescent="0.3">
      <c r="B3" s="343" t="s">
        <v>46</v>
      </c>
      <c r="C3" s="344"/>
      <c r="D3" s="344"/>
      <c r="E3" s="357"/>
      <c r="F3" s="346" t="s">
        <v>52</v>
      </c>
      <c r="G3" s="347"/>
      <c r="H3" s="347"/>
      <c r="I3" s="347"/>
      <c r="J3" s="347"/>
      <c r="K3" s="348"/>
    </row>
    <row r="4" spans="2:77" ht="16.5" customHeight="1" thickTop="1" thickBot="1" x14ac:dyDescent="0.3">
      <c r="B4" s="337" t="s">
        <v>53</v>
      </c>
      <c r="C4" s="338"/>
      <c r="D4" s="338"/>
      <c r="E4" s="338"/>
      <c r="F4" s="338"/>
      <c r="G4" s="339"/>
      <c r="H4" s="311" t="s">
        <v>31</v>
      </c>
      <c r="I4" s="312"/>
      <c r="J4" s="312"/>
      <c r="K4" s="313"/>
      <c r="L4" s="165" t="s">
        <v>89</v>
      </c>
      <c r="M4" s="340" t="s">
        <v>21</v>
      </c>
      <c r="N4" s="341"/>
      <c r="O4" s="341"/>
      <c r="P4" s="341"/>
      <c r="Q4" s="341"/>
      <c r="R4" s="341"/>
      <c r="S4" s="294" t="s">
        <v>22</v>
      </c>
      <c r="T4" s="295"/>
      <c r="U4" s="295"/>
      <c r="V4" s="295"/>
      <c r="W4" s="296"/>
      <c r="X4" s="304" t="s">
        <v>44</v>
      </c>
      <c r="Y4" s="305"/>
      <c r="Z4" s="305"/>
      <c r="AA4" s="305"/>
      <c r="AB4" s="305"/>
      <c r="AC4" s="305"/>
      <c r="AD4" s="305"/>
      <c r="AE4" s="305"/>
      <c r="AF4" s="403"/>
      <c r="AG4" s="165" t="s">
        <v>89</v>
      </c>
      <c r="AH4" s="405" t="s">
        <v>21</v>
      </c>
      <c r="AI4" s="301"/>
      <c r="AJ4" s="301"/>
      <c r="AK4" s="301"/>
      <c r="AL4" s="301"/>
      <c r="AM4" s="301"/>
      <c r="AN4" s="294" t="s">
        <v>22</v>
      </c>
      <c r="AO4" s="295"/>
      <c r="AP4" s="295"/>
      <c r="AQ4" s="295"/>
      <c r="AR4" s="296"/>
      <c r="AS4" s="304" t="s">
        <v>45</v>
      </c>
      <c r="AT4" s="305"/>
      <c r="AU4" s="305"/>
      <c r="AV4" s="305"/>
      <c r="AW4" s="305"/>
      <c r="AX4" s="305"/>
      <c r="AY4" s="305"/>
      <c r="AZ4" s="305"/>
      <c r="BA4" s="305"/>
      <c r="BB4" s="245" t="s">
        <v>89</v>
      </c>
      <c r="BC4" s="322" t="s">
        <v>21</v>
      </c>
      <c r="BD4" s="323"/>
      <c r="BE4" s="323"/>
      <c r="BF4" s="323"/>
      <c r="BG4" s="323"/>
      <c r="BH4" s="323"/>
      <c r="BI4" s="322" t="s">
        <v>22</v>
      </c>
      <c r="BJ4" s="323"/>
      <c r="BK4" s="323"/>
      <c r="BL4" s="323"/>
      <c r="BM4" s="324"/>
      <c r="BN4" s="328" t="s">
        <v>45</v>
      </c>
      <c r="BO4" s="323"/>
      <c r="BP4" s="323"/>
      <c r="BQ4" s="323"/>
      <c r="BR4" s="323"/>
      <c r="BS4" s="323"/>
      <c r="BT4" s="323"/>
      <c r="BU4" s="323"/>
      <c r="BV4" s="329"/>
    </row>
    <row r="5" spans="2:77" s="18" customFormat="1" ht="15" customHeight="1" thickBot="1" x14ac:dyDescent="0.3">
      <c r="B5" s="377" t="s">
        <v>0</v>
      </c>
      <c r="C5" s="396" t="s">
        <v>18</v>
      </c>
      <c r="D5" s="396" t="s">
        <v>95</v>
      </c>
      <c r="E5" s="396" t="s">
        <v>96</v>
      </c>
      <c r="F5" s="379" t="s">
        <v>20</v>
      </c>
      <c r="G5" s="335" t="s">
        <v>1</v>
      </c>
      <c r="H5" s="314"/>
      <c r="I5" s="315"/>
      <c r="J5" s="315"/>
      <c r="K5" s="316"/>
      <c r="L5" s="399" t="s">
        <v>96</v>
      </c>
      <c r="M5" s="342"/>
      <c r="N5" s="342"/>
      <c r="O5" s="342"/>
      <c r="P5" s="342"/>
      <c r="Q5" s="342"/>
      <c r="R5" s="342"/>
      <c r="S5" s="297"/>
      <c r="T5" s="298"/>
      <c r="U5" s="298"/>
      <c r="V5" s="298"/>
      <c r="W5" s="299"/>
      <c r="X5" s="307"/>
      <c r="Y5" s="307"/>
      <c r="Z5" s="307"/>
      <c r="AA5" s="307"/>
      <c r="AB5" s="307"/>
      <c r="AC5" s="307"/>
      <c r="AD5" s="307"/>
      <c r="AE5" s="307"/>
      <c r="AF5" s="404"/>
      <c r="AG5" s="399" t="s">
        <v>96</v>
      </c>
      <c r="AH5" s="406"/>
      <c r="AI5" s="303"/>
      <c r="AJ5" s="303"/>
      <c r="AK5" s="303"/>
      <c r="AL5" s="303"/>
      <c r="AM5" s="303"/>
      <c r="AN5" s="297"/>
      <c r="AO5" s="298"/>
      <c r="AP5" s="298"/>
      <c r="AQ5" s="298"/>
      <c r="AR5" s="299"/>
      <c r="AS5" s="307"/>
      <c r="AT5" s="307"/>
      <c r="AU5" s="307"/>
      <c r="AV5" s="307"/>
      <c r="AW5" s="307"/>
      <c r="AX5" s="307"/>
      <c r="AY5" s="307"/>
      <c r="AZ5" s="307"/>
      <c r="BA5" s="307"/>
      <c r="BB5" s="401" t="s">
        <v>96</v>
      </c>
      <c r="BC5" s="325"/>
      <c r="BD5" s="326"/>
      <c r="BE5" s="326"/>
      <c r="BF5" s="326"/>
      <c r="BG5" s="326"/>
      <c r="BH5" s="326"/>
      <c r="BI5" s="325"/>
      <c r="BJ5" s="326"/>
      <c r="BK5" s="326"/>
      <c r="BL5" s="326"/>
      <c r="BM5" s="327"/>
      <c r="BN5" s="326"/>
      <c r="BO5" s="326"/>
      <c r="BP5" s="326"/>
      <c r="BQ5" s="326"/>
      <c r="BR5" s="326"/>
      <c r="BS5" s="326"/>
      <c r="BT5" s="326"/>
      <c r="BU5" s="326"/>
      <c r="BV5" s="330"/>
    </row>
    <row r="6" spans="2:77" s="18" customFormat="1" ht="18" thickBot="1" x14ac:dyDescent="0.3">
      <c r="B6" s="378"/>
      <c r="C6" s="397"/>
      <c r="D6" s="397"/>
      <c r="E6" s="397"/>
      <c r="F6" s="380"/>
      <c r="G6" s="398"/>
      <c r="H6" s="19" t="s">
        <v>29</v>
      </c>
      <c r="I6" s="20" t="s">
        <v>28</v>
      </c>
      <c r="J6" s="20" t="s">
        <v>30</v>
      </c>
      <c r="K6" s="21" t="s">
        <v>27</v>
      </c>
      <c r="L6" s="400"/>
      <c r="M6" s="29" t="s">
        <v>32</v>
      </c>
      <c r="N6" s="24" t="s">
        <v>34</v>
      </c>
      <c r="O6" s="24" t="s">
        <v>33</v>
      </c>
      <c r="P6" s="24" t="s">
        <v>35</v>
      </c>
      <c r="Q6" s="24" t="s">
        <v>37</v>
      </c>
      <c r="R6" s="30" t="s">
        <v>36</v>
      </c>
      <c r="S6" s="111" t="s">
        <v>38</v>
      </c>
      <c r="T6" s="22" t="s">
        <v>39</v>
      </c>
      <c r="U6" s="22" t="s">
        <v>40</v>
      </c>
      <c r="V6" s="22" t="s">
        <v>41</v>
      </c>
      <c r="W6" s="112" t="s">
        <v>42</v>
      </c>
      <c r="X6" s="25" t="s">
        <v>11</v>
      </c>
      <c r="Y6" s="23" t="s">
        <v>13</v>
      </c>
      <c r="Z6" s="23" t="s">
        <v>23</v>
      </c>
      <c r="AA6" s="23" t="s">
        <v>24</v>
      </c>
      <c r="AB6" s="23" t="s">
        <v>12</v>
      </c>
      <c r="AC6" s="23" t="s">
        <v>25</v>
      </c>
      <c r="AD6" s="23" t="s">
        <v>26</v>
      </c>
      <c r="AE6" s="23" t="s">
        <v>10</v>
      </c>
      <c r="AF6" s="25" t="s">
        <v>9</v>
      </c>
      <c r="AG6" s="400"/>
      <c r="AH6" s="31" t="s">
        <v>32</v>
      </c>
      <c r="AI6" s="24" t="s">
        <v>34</v>
      </c>
      <c r="AJ6" s="24" t="s">
        <v>33</v>
      </c>
      <c r="AK6" s="24" t="s">
        <v>35</v>
      </c>
      <c r="AL6" s="24" t="s">
        <v>37</v>
      </c>
      <c r="AM6" s="30" t="s">
        <v>36</v>
      </c>
      <c r="AN6" s="111" t="s">
        <v>38</v>
      </c>
      <c r="AO6" s="22" t="s">
        <v>39</v>
      </c>
      <c r="AP6" s="22" t="s">
        <v>40</v>
      </c>
      <c r="AQ6" s="22" t="s">
        <v>41</v>
      </c>
      <c r="AR6" s="112" t="s">
        <v>42</v>
      </c>
      <c r="AS6" s="26" t="s">
        <v>11</v>
      </c>
      <c r="AT6" s="27" t="s">
        <v>13</v>
      </c>
      <c r="AU6" s="27" t="s">
        <v>23</v>
      </c>
      <c r="AV6" s="27" t="s">
        <v>24</v>
      </c>
      <c r="AW6" s="27" t="s">
        <v>12</v>
      </c>
      <c r="AX6" s="27" t="s">
        <v>25</v>
      </c>
      <c r="AY6" s="27" t="s">
        <v>26</v>
      </c>
      <c r="AZ6" s="27" t="s">
        <v>10</v>
      </c>
      <c r="BA6" s="28" t="s">
        <v>9</v>
      </c>
      <c r="BB6" s="402"/>
      <c r="BC6" s="32" t="s">
        <v>32</v>
      </c>
      <c r="BD6" s="33" t="s">
        <v>34</v>
      </c>
      <c r="BE6" s="33" t="s">
        <v>33</v>
      </c>
      <c r="BF6" s="33" t="s">
        <v>35</v>
      </c>
      <c r="BG6" s="33" t="s">
        <v>37</v>
      </c>
      <c r="BH6" s="34" t="s">
        <v>36</v>
      </c>
      <c r="BI6" s="103" t="s">
        <v>38</v>
      </c>
      <c r="BJ6" s="33" t="s">
        <v>39</v>
      </c>
      <c r="BK6" s="33" t="s">
        <v>40</v>
      </c>
      <c r="BL6" s="33" t="s">
        <v>41</v>
      </c>
      <c r="BM6" s="104" t="s">
        <v>42</v>
      </c>
      <c r="BN6" s="34" t="s">
        <v>11</v>
      </c>
      <c r="BO6" s="33" t="s">
        <v>13</v>
      </c>
      <c r="BP6" s="33" t="s">
        <v>23</v>
      </c>
      <c r="BQ6" s="33" t="s">
        <v>24</v>
      </c>
      <c r="BR6" s="33" t="s">
        <v>12</v>
      </c>
      <c r="BS6" s="33" t="s">
        <v>25</v>
      </c>
      <c r="BT6" s="33" t="s">
        <v>26</v>
      </c>
      <c r="BU6" s="33" t="s">
        <v>10</v>
      </c>
      <c r="BV6" s="35" t="s">
        <v>9</v>
      </c>
    </row>
    <row r="7" spans="2:77" x14ac:dyDescent="0.25">
      <c r="B7" s="84">
        <v>99</v>
      </c>
      <c r="C7" s="85">
        <v>50</v>
      </c>
      <c r="D7" s="85">
        <v>60</v>
      </c>
      <c r="E7" s="202">
        <f>C7*((F7*(D7/(B7-D7)))/(F7+(F7*(D7/(B7-D7)))))</f>
        <v>30.303030303030305</v>
      </c>
      <c r="F7" s="92">
        <v>112</v>
      </c>
      <c r="G7" s="96" t="s">
        <v>2</v>
      </c>
      <c r="H7" s="62"/>
      <c r="I7" s="8">
        <v>567</v>
      </c>
      <c r="J7" s="53"/>
      <c r="K7" s="54"/>
      <c r="L7" s="166">
        <f>C7*((F7*(D7/(B7-D7)))/(F7+(F7*(D7/(B7-D7)))))</f>
        <v>30.303030303030305</v>
      </c>
      <c r="M7" s="78">
        <f>Q7*100000</f>
        <v>36467.878787878792</v>
      </c>
      <c r="N7" s="65">
        <f>Q7*10000</f>
        <v>3646.787878787879</v>
      </c>
      <c r="O7" s="65">
        <f>Q7*10</f>
        <v>3.6467878787878787</v>
      </c>
      <c r="P7" s="65">
        <f>Q7*1000000</f>
        <v>364678.7878787879</v>
      </c>
      <c r="Q7" s="65">
        <f>((F7/3)*((B7*C7)+SQRT((B7*C7)*(D7*E7))+(D7*E7)))/100^3</f>
        <v>0.36467878787878788</v>
      </c>
      <c r="R7" s="66">
        <f>Q7*1000</f>
        <v>364.67878787878789</v>
      </c>
      <c r="S7" s="113">
        <f>V7/0.45359237</f>
        <v>455856.15279920324</v>
      </c>
      <c r="T7" s="67">
        <f>V7*1000/31.1034768</f>
        <v>6647902.2283217143</v>
      </c>
      <c r="U7" s="67">
        <f>V7/1000</f>
        <v>206.77287272727273</v>
      </c>
      <c r="V7" s="67">
        <f>Q7*1000*I7</f>
        <v>206772.87272727274</v>
      </c>
      <c r="W7" s="114">
        <f>V7*1000</f>
        <v>206772872.72727275</v>
      </c>
      <c r="X7" s="80">
        <f>AC7/100</f>
        <v>3.3774136387060366E-2</v>
      </c>
      <c r="Y7" s="68">
        <f>AC7/4046.8564224</f>
        <v>8.3457708556486214E-4</v>
      </c>
      <c r="Z7" s="68">
        <f>AC7*10000</f>
        <v>33774.136387060367</v>
      </c>
      <c r="AA7" s="68">
        <f>AC7*100</f>
        <v>337.74136387060366</v>
      </c>
      <c r="AB7" s="68">
        <f>AC7/10000</f>
        <v>3.377413638706037E-4</v>
      </c>
      <c r="AC7" s="68">
        <f>((B7*C7)+(D7*E7)+(2*(((B7+D7)/2)*(SQRT(F7^2+((C7-E7)/2)^2)))+2*(((C7+E7)/2)*(SQRT(F7^2+((B7-D7)/2)^2)))))/100^2</f>
        <v>3.3774136387060367</v>
      </c>
      <c r="AD7" s="68">
        <f>AC7*1000000</f>
        <v>3377413.6387060368</v>
      </c>
      <c r="AE7" s="68">
        <f>AC7/144*10000/(2.54*2.54)</f>
        <v>36.354177847205399</v>
      </c>
      <c r="AF7" s="80">
        <f>AC7*10000/(2.54 *2.54)</f>
        <v>5235.0016099975774</v>
      </c>
      <c r="AG7" s="166">
        <v>30.303000000000001</v>
      </c>
      <c r="AH7" s="215">
        <v>36467.9</v>
      </c>
      <c r="AI7" s="65">
        <v>3646.79</v>
      </c>
      <c r="AJ7" s="65">
        <v>3.6467900000000002</v>
      </c>
      <c r="AK7" s="65">
        <v>364679</v>
      </c>
      <c r="AL7" s="65">
        <v>0.36467899999999998</v>
      </c>
      <c r="AM7" s="66">
        <v>364.67899999999997</v>
      </c>
      <c r="AN7" s="113">
        <v>455856</v>
      </c>
      <c r="AO7" s="67">
        <v>6647902</v>
      </c>
      <c r="AP7" s="67">
        <v>206.773</v>
      </c>
      <c r="AQ7" s="67">
        <v>206773</v>
      </c>
      <c r="AR7" s="114">
        <v>206772873</v>
      </c>
      <c r="AS7" s="121">
        <v>3.3774100000000001E-2</v>
      </c>
      <c r="AT7" s="121">
        <v>8.3457699999999998E-4</v>
      </c>
      <c r="AU7" s="68">
        <v>33774.1</v>
      </c>
      <c r="AV7" s="68">
        <v>337.74099999999999</v>
      </c>
      <c r="AW7" s="68">
        <v>3.3774100000000002E-4</v>
      </c>
      <c r="AX7" s="68">
        <v>3.3774099999999998</v>
      </c>
      <c r="AY7" s="68">
        <v>3377414</v>
      </c>
      <c r="AZ7" s="68">
        <v>36.354199999999999</v>
      </c>
      <c r="BA7" s="216">
        <v>5235</v>
      </c>
      <c r="BB7" s="246">
        <f t="shared" ref="BB7:BV7" si="0">(L7-AG7)/L7</f>
        <v>1.0000000000225384E-6</v>
      </c>
      <c r="BC7" s="36">
        <f t="shared" si="0"/>
        <v>-5.8166589104926705E-7</v>
      </c>
      <c r="BD7" s="37">
        <f t="shared" si="0"/>
        <v>-5.8166589104926705E-7</v>
      </c>
      <c r="BE7" s="37">
        <f t="shared" si="0"/>
        <v>-5.8166589119344932E-7</v>
      </c>
      <c r="BF7" s="37">
        <f t="shared" si="0"/>
        <v>-5.8166589104926705E-7</v>
      </c>
      <c r="BG7" s="37">
        <f t="shared" si="0"/>
        <v>-5.8166589104122998E-7</v>
      </c>
      <c r="BH7" s="38">
        <f t="shared" si="0"/>
        <v>-5.8166589101809264E-7</v>
      </c>
      <c r="BI7" s="105">
        <f t="shared" si="0"/>
        <v>3.3519170970254684E-7</v>
      </c>
      <c r="BJ7" s="39">
        <f t="shared" si="0"/>
        <v>3.4344926637764336E-8</v>
      </c>
      <c r="BK7" s="39">
        <f t="shared" si="0"/>
        <v>-6.1551946147727929E-7</v>
      </c>
      <c r="BL7" s="39">
        <f t="shared" si="0"/>
        <v>-6.1551946142779584E-7</v>
      </c>
      <c r="BM7" s="106">
        <f t="shared" si="0"/>
        <v>-1.3189701698083749E-9</v>
      </c>
      <c r="BN7" s="38">
        <f t="shared" si="0"/>
        <v>1.0773646422158713E-6</v>
      </c>
      <c r="BO7" s="37">
        <f t="shared" si="0"/>
        <v>1.0252481603162593E-7</v>
      </c>
      <c r="BP7" s="37">
        <f t="shared" si="0"/>
        <v>1.0773646423322117E-6</v>
      </c>
      <c r="BQ7" s="37">
        <f t="shared" si="0"/>
        <v>1.0773646423052831E-6</v>
      </c>
      <c r="BR7" s="37">
        <f t="shared" si="0"/>
        <v>1.0773646423057555E-6</v>
      </c>
      <c r="BS7" s="37">
        <f t="shared" si="0"/>
        <v>1.0773646423473592E-6</v>
      </c>
      <c r="BT7" s="37">
        <f t="shared" si="0"/>
        <v>-1.069735607792063E-7</v>
      </c>
      <c r="BU7" s="37">
        <f t="shared" si="0"/>
        <v>-6.0936035172388749E-7</v>
      </c>
      <c r="BV7" s="40">
        <f t="shared" si="0"/>
        <v>3.0754481035624744E-7</v>
      </c>
    </row>
    <row r="8" spans="2:77" x14ac:dyDescent="0.25">
      <c r="B8" s="86">
        <v>36</v>
      </c>
      <c r="C8" s="87">
        <v>67</v>
      </c>
      <c r="D8" s="87">
        <v>15</v>
      </c>
      <c r="E8" s="210">
        <f t="shared" ref="E8:E14" si="1">C8*((F8*(D8/(B8-D8)))/(F8+(F8*(D8/(B8-D8)))))</f>
        <v>27.916666666666668</v>
      </c>
      <c r="F8" s="93">
        <v>112</v>
      </c>
      <c r="G8" s="97" t="s">
        <v>3</v>
      </c>
      <c r="H8" s="59"/>
      <c r="I8" s="58"/>
      <c r="J8" s="4">
        <v>355</v>
      </c>
      <c r="K8" s="55"/>
      <c r="L8" s="167">
        <f t="shared" ref="L8:L14" si="2">C8*((F8*(D8/(B8-D8)))/(F8+(F8*(D8/(B8-D8)))))</f>
        <v>27.916666666666668</v>
      </c>
      <c r="M8" s="69">
        <f t="shared" ref="M8:M14" si="3">Q8*100000</f>
        <v>405501018.7769857</v>
      </c>
      <c r="N8" s="70">
        <f t="shared" ref="N8:N14" si="4">Q8*10000</f>
        <v>40550101.87769857</v>
      </c>
      <c r="O8" s="70">
        <f t="shared" ref="O8:O14" si="5">Q8*10</f>
        <v>40550.101877698573</v>
      </c>
      <c r="P8" s="70">
        <f t="shared" ref="P8:P14" si="6">Q8*1000000</f>
        <v>4055010187.7698569</v>
      </c>
      <c r="Q8" s="70">
        <f>((F8/3)*((B8*C8)+SQRT((B8*C8)*(D8*E8))+(D8*E8)))*0.3048^3</f>
        <v>4055.0101877698571</v>
      </c>
      <c r="R8" s="71">
        <f t="shared" ref="R8:R14" si="7">Q8*1000</f>
        <v>4055010.1877698572</v>
      </c>
      <c r="S8" s="115">
        <f t="shared" ref="S8:S14" si="8">V8/0.45359237</f>
        <v>50836473.333333343</v>
      </c>
      <c r="T8" s="72">
        <f t="shared" ref="T8:T14" si="9">V8*1000/31.1034768</f>
        <v>741365236.11111128</v>
      </c>
      <c r="U8" s="72">
        <f t="shared" ref="U8:U14" si="10">V8/1000</f>
        <v>23059.036421708472</v>
      </c>
      <c r="V8" s="72">
        <f>Q8*(0.45359237/0.3048^3)*J8</f>
        <v>23059036.421708472</v>
      </c>
      <c r="W8" s="116">
        <f t="shared" ref="W8:W14" si="11">V8*1000</f>
        <v>23059036421.708473</v>
      </c>
      <c r="X8" s="81">
        <f t="shared" ref="X8:X14" si="12">AC8/100</f>
        <v>17.936162447104802</v>
      </c>
      <c r="Y8" s="73">
        <f t="shared" ref="Y8:Y14" si="13">AC8/4046.8564224</f>
        <v>0.44321222635488777</v>
      </c>
      <c r="Z8" s="73">
        <f t="shared" ref="Z8:Z14" si="14">AC8*10000</f>
        <v>17936162.447104804</v>
      </c>
      <c r="AA8" s="73">
        <f t="shared" ref="AA8:AA14" si="15">AC8*100</f>
        <v>179361.62447104804</v>
      </c>
      <c r="AB8" s="73">
        <f t="shared" ref="AB8:AB14" si="16">AC8/10000</f>
        <v>0.17936162447104803</v>
      </c>
      <c r="AC8" s="73">
        <f>((B8*C8)+(D8*E8)+(2*(((B8+D8)/2)*(SQRT(F8^2+((C8-E8)/2)^2)))+2*(((C8+E8)/2)*(SQRT(F8^2+((B8-D8)/2)^2)))))*0.3048^2</f>
        <v>1793.6162447104803</v>
      </c>
      <c r="AD8" s="73">
        <f t="shared" ref="AD8:AD14" si="17">AC8*1000000</f>
        <v>1793616244.7104802</v>
      </c>
      <c r="AE8" s="73">
        <f t="shared" ref="AE8:AE14" si="18">AC8/144*10000/(2.54*2.54)</f>
        <v>19306.324580018911</v>
      </c>
      <c r="AF8" s="81">
        <f t="shared" ref="AF8:AF14" si="19">AC8*10000/(2.54 *2.54)</f>
        <v>2780110.7395227235</v>
      </c>
      <c r="AG8" s="167">
        <v>27.917000000000002</v>
      </c>
      <c r="AH8" s="217">
        <v>405501019</v>
      </c>
      <c r="AI8" s="69">
        <v>40550102</v>
      </c>
      <c r="AJ8" s="70">
        <v>40550.1</v>
      </c>
      <c r="AK8" s="70">
        <v>4055010188</v>
      </c>
      <c r="AL8" s="70">
        <v>4055.01</v>
      </c>
      <c r="AM8" s="71">
        <v>4055010</v>
      </c>
      <c r="AN8" s="115">
        <v>50836473</v>
      </c>
      <c r="AO8" s="72">
        <v>741365236</v>
      </c>
      <c r="AP8" s="72">
        <v>23059</v>
      </c>
      <c r="AQ8" s="72">
        <v>23059036</v>
      </c>
      <c r="AR8" s="116">
        <v>23059036422</v>
      </c>
      <c r="AS8" s="123">
        <v>17.936199999999999</v>
      </c>
      <c r="AT8" s="123">
        <v>0.44321199999999999</v>
      </c>
      <c r="AU8" s="73">
        <v>17936162</v>
      </c>
      <c r="AV8" s="73">
        <v>179362</v>
      </c>
      <c r="AW8" s="73">
        <v>0.17936199999999999</v>
      </c>
      <c r="AX8" s="73">
        <v>1793.62</v>
      </c>
      <c r="AY8" s="73">
        <v>1793616245</v>
      </c>
      <c r="AZ8" s="73">
        <v>19306.3</v>
      </c>
      <c r="BA8" s="218">
        <v>2780111</v>
      </c>
      <c r="BB8" s="247">
        <f t="shared" ref="BB8:BB14" si="20">(L8-AG8)/L8</f>
        <v>-1.1940298507477279E-5</v>
      </c>
      <c r="BC8" s="41">
        <f t="shared" ref="BC8:BH14" si="21">(M8-AH8)/M8</f>
        <v>-5.4997221899414618E-10</v>
      </c>
      <c r="BD8" s="42">
        <f t="shared" si="21"/>
        <v>-3.0160572685855316E-9</v>
      </c>
      <c r="BE8" s="42">
        <f t="shared" si="21"/>
        <v>4.630564381941735E-8</v>
      </c>
      <c r="BF8" s="42">
        <f t="shared" si="21"/>
        <v>-5.6755238473893838E-11</v>
      </c>
      <c r="BG8" s="42">
        <f t="shared" si="21"/>
        <v>4.6305643684843872E-8</v>
      </c>
      <c r="BH8" s="43">
        <f t="shared" si="21"/>
        <v>4.6305643769176584E-8</v>
      </c>
      <c r="BI8" s="107">
        <f t="shared" ref="BI8:BI14" si="22">(S8-AN8)/S8</f>
        <v>6.5569722172067942E-9</v>
      </c>
      <c r="BJ8" s="44">
        <f t="shared" ref="BJ8:BV14" si="23">(T8-AO8)/T8</f>
        <v>1.4987387847473126E-10</v>
      </c>
      <c r="BK8" s="44">
        <f t="shared" si="23"/>
        <v>1.5794982845561978E-6</v>
      </c>
      <c r="BL8" s="44">
        <f t="shared" si="23"/>
        <v>1.8288208768171644E-8</v>
      </c>
      <c r="BM8" s="108">
        <f t="shared" si="23"/>
        <v>-1.2642626912161066E-11</v>
      </c>
      <c r="BN8" s="43">
        <f t="shared" si="23"/>
        <v>-2.0936973172366388E-6</v>
      </c>
      <c r="BO8" s="42">
        <f t="shared" si="23"/>
        <v>5.1071444856001016E-7</v>
      </c>
      <c r="BP8" s="42">
        <f t="shared" si="23"/>
        <v>2.4927562154745401E-8</v>
      </c>
      <c r="BQ8" s="42">
        <f t="shared" si="23"/>
        <v>-2.093697317186882E-6</v>
      </c>
      <c r="BR8" s="42">
        <f t="shared" si="23"/>
        <v>-2.0936973171933097E-6</v>
      </c>
      <c r="BS8" s="42">
        <f t="shared" si="23"/>
        <v>-2.0936973171970235E-6</v>
      </c>
      <c r="BT8" s="42">
        <f t="shared" si="23"/>
        <v>-1.6141679564317849E-10</v>
      </c>
      <c r="BU8" s="42">
        <f t="shared" si="23"/>
        <v>1.273158897204302E-6</v>
      </c>
      <c r="BV8" s="45">
        <f t="shared" si="23"/>
        <v>-9.3693129851244152E-8</v>
      </c>
    </row>
    <row r="9" spans="2:77" x14ac:dyDescent="0.25">
      <c r="B9" s="86">
        <v>19</v>
      </c>
      <c r="C9" s="87">
        <v>16</v>
      </c>
      <c r="D9" s="87">
        <v>5</v>
      </c>
      <c r="E9" s="210">
        <f t="shared" si="1"/>
        <v>4.2105263157894735</v>
      </c>
      <c r="F9" s="93">
        <v>256</v>
      </c>
      <c r="G9" s="97" t="s">
        <v>4</v>
      </c>
      <c r="H9" s="59"/>
      <c r="I9" s="56"/>
      <c r="J9" s="56"/>
      <c r="K9" s="14">
        <v>299</v>
      </c>
      <c r="L9" s="167">
        <f t="shared" si="2"/>
        <v>4.2105263157894735</v>
      </c>
      <c r="M9" s="69">
        <f t="shared" si="3"/>
        <v>56641.05298818244</v>
      </c>
      <c r="N9" s="70">
        <f t="shared" si="4"/>
        <v>5664.1052988182437</v>
      </c>
      <c r="O9" s="70">
        <f t="shared" si="5"/>
        <v>5.6641052988182441</v>
      </c>
      <c r="P9" s="70">
        <f t="shared" si="6"/>
        <v>566410.52988182439</v>
      </c>
      <c r="Q9" s="70">
        <f>((F9/3)*((B9*C9)+SQRT((B9*C9)*(D9*E9))+(D9*E9)))*(2.54/100)^3</f>
        <v>0.56641052988182439</v>
      </c>
      <c r="R9" s="71">
        <f t="shared" si="7"/>
        <v>566.41052988182435</v>
      </c>
      <c r="S9" s="115">
        <f t="shared" si="8"/>
        <v>373367.71876181575</v>
      </c>
      <c r="T9" s="72">
        <f t="shared" si="9"/>
        <v>5444945.8986098133</v>
      </c>
      <c r="U9" s="72">
        <f t="shared" si="10"/>
        <v>169.35674843466546</v>
      </c>
      <c r="V9" s="72">
        <f>Q9*1000*K9</f>
        <v>169356.74843466547</v>
      </c>
      <c r="W9" s="116">
        <f t="shared" si="11"/>
        <v>169356748.43466547</v>
      </c>
      <c r="X9" s="81">
        <f t="shared" si="12"/>
        <v>7.5138622693794774E-2</v>
      </c>
      <c r="Y9" s="73">
        <f t="shared" si="13"/>
        <v>1.8567158023667565E-3</v>
      </c>
      <c r="Z9" s="73">
        <f t="shared" si="14"/>
        <v>75138.622693794779</v>
      </c>
      <c r="AA9" s="73">
        <f t="shared" si="15"/>
        <v>751.38622693794775</v>
      </c>
      <c r="AB9" s="73">
        <f t="shared" si="16"/>
        <v>7.5138622693794776E-4</v>
      </c>
      <c r="AC9" s="73">
        <f>((B9*C9)+(D9*E9)+(2*(((B9+D9)/2)*(SQRT(F9^2+((C9-E9)/2)^2)))+2*(((C9+E9)/2)*(SQRT(F9^2+((B9-D9)/2)^2)))))*(2.54/100)^2</f>
        <v>7.5138622693794774</v>
      </c>
      <c r="AD9" s="73">
        <f t="shared" si="17"/>
        <v>7513862.269379477</v>
      </c>
      <c r="AE9" s="73">
        <f t="shared" si="18"/>
        <v>80.878540351095921</v>
      </c>
      <c r="AF9" s="81">
        <f t="shared" si="19"/>
        <v>11646.509810557813</v>
      </c>
      <c r="AG9" s="167">
        <v>4.2104999999999997</v>
      </c>
      <c r="AH9" s="217">
        <v>56641.1</v>
      </c>
      <c r="AI9" s="70">
        <v>5664.11</v>
      </c>
      <c r="AJ9" s="70">
        <v>5.66411</v>
      </c>
      <c r="AK9" s="70">
        <v>566411</v>
      </c>
      <c r="AL9" s="70">
        <v>0.566411</v>
      </c>
      <c r="AM9" s="71">
        <v>566.41099999999994</v>
      </c>
      <c r="AN9" s="115">
        <v>373368</v>
      </c>
      <c r="AO9" s="72">
        <v>5444946</v>
      </c>
      <c r="AP9" s="72">
        <v>169.357</v>
      </c>
      <c r="AQ9" s="72">
        <v>169357</v>
      </c>
      <c r="AR9" s="116">
        <v>169356748</v>
      </c>
      <c r="AS9" s="123">
        <v>7.51386E-2</v>
      </c>
      <c r="AT9" s="123">
        <v>1.8567200000000001E-3</v>
      </c>
      <c r="AU9" s="73">
        <v>75138.600000000006</v>
      </c>
      <c r="AV9" s="73">
        <v>751.38599999999997</v>
      </c>
      <c r="AW9" s="73">
        <v>7.5138600000000005E-4</v>
      </c>
      <c r="AX9" s="73">
        <v>7.5138600000000002</v>
      </c>
      <c r="AY9" s="73">
        <v>7513862</v>
      </c>
      <c r="AZ9" s="73">
        <v>80.878500000000003</v>
      </c>
      <c r="BA9" s="218">
        <v>11646.5</v>
      </c>
      <c r="BB9" s="247">
        <f t="shared" si="20"/>
        <v>6.2500000000187409E-6</v>
      </c>
      <c r="BC9" s="41">
        <f t="shared" si="21"/>
        <v>-8.2999547285773445E-7</v>
      </c>
      <c r="BD9" s="42">
        <f t="shared" si="21"/>
        <v>-8.2999547288984885E-7</v>
      </c>
      <c r="BE9" s="42">
        <f t="shared" si="21"/>
        <v>-8.2999547287103181E-7</v>
      </c>
      <c r="BF9" s="42">
        <f t="shared" si="21"/>
        <v>-8.2999547290911737E-7</v>
      </c>
      <c r="BG9" s="42">
        <f t="shared" si="21"/>
        <v>-8.2999547291023387E-7</v>
      </c>
      <c r="BH9" s="43">
        <f t="shared" si="21"/>
        <v>-8.2999547288984885E-7</v>
      </c>
      <c r="BI9" s="107">
        <f t="shared" si="22"/>
        <v>-7.5324718801332638E-7</v>
      </c>
      <c r="BJ9" s="44">
        <f t="shared" si="23"/>
        <v>-1.862097228975797E-8</v>
      </c>
      <c r="BK9" s="44">
        <f t="shared" si="23"/>
        <v>-1.4854166536741926E-6</v>
      </c>
      <c r="BL9" s="44">
        <f t="shared" si="23"/>
        <v>-1.4854166536486838E-6</v>
      </c>
      <c r="BM9" s="108">
        <f t="shared" si="23"/>
        <v>2.5665671745172256E-9</v>
      </c>
      <c r="BN9" s="43">
        <f t="shared" si="23"/>
        <v>3.0202569544577964E-7</v>
      </c>
      <c r="BO9" s="42">
        <f t="shared" si="23"/>
        <v>-2.2607839273248577E-6</v>
      </c>
      <c r="BP9" s="42">
        <f t="shared" si="23"/>
        <v>3.0202569544215073E-7</v>
      </c>
      <c r="BQ9" s="42">
        <f t="shared" si="23"/>
        <v>3.0202569550872398E-7</v>
      </c>
      <c r="BR9" s="42">
        <f t="shared" si="23"/>
        <v>3.0202569540537743E-7</v>
      </c>
      <c r="BS9" s="42">
        <f t="shared" si="23"/>
        <v>3.0202569542361617E-7</v>
      </c>
      <c r="BT9" s="42">
        <f t="shared" si="23"/>
        <v>3.5851000106084479E-8</v>
      </c>
      <c r="BU9" s="42">
        <f t="shared" si="23"/>
        <v>4.9890979416365911E-7</v>
      </c>
      <c r="BV9" s="45">
        <f t="shared" si="23"/>
        <v>8.4236032702064204E-7</v>
      </c>
    </row>
    <row r="10" spans="2:77" x14ac:dyDescent="0.25">
      <c r="B10" s="86">
        <v>45</v>
      </c>
      <c r="C10" s="87">
        <v>77</v>
      </c>
      <c r="D10" s="87">
        <v>34</v>
      </c>
      <c r="E10" s="210">
        <f t="shared" si="1"/>
        <v>58.17777777777777</v>
      </c>
      <c r="F10" s="93">
        <v>67</v>
      </c>
      <c r="G10" s="97" t="s">
        <v>5</v>
      </c>
      <c r="H10" s="11">
        <v>690</v>
      </c>
      <c r="I10" s="56"/>
      <c r="J10" s="56"/>
      <c r="K10" s="57"/>
      <c r="L10" s="167">
        <f t="shared" si="2"/>
        <v>58.17777777777777</v>
      </c>
      <c r="M10" s="69">
        <f t="shared" si="3"/>
        <v>18002999259.259258</v>
      </c>
      <c r="N10" s="70">
        <f t="shared" si="4"/>
        <v>1800299925.9259257</v>
      </c>
      <c r="O10" s="70">
        <f t="shared" si="5"/>
        <v>1800299.9259259258</v>
      </c>
      <c r="P10" s="70">
        <f t="shared" si="6"/>
        <v>180029992592.59259</v>
      </c>
      <c r="Q10" s="70">
        <f>(F10/3)*((B10*C10)+SQRT((B10*C10)*(D10*E10))+(D10*E10))</f>
        <v>180029.99259259258</v>
      </c>
      <c r="R10" s="71">
        <f t="shared" si="7"/>
        <v>180029992.59259257</v>
      </c>
      <c r="S10" s="115">
        <f t="shared" si="8"/>
        <v>273859754.053819</v>
      </c>
      <c r="T10" s="72">
        <f t="shared" si="9"/>
        <v>3993788079.9515276</v>
      </c>
      <c r="U10" s="72">
        <f t="shared" si="10"/>
        <v>124220.69488888889</v>
      </c>
      <c r="V10" s="72">
        <f>Q10*H10</f>
        <v>124220694.88888888</v>
      </c>
      <c r="W10" s="116">
        <f t="shared" si="11"/>
        <v>124220694888.88889</v>
      </c>
      <c r="X10" s="81">
        <f t="shared" si="12"/>
        <v>198.75381208400489</v>
      </c>
      <c r="Y10" s="73">
        <f t="shared" si="13"/>
        <v>4.9113136553071328</v>
      </c>
      <c r="Z10" s="73">
        <f t="shared" si="14"/>
        <v>198753812.08400491</v>
      </c>
      <c r="AA10" s="73">
        <f t="shared" si="15"/>
        <v>1987538.1208400489</v>
      </c>
      <c r="AB10" s="73">
        <f t="shared" si="16"/>
        <v>1.9875381208400489</v>
      </c>
      <c r="AC10" s="73">
        <f>(B10*C10)+(D10*E10)+(2*(((B10+D10)/2)*(SQRT(F10^2+((C10-E10)/2)^2)))+2*(((C10+E10)/2)*(SQRT(F10^2+((B10-D10)/2)^2))))</f>
        <v>19875.381208400489</v>
      </c>
      <c r="AD10" s="73">
        <f t="shared" si="17"/>
        <v>19875381208.40049</v>
      </c>
      <c r="AE10" s="73">
        <f t="shared" si="18"/>
        <v>213936.82282517868</v>
      </c>
      <c r="AF10" s="81">
        <f t="shared" si="19"/>
        <v>30806902.486825734</v>
      </c>
      <c r="AG10" s="167">
        <v>58.177999999999997</v>
      </c>
      <c r="AH10" s="217">
        <v>18002999259</v>
      </c>
      <c r="AI10" s="70">
        <v>1800299926</v>
      </c>
      <c r="AJ10" s="70">
        <v>1800300</v>
      </c>
      <c r="AK10" s="70">
        <v>180029992593</v>
      </c>
      <c r="AL10" s="70">
        <v>180030</v>
      </c>
      <c r="AM10" s="71">
        <v>180029993</v>
      </c>
      <c r="AN10" s="115">
        <v>273859754</v>
      </c>
      <c r="AO10" s="72">
        <v>3993788080</v>
      </c>
      <c r="AP10" s="72">
        <v>124221</v>
      </c>
      <c r="AQ10" s="72">
        <v>124220695</v>
      </c>
      <c r="AR10" s="116">
        <v>124220694889</v>
      </c>
      <c r="AS10" s="123">
        <v>198.75399999999999</v>
      </c>
      <c r="AT10" s="123">
        <v>4.9113100000000003</v>
      </c>
      <c r="AU10" s="73">
        <v>198753812</v>
      </c>
      <c r="AV10" s="73">
        <v>1987538</v>
      </c>
      <c r="AW10" s="73">
        <v>1.9875400000000001</v>
      </c>
      <c r="AX10" s="73">
        <v>19875.400000000001</v>
      </c>
      <c r="AY10" s="73">
        <v>19875381208</v>
      </c>
      <c r="AZ10" s="73">
        <v>213937</v>
      </c>
      <c r="BA10" s="218">
        <v>30806902</v>
      </c>
      <c r="BB10" s="247">
        <f t="shared" si="20"/>
        <v>-3.8197097021487338E-6</v>
      </c>
      <c r="BC10" s="41">
        <f t="shared" si="21"/>
        <v>1.4400837689882745E-11</v>
      </c>
      <c r="BD10" s="42">
        <f t="shared" si="21"/>
        <v>-4.1145515407921131E-11</v>
      </c>
      <c r="BE10" s="42">
        <f t="shared" si="21"/>
        <v>-4.1145407547695173E-8</v>
      </c>
      <c r="BF10" s="42">
        <f t="shared" si="21"/>
        <v>-2.2630099690706373E-12</v>
      </c>
      <c r="BG10" s="42">
        <f t="shared" si="21"/>
        <v>-4.1145407580027373E-8</v>
      </c>
      <c r="BH10" s="43">
        <f t="shared" si="21"/>
        <v>-2.2629975535050593E-9</v>
      </c>
      <c r="BI10" s="107">
        <f t="shared" si="22"/>
        <v>1.9652029889138533E-10</v>
      </c>
      <c r="BJ10" s="44">
        <f t="shared" si="23"/>
        <v>-1.2136949560069991E-11</v>
      </c>
      <c r="BK10" s="44">
        <f t="shared" si="23"/>
        <v>-2.4562019346739993E-6</v>
      </c>
      <c r="BL10" s="44">
        <f t="shared" si="23"/>
        <v>-8.944654470732035E-10</v>
      </c>
      <c r="BM10" s="108">
        <f t="shared" si="23"/>
        <v>-8.9449267734746677E-13</v>
      </c>
      <c r="BN10" s="43">
        <f t="shared" si="23"/>
        <v>-9.4547114909874238E-7</v>
      </c>
      <c r="BO10" s="42">
        <f t="shared" si="23"/>
        <v>7.4426261262768775E-7</v>
      </c>
      <c r="BP10" s="42">
        <f t="shared" si="23"/>
        <v>4.2265810109151402E-10</v>
      </c>
      <c r="BQ10" s="42">
        <f t="shared" si="23"/>
        <v>6.0798858455120479E-8</v>
      </c>
      <c r="BR10" s="42">
        <f t="shared" si="23"/>
        <v>-9.4547114920599211E-7</v>
      </c>
      <c r="BS10" s="42">
        <f t="shared" si="23"/>
        <v>-9.4547114920742211E-7</v>
      </c>
      <c r="BT10" s="42">
        <f t="shared" si="23"/>
        <v>2.015004406353907E-11</v>
      </c>
      <c r="BU10" s="42">
        <f t="shared" si="23"/>
        <v>-8.2816421680791069E-7</v>
      </c>
      <c r="BV10" s="45">
        <f t="shared" si="23"/>
        <v>1.580248889303602E-8</v>
      </c>
    </row>
    <row r="11" spans="2:77" x14ac:dyDescent="0.25">
      <c r="B11" s="90">
        <v>0.34</v>
      </c>
      <c r="C11" s="91">
        <v>0.44</v>
      </c>
      <c r="D11" s="91">
        <v>0.19</v>
      </c>
      <c r="E11" s="210">
        <f t="shared" si="1"/>
        <v>0.24588235294117644</v>
      </c>
      <c r="F11" s="94">
        <v>2</v>
      </c>
      <c r="G11" s="97" t="s">
        <v>6</v>
      </c>
      <c r="H11" s="59"/>
      <c r="I11" s="4">
        <v>348</v>
      </c>
      <c r="J11" s="58"/>
      <c r="K11" s="55"/>
      <c r="L11" s="167">
        <f t="shared" si="2"/>
        <v>0.24588235294117644</v>
      </c>
      <c r="M11" s="69">
        <f t="shared" si="3"/>
        <v>77783176606045.266</v>
      </c>
      <c r="N11" s="70">
        <f t="shared" si="4"/>
        <v>7778317660604.5273</v>
      </c>
      <c r="O11" s="70">
        <f t="shared" si="5"/>
        <v>7778317660.6045265</v>
      </c>
      <c r="P11" s="70">
        <f t="shared" si="6"/>
        <v>777831766060452.75</v>
      </c>
      <c r="Q11" s="70">
        <f>((F11/3)*((B11*C11)+SQRT((B11*C11)*(D11*E11))+(D11*E11)))*(63360*2.54/100)^3</f>
        <v>777831766.0604527</v>
      </c>
      <c r="R11" s="71">
        <f t="shared" si="7"/>
        <v>777831766060.45276</v>
      </c>
      <c r="S11" s="115">
        <f t="shared" si="8"/>
        <v>596759276592411.75</v>
      </c>
      <c r="T11" s="72">
        <f t="shared" si="9"/>
        <v>8702739450306005</v>
      </c>
      <c r="U11" s="72">
        <f t="shared" si="10"/>
        <v>270685454589.03757</v>
      </c>
      <c r="V11" s="72">
        <f>Q11*1000*I11</f>
        <v>270685454589037.56</v>
      </c>
      <c r="W11" s="116">
        <f t="shared" si="11"/>
        <v>2.7068545458903757E+17</v>
      </c>
      <c r="X11" s="81">
        <f t="shared" si="12"/>
        <v>68124.302051204373</v>
      </c>
      <c r="Y11" s="73">
        <f t="shared" si="13"/>
        <v>1683.3881645547249</v>
      </c>
      <c r="Z11" s="73">
        <f t="shared" si="14"/>
        <v>68124302051.204369</v>
      </c>
      <c r="AA11" s="73">
        <f t="shared" si="15"/>
        <v>681243020.51204371</v>
      </c>
      <c r="AB11" s="73">
        <f t="shared" si="16"/>
        <v>681.2430205120437</v>
      </c>
      <c r="AC11" s="73">
        <f>((B11*C11)+(D11*E11)+(2*(((B11+D11)/2)*(SQRT(F11^2+((C11-E11)/2)^2)))+2*(((C11+E11)/2)*(SQRT(F11^2+((B11-D11)/2)^2)))))*(63360*2.54/100)^2</f>
        <v>6812430.2051204368</v>
      </c>
      <c r="AD11" s="73">
        <f t="shared" si="17"/>
        <v>6812430205120.4365</v>
      </c>
      <c r="AE11" s="73">
        <f t="shared" si="18"/>
        <v>73328388.448003829</v>
      </c>
      <c r="AF11" s="81">
        <f t="shared" si="19"/>
        <v>10559287936.51255</v>
      </c>
      <c r="AG11" s="167">
        <v>0.24590000000000001</v>
      </c>
      <c r="AH11" s="217">
        <v>77783176606045</v>
      </c>
      <c r="AI11" s="70">
        <v>7778317660605</v>
      </c>
      <c r="AJ11" s="70">
        <v>7778317661</v>
      </c>
      <c r="AK11" s="70">
        <v>777831766060453</v>
      </c>
      <c r="AL11" s="70">
        <v>777831766</v>
      </c>
      <c r="AM11" s="71">
        <v>777831766060</v>
      </c>
      <c r="AN11" s="115">
        <v>596759276592412</v>
      </c>
      <c r="AO11" s="72">
        <v>8702739450306000</v>
      </c>
      <c r="AP11" s="72">
        <v>270685454589</v>
      </c>
      <c r="AQ11" s="72">
        <v>270685454589038</v>
      </c>
      <c r="AR11" s="116">
        <v>2.7068545458903802E+17</v>
      </c>
      <c r="AS11" s="123">
        <v>68124.3</v>
      </c>
      <c r="AT11" s="123">
        <v>1683.39</v>
      </c>
      <c r="AU11" s="73">
        <v>68124302051</v>
      </c>
      <c r="AV11" s="73">
        <v>681243021</v>
      </c>
      <c r="AW11" s="73">
        <v>681.24300000000005</v>
      </c>
      <c r="AX11" s="73">
        <v>6812430</v>
      </c>
      <c r="AY11" s="73">
        <v>6812430205120</v>
      </c>
      <c r="AZ11" s="73">
        <v>73328388</v>
      </c>
      <c r="BA11" s="218">
        <v>10559287937</v>
      </c>
      <c r="BB11" s="247">
        <f t="shared" si="20"/>
        <v>-7.177033492838113E-5</v>
      </c>
      <c r="BC11" s="41">
        <f t="shared" si="21"/>
        <v>3.4149415283632911E-15</v>
      </c>
      <c r="BD11" s="42">
        <f t="shared" si="21"/>
        <v>-6.0765871313523258E-14</v>
      </c>
      <c r="BE11" s="42">
        <f t="shared" si="21"/>
        <v>-5.08430611194495E-11</v>
      </c>
      <c r="BF11" s="42">
        <f t="shared" si="21"/>
        <v>-3.2140626149301557E-16</v>
      </c>
      <c r="BG11" s="42">
        <f t="shared" si="21"/>
        <v>7.7719504781136097E-11</v>
      </c>
      <c r="BH11" s="43">
        <f t="shared" si="21"/>
        <v>5.8207803900273187E-13</v>
      </c>
      <c r="BI11" s="107">
        <f t="shared" si="22"/>
        <v>-4.1892939046970306E-16</v>
      </c>
      <c r="BJ11" s="44">
        <f t="shared" si="23"/>
        <v>5.7453173550130708E-16</v>
      </c>
      <c r="BK11" s="44">
        <f t="shared" si="23"/>
        <v>1.387852137415751E-13</v>
      </c>
      <c r="BL11" s="44">
        <f t="shared" si="23"/>
        <v>-1.6162671195769462E-15</v>
      </c>
      <c r="BM11" s="108">
        <f t="shared" si="23"/>
        <v>-1.6550575304467928E-15</v>
      </c>
      <c r="BN11" s="43">
        <f t="shared" si="23"/>
        <v>3.0109730425958406E-8</v>
      </c>
      <c r="BO11" s="42">
        <f t="shared" si="23"/>
        <v>-1.0903280145756922E-6</v>
      </c>
      <c r="BP11" s="42">
        <f t="shared" si="23"/>
        <v>2.9999366621765004E-12</v>
      </c>
      <c r="BQ11" s="42">
        <f t="shared" si="23"/>
        <v>-7.1627344542909414E-10</v>
      </c>
      <c r="BR11" s="42">
        <f t="shared" si="23"/>
        <v>3.0109730345855301E-8</v>
      </c>
      <c r="BS11" s="42">
        <f t="shared" si="23"/>
        <v>3.0109730400325416E-8</v>
      </c>
      <c r="BT11" s="42">
        <f t="shared" si="23"/>
        <v>6.4077491343969337E-14</v>
      </c>
      <c r="BU11" s="42">
        <f t="shared" si="23"/>
        <v>6.1095550851116368E-9</v>
      </c>
      <c r="BV11" s="45">
        <f t="shared" si="23"/>
        <v>-4.6163117146428082E-11</v>
      </c>
    </row>
    <row r="12" spans="2:77" x14ac:dyDescent="0.25">
      <c r="B12" s="86">
        <v>59</v>
      </c>
      <c r="C12" s="87">
        <v>45</v>
      </c>
      <c r="D12" s="87">
        <v>9</v>
      </c>
      <c r="E12" s="210">
        <f t="shared" si="1"/>
        <v>6.8644067796610164</v>
      </c>
      <c r="F12" s="93">
        <v>45</v>
      </c>
      <c r="G12" s="97" t="s">
        <v>7</v>
      </c>
      <c r="H12" s="59"/>
      <c r="I12" s="58"/>
      <c r="J12" s="4">
        <v>278</v>
      </c>
      <c r="K12" s="55"/>
      <c r="L12" s="167">
        <f t="shared" si="2"/>
        <v>6.8644067796610164</v>
      </c>
      <c r="M12" s="69">
        <f t="shared" si="3"/>
        <v>4.6826694915254237</v>
      </c>
      <c r="N12" s="70">
        <f t="shared" si="4"/>
        <v>0.46826694915254236</v>
      </c>
      <c r="O12" s="70">
        <f t="shared" si="5"/>
        <v>4.6826694915254232E-4</v>
      </c>
      <c r="P12" s="70">
        <f t="shared" si="6"/>
        <v>46.826694915254237</v>
      </c>
      <c r="Q12" s="70">
        <f>((F12/3)*((B12*C12)+SQRT((B12*C12)*(D12*E12))+(D12*E12)))/1000^3</f>
        <v>4.6826694915254235E-5</v>
      </c>
      <c r="R12" s="71">
        <f t="shared" si="7"/>
        <v>4.6826694915254236E-2</v>
      </c>
      <c r="S12" s="115">
        <f t="shared" si="8"/>
        <v>0.45972001663908563</v>
      </c>
      <c r="T12" s="72">
        <f t="shared" si="9"/>
        <v>6.704250242653333</v>
      </c>
      <c r="U12" s="72">
        <f t="shared" si="10"/>
        <v>2.085254918837623E-4</v>
      </c>
      <c r="V12" s="72">
        <f>Q12*(0.45359237/0.3048^3)*J12</f>
        <v>0.20852549188376229</v>
      </c>
      <c r="W12" s="116">
        <f t="shared" si="11"/>
        <v>208.5254918837623</v>
      </c>
      <c r="X12" s="81">
        <f t="shared" si="12"/>
        <v>8.7100348800470308E-5</v>
      </c>
      <c r="Y12" s="73">
        <f t="shared" si="13"/>
        <v>2.152296491626337E-6</v>
      </c>
      <c r="Z12" s="73">
        <f t="shared" si="14"/>
        <v>87.1003488004703</v>
      </c>
      <c r="AA12" s="73">
        <f t="shared" si="15"/>
        <v>0.87100348800470306</v>
      </c>
      <c r="AB12" s="73">
        <f t="shared" si="16"/>
        <v>8.71003488004703E-7</v>
      </c>
      <c r="AC12" s="73">
        <f>((B12*C12)+(D12*E12)+(2*(((B12+D12)/2)*(SQRT(F12^2+((C12-E12)/2)^2)))+2*(((C12+E12)/2)*(SQRT(F12^2+((B12-D12)/2)^2)))))/1000^2</f>
        <v>8.7100348800470302E-3</v>
      </c>
      <c r="AD12" s="73">
        <f t="shared" si="17"/>
        <v>8710.034880047031</v>
      </c>
      <c r="AE12" s="73">
        <f t="shared" si="18"/>
        <v>9.375403517524325E-2</v>
      </c>
      <c r="AF12" s="81">
        <f t="shared" si="19"/>
        <v>13.500581065235027</v>
      </c>
      <c r="AG12" s="167">
        <v>6.8643999999999998</v>
      </c>
      <c r="AH12" s="217">
        <v>4.6826699999999999</v>
      </c>
      <c r="AI12" s="70">
        <v>0.46826699999999999</v>
      </c>
      <c r="AJ12" s="70">
        <v>4.6826700000000002E-4</v>
      </c>
      <c r="AK12" s="70">
        <v>46.826700000000002</v>
      </c>
      <c r="AL12" s="70">
        <v>4.6826694915254201E-5</v>
      </c>
      <c r="AM12" s="71">
        <v>4.6826699999999999E-2</v>
      </c>
      <c r="AN12" s="115">
        <v>0.45972000000000002</v>
      </c>
      <c r="AO12" s="72">
        <v>6.70425</v>
      </c>
      <c r="AP12" s="72">
        <v>2.0852500000000001E-4</v>
      </c>
      <c r="AQ12" s="72">
        <v>0.20852499999999999</v>
      </c>
      <c r="AR12" s="116">
        <v>208.52500000000001</v>
      </c>
      <c r="AS12" s="123">
        <v>8.7100348800470294E-5</v>
      </c>
      <c r="AT12" s="123">
        <v>2.15229649162634E-6</v>
      </c>
      <c r="AU12" s="73">
        <v>87.100300000000004</v>
      </c>
      <c r="AV12" s="73">
        <v>0.87100299999999997</v>
      </c>
      <c r="AW12" s="73">
        <v>8.71003488004703E-7</v>
      </c>
      <c r="AX12" s="73">
        <v>8.7100300000000005E-3</v>
      </c>
      <c r="AY12" s="73">
        <v>8710.0300000000007</v>
      </c>
      <c r="AZ12" s="73">
        <v>9.3754000000000004E-2</v>
      </c>
      <c r="BA12" s="218">
        <v>13.5006</v>
      </c>
      <c r="BB12" s="247">
        <f t="shared" si="20"/>
        <v>9.8765432093491281E-7</v>
      </c>
      <c r="BC12" s="41">
        <f t="shared" si="21"/>
        <v>-1.0858647554392924E-7</v>
      </c>
      <c r="BD12" s="42">
        <f t="shared" si="21"/>
        <v>-1.0858647556763843E-7</v>
      </c>
      <c r="BE12" s="42">
        <f t="shared" si="21"/>
        <v>-1.0858647571119019E-7</v>
      </c>
      <c r="BF12" s="42">
        <f t="shared" si="21"/>
        <v>-1.0858647561979866E-7</v>
      </c>
      <c r="BG12" s="42">
        <f t="shared" si="21"/>
        <v>7.2354706971076142E-16</v>
      </c>
      <c r="BH12" s="43">
        <f t="shared" si="21"/>
        <v>-1.0858647556763843E-7</v>
      </c>
      <c r="BI12" s="107">
        <f t="shared" si="22"/>
        <v>3.6193955031548756E-8</v>
      </c>
      <c r="BJ12" s="44">
        <f t="shared" si="23"/>
        <v>3.6193955207498623E-8</v>
      </c>
      <c r="BK12" s="44">
        <f t="shared" si="23"/>
        <v>2.3588663325893755E-6</v>
      </c>
      <c r="BL12" s="44">
        <f t="shared" si="23"/>
        <v>2.3588663326538478E-6</v>
      </c>
      <c r="BM12" s="108">
        <f t="shared" si="23"/>
        <v>2.358866332601671E-6</v>
      </c>
      <c r="BN12" s="43">
        <f t="shared" si="23"/>
        <v>1.5559670360350644E-16</v>
      </c>
      <c r="BO12" s="42">
        <f t="shared" si="23"/>
        <v>-1.377419573429636E-15</v>
      </c>
      <c r="BP12" s="42">
        <f t="shared" si="23"/>
        <v>5.6027870115268487E-7</v>
      </c>
      <c r="BQ12" s="42">
        <f t="shared" si="23"/>
        <v>5.6027870130564261E-7</v>
      </c>
      <c r="BR12" s="42">
        <f t="shared" si="23"/>
        <v>0</v>
      </c>
      <c r="BS12" s="42">
        <f t="shared" si="23"/>
        <v>5.602787011622447E-7</v>
      </c>
      <c r="BT12" s="42">
        <f t="shared" si="23"/>
        <v>5.6027870124405156E-7</v>
      </c>
      <c r="BU12" s="42">
        <f t="shared" si="23"/>
        <v>3.7518644589721301E-7</v>
      </c>
      <c r="BV12" s="45">
        <f t="shared" si="23"/>
        <v>-1.402514816379265E-6</v>
      </c>
    </row>
    <row r="13" spans="2:77" x14ac:dyDescent="0.25">
      <c r="B13" s="86">
        <v>177</v>
      </c>
      <c r="C13" s="87">
        <v>124</v>
      </c>
      <c r="D13" s="87">
        <v>167</v>
      </c>
      <c r="E13" s="210">
        <f t="shared" si="1"/>
        <v>116.99435028248587</v>
      </c>
      <c r="F13" s="94">
        <v>4.5</v>
      </c>
      <c r="G13" s="97" t="s">
        <v>8</v>
      </c>
      <c r="H13" s="59"/>
      <c r="I13" s="58"/>
      <c r="J13" s="58"/>
      <c r="K13" s="14">
        <v>770</v>
      </c>
      <c r="L13" s="167">
        <f t="shared" si="2"/>
        <v>116.99435028248587</v>
      </c>
      <c r="M13" s="69">
        <f t="shared" si="3"/>
        <v>7132615204.8969936</v>
      </c>
      <c r="N13" s="70">
        <f t="shared" si="4"/>
        <v>713261520.48969936</v>
      </c>
      <c r="O13" s="70">
        <f t="shared" si="5"/>
        <v>713261.52048969932</v>
      </c>
      <c r="P13" s="70">
        <f t="shared" si="6"/>
        <v>71326152048.969925</v>
      </c>
      <c r="Q13" s="70">
        <f>((F13/3)*((B13*C13)+SQRT((B13*C13)*(D13*E13))+(D13*E13)))*0.9144^3</f>
        <v>71326.152048969932</v>
      </c>
      <c r="R13" s="71">
        <f t="shared" si="7"/>
        <v>71326152.048969939</v>
      </c>
      <c r="S13" s="115">
        <f t="shared" si="8"/>
        <v>121080381219.17009</v>
      </c>
      <c r="T13" s="72">
        <f t="shared" si="9"/>
        <v>1765755559446.2307</v>
      </c>
      <c r="U13" s="72">
        <f t="shared" si="10"/>
        <v>54921137.077706859</v>
      </c>
      <c r="V13" s="72">
        <f>Q13*1000*K13</f>
        <v>54921137077.706856</v>
      </c>
      <c r="W13" s="116">
        <f t="shared" si="11"/>
        <v>54921137077706.859</v>
      </c>
      <c r="X13" s="81">
        <f t="shared" si="12"/>
        <v>376.83322539716124</v>
      </c>
      <c r="Y13" s="73">
        <f t="shared" si="13"/>
        <v>9.3117517911267811</v>
      </c>
      <c r="Z13" s="73">
        <f t="shared" si="14"/>
        <v>376833225.39716125</v>
      </c>
      <c r="AA13" s="73">
        <f t="shared" si="15"/>
        <v>3768332.2539716121</v>
      </c>
      <c r="AB13" s="73">
        <f t="shared" si="16"/>
        <v>3.7683322539716122</v>
      </c>
      <c r="AC13" s="73">
        <f>((B13*C13)+(D13*E13)+(2*(((B13+D13)/2)*(SQRT(F13^2+((C13-E13)/2)^2)))+2*(((C13+E13)/2)*(SQRT(F13^2+((B13-D13)/2)^2)))))*0.9144^2</f>
        <v>37683.322539716122</v>
      </c>
      <c r="AD13" s="73">
        <f t="shared" si="17"/>
        <v>37683322539.716125</v>
      </c>
      <c r="AE13" s="73">
        <f t="shared" si="18"/>
        <v>405619.9080214827</v>
      </c>
      <c r="AF13" s="81">
        <f t="shared" si="19"/>
        <v>58409266.7550935</v>
      </c>
      <c r="AG13" s="167">
        <v>116.99</v>
      </c>
      <c r="AH13" s="217">
        <v>7132615205</v>
      </c>
      <c r="AI13" s="70">
        <v>713261520</v>
      </c>
      <c r="AJ13" s="70">
        <v>713262</v>
      </c>
      <c r="AK13" s="70">
        <v>71326152049</v>
      </c>
      <c r="AL13" s="70">
        <v>71326.2</v>
      </c>
      <c r="AM13" s="71">
        <v>71326152</v>
      </c>
      <c r="AN13" s="115">
        <v>121080381219</v>
      </c>
      <c r="AO13" s="72">
        <v>1765755559446</v>
      </c>
      <c r="AP13" s="72">
        <v>54921137</v>
      </c>
      <c r="AQ13" s="72">
        <v>54921137078</v>
      </c>
      <c r="AR13" s="116">
        <v>54921137077707</v>
      </c>
      <c r="AS13" s="123">
        <v>376.83300000000003</v>
      </c>
      <c r="AT13" s="123">
        <v>9.31175</v>
      </c>
      <c r="AU13" s="73">
        <v>376833225</v>
      </c>
      <c r="AV13" s="73">
        <v>3768332</v>
      </c>
      <c r="AW13" s="73">
        <v>3.7683300000000002</v>
      </c>
      <c r="AX13" s="73">
        <v>37683.300000000003</v>
      </c>
      <c r="AY13" s="73">
        <v>37683322540</v>
      </c>
      <c r="AZ13" s="73">
        <v>405620</v>
      </c>
      <c r="BA13" s="218">
        <v>58409267</v>
      </c>
      <c r="BB13" s="247">
        <f t="shared" si="20"/>
        <v>3.7183697121865855E-5</v>
      </c>
      <c r="BC13" s="41">
        <f t="shared" si="21"/>
        <v>-1.4441598201500993E-11</v>
      </c>
      <c r="BD13" s="42">
        <f t="shared" si="21"/>
        <v>6.8656355297603377E-10</v>
      </c>
      <c r="BE13" s="42">
        <f t="shared" si="21"/>
        <v>-6.7227838163360345E-7</v>
      </c>
      <c r="BF13" s="42">
        <f t="shared" si="21"/>
        <v>-4.2165562529630165E-13</v>
      </c>
      <c r="BG13" s="42">
        <f t="shared" si="21"/>
        <v>-6.7227838159279965E-7</v>
      </c>
      <c r="BH13" s="43">
        <f t="shared" si="21"/>
        <v>6.865635947591967E-10</v>
      </c>
      <c r="BI13" s="107">
        <f t="shared" si="22"/>
        <v>1.4047669817937276E-12</v>
      </c>
      <c r="BJ13" s="44">
        <f t="shared" si="23"/>
        <v>1.3065958614189796E-13</v>
      </c>
      <c r="BK13" s="44">
        <f t="shared" si="23"/>
        <v>1.4148807299053825E-9</v>
      </c>
      <c r="BL13" s="44">
        <f t="shared" si="23"/>
        <v>-5.3375483770384189E-12</v>
      </c>
      <c r="BM13" s="108">
        <f t="shared" si="23"/>
        <v>-2.5604895943984624E-15</v>
      </c>
      <c r="BN13" s="43">
        <f t="shared" si="23"/>
        <v>5.9813505292353816E-7</v>
      </c>
      <c r="BO13" s="42">
        <f t="shared" si="23"/>
        <v>1.9235121610749398E-7</v>
      </c>
      <c r="BP13" s="42">
        <f t="shared" si="23"/>
        <v>1.0539443408353483E-9</v>
      </c>
      <c r="BQ13" s="42">
        <f t="shared" si="23"/>
        <v>6.7396289648626325E-8</v>
      </c>
      <c r="BR13" s="42">
        <f t="shared" si="23"/>
        <v>5.9813505288582688E-7</v>
      </c>
      <c r="BS13" s="42">
        <f t="shared" si="23"/>
        <v>5.9813505286320019E-7</v>
      </c>
      <c r="BT13" s="42">
        <f t="shared" si="23"/>
        <v>-7.5331603634356305E-12</v>
      </c>
      <c r="BU13" s="42">
        <f t="shared" si="23"/>
        <v>-2.267603623092045E-7</v>
      </c>
      <c r="BV13" s="45">
        <f t="shared" si="23"/>
        <v>-4.1929391274291837E-9</v>
      </c>
    </row>
    <row r="14" spans="2:77" ht="15.75" thickBot="1" x14ac:dyDescent="0.3">
      <c r="B14" s="88">
        <v>66</v>
      </c>
      <c r="C14" s="89">
        <v>55</v>
      </c>
      <c r="D14" s="89">
        <v>39</v>
      </c>
      <c r="E14" s="212">
        <f t="shared" si="1"/>
        <v>32.5</v>
      </c>
      <c r="F14" s="95">
        <v>123</v>
      </c>
      <c r="G14" s="98" t="s">
        <v>43</v>
      </c>
      <c r="H14" s="12">
        <v>670</v>
      </c>
      <c r="I14" s="60"/>
      <c r="J14" s="60"/>
      <c r="K14" s="61"/>
      <c r="L14" s="168">
        <f t="shared" si="2"/>
        <v>32.5</v>
      </c>
      <c r="M14" s="79">
        <f t="shared" si="3"/>
        <v>2.8874250000000001E-8</v>
      </c>
      <c r="N14" s="74">
        <f t="shared" si="4"/>
        <v>2.8874250000000003E-9</v>
      </c>
      <c r="O14" s="74">
        <f t="shared" si="5"/>
        <v>2.8874250000000003E-12</v>
      </c>
      <c r="P14" s="74">
        <f t="shared" si="6"/>
        <v>2.8874249999999999E-7</v>
      </c>
      <c r="Q14" s="74">
        <f>((F14/3)*((B14*C14)+SQRT((B14*C14)*(D14*E14))+(D14*E14)))/1000000^3</f>
        <v>2.8874250000000002E-13</v>
      </c>
      <c r="R14" s="75">
        <f t="shared" si="7"/>
        <v>2.887425E-10</v>
      </c>
      <c r="S14" s="117">
        <f t="shared" si="8"/>
        <v>4.26500725750744E-10</v>
      </c>
      <c r="T14" s="76">
        <f t="shared" si="9"/>
        <v>6.2198022505316838E-9</v>
      </c>
      <c r="U14" s="76">
        <f t="shared" si="10"/>
        <v>1.9345747500000002E-13</v>
      </c>
      <c r="V14" s="76">
        <f>Q14*H14</f>
        <v>1.9345747500000002E-10</v>
      </c>
      <c r="W14" s="118">
        <f t="shared" si="11"/>
        <v>1.9345747500000001E-7</v>
      </c>
      <c r="X14" s="82">
        <f t="shared" si="12"/>
        <v>2.8693538707487003E-10</v>
      </c>
      <c r="Y14" s="77">
        <f t="shared" si="13"/>
        <v>7.0903278279564502E-12</v>
      </c>
      <c r="Z14" s="77">
        <f t="shared" si="14"/>
        <v>2.8693538707487003E-4</v>
      </c>
      <c r="AA14" s="77">
        <f t="shared" si="15"/>
        <v>2.8693538707487002E-6</v>
      </c>
      <c r="AB14" s="77">
        <f t="shared" si="16"/>
        <v>2.8693538707487003E-12</v>
      </c>
      <c r="AC14" s="77">
        <f>((B14*C14)+(D14*E14)+(2*(((B14+D14)/2)*(SQRT(F14^2+((C14-E14)/2)^2)))+2*(((C14+E14)/2)*(SQRT(F14^2+((B14-D14)/2)^2)))))/1000000^2</f>
        <v>2.8693538707487003E-8</v>
      </c>
      <c r="AD14" s="77">
        <f t="shared" si="17"/>
        <v>2.8693538707487004E-2</v>
      </c>
      <c r="AE14" s="77">
        <f t="shared" si="18"/>
        <v>3.0885468018578302E-7</v>
      </c>
      <c r="AF14" s="82">
        <f t="shared" si="19"/>
        <v>4.447507394675275E-5</v>
      </c>
      <c r="AG14" s="168">
        <v>32.5</v>
      </c>
      <c r="AH14" s="219">
        <v>2.8874250000000001E-8</v>
      </c>
      <c r="AI14" s="74">
        <v>2.8874249999999999E-9</v>
      </c>
      <c r="AJ14" s="74">
        <v>2.8874249999999999E-12</v>
      </c>
      <c r="AK14" s="74">
        <v>2.8874249999999999E-7</v>
      </c>
      <c r="AL14" s="74">
        <v>2.8874250000000002E-13</v>
      </c>
      <c r="AM14" s="75">
        <v>2.887425E-10</v>
      </c>
      <c r="AN14" s="117">
        <v>4.26500725750744E-10</v>
      </c>
      <c r="AO14" s="76">
        <v>6.2198022505316797E-9</v>
      </c>
      <c r="AP14" s="76">
        <v>1.93457475E-13</v>
      </c>
      <c r="AQ14" s="76">
        <v>1.9345747499999999E-10</v>
      </c>
      <c r="AR14" s="118">
        <v>1.9345747500000001E-7</v>
      </c>
      <c r="AS14" s="125">
        <v>2.8693538707486998E-10</v>
      </c>
      <c r="AT14" s="125">
        <v>7.0903278279564502E-12</v>
      </c>
      <c r="AU14" s="77">
        <v>2.8693499999999999E-4</v>
      </c>
      <c r="AV14" s="77">
        <v>2.8693538707486998E-6</v>
      </c>
      <c r="AW14" s="77">
        <v>2.8693538707486999E-12</v>
      </c>
      <c r="AX14" s="77">
        <v>2.8693538707486999E-8</v>
      </c>
      <c r="AY14" s="77">
        <v>2.86935E-2</v>
      </c>
      <c r="AZ14" s="77">
        <v>3.0885468018578302E-7</v>
      </c>
      <c r="BA14" s="220">
        <v>4.4475073946752703E-5</v>
      </c>
      <c r="BB14" s="248">
        <f t="shared" si="20"/>
        <v>0</v>
      </c>
      <c r="BC14" s="46">
        <f t="shared" si="21"/>
        <v>0</v>
      </c>
      <c r="BD14" s="47">
        <f t="shared" si="21"/>
        <v>1.4323845858386409E-16</v>
      </c>
      <c r="BE14" s="47">
        <f t="shared" si="21"/>
        <v>1.3988130721080478E-16</v>
      </c>
      <c r="BF14" s="47">
        <f t="shared" si="21"/>
        <v>0</v>
      </c>
      <c r="BG14" s="47">
        <f t="shared" si="21"/>
        <v>0</v>
      </c>
      <c r="BH14" s="48">
        <f t="shared" si="21"/>
        <v>0</v>
      </c>
      <c r="BI14" s="109">
        <f t="shared" si="22"/>
        <v>0</v>
      </c>
      <c r="BJ14" s="49">
        <f t="shared" si="23"/>
        <v>6.6495732439268325E-16</v>
      </c>
      <c r="BK14" s="49">
        <f t="shared" si="23"/>
        <v>1.3048629403992983E-16</v>
      </c>
      <c r="BL14" s="49">
        <f t="shared" si="23"/>
        <v>1.3361796509688815E-16</v>
      </c>
      <c r="BM14" s="110">
        <f t="shared" si="23"/>
        <v>0</v>
      </c>
      <c r="BN14" s="48">
        <f t="shared" si="23"/>
        <v>1.8017571416199866E-16</v>
      </c>
      <c r="BO14" s="47">
        <f t="shared" si="23"/>
        <v>0</v>
      </c>
      <c r="BP14" s="47">
        <f t="shared" si="23"/>
        <v>1.3489966294726133E-6</v>
      </c>
      <c r="BQ14" s="47">
        <f t="shared" si="23"/>
        <v>1.475999450415093E-16</v>
      </c>
      <c r="BR14" s="47">
        <f t="shared" si="23"/>
        <v>1.4076227668906147E-16</v>
      </c>
      <c r="BS14" s="47">
        <f t="shared" si="23"/>
        <v>1.1531245706367916E-16</v>
      </c>
      <c r="BT14" s="47">
        <f t="shared" si="23"/>
        <v>1.3489966294650561E-6</v>
      </c>
      <c r="BU14" s="47">
        <f t="shared" si="23"/>
        <v>0</v>
      </c>
      <c r="BV14" s="50">
        <f t="shared" si="23"/>
        <v>1.0665265020813776E-15</v>
      </c>
    </row>
    <row r="15" spans="2:77" ht="15.75" thickTop="1" x14ac:dyDescent="0.25"/>
    <row r="16" spans="2:77" ht="15.75" thickBot="1" x14ac:dyDescent="0.3"/>
    <row r="17" spans="2:74" ht="30.75" customHeight="1" thickTop="1" thickBot="1" x14ac:dyDescent="0.3">
      <c r="B17" s="343" t="s">
        <v>46</v>
      </c>
      <c r="C17" s="344"/>
      <c r="D17" s="344"/>
      <c r="E17" s="357"/>
      <c r="F17" s="346" t="s">
        <v>52</v>
      </c>
      <c r="G17" s="347"/>
      <c r="H17" s="347"/>
      <c r="I17" s="347"/>
      <c r="J17" s="347"/>
      <c r="K17" s="348"/>
    </row>
    <row r="18" spans="2:74" ht="16.5" customHeight="1" thickTop="1" thickBot="1" x14ac:dyDescent="0.3">
      <c r="B18" s="337" t="s">
        <v>54</v>
      </c>
      <c r="C18" s="338"/>
      <c r="D18" s="338"/>
      <c r="E18" s="338"/>
      <c r="F18" s="338"/>
      <c r="G18" s="339"/>
      <c r="H18" s="311" t="s">
        <v>31</v>
      </c>
      <c r="I18" s="312"/>
      <c r="J18" s="312"/>
      <c r="K18" s="313"/>
      <c r="L18" s="165" t="s">
        <v>89</v>
      </c>
      <c r="M18" s="340" t="s">
        <v>21</v>
      </c>
      <c r="N18" s="341"/>
      <c r="O18" s="341"/>
      <c r="P18" s="341"/>
      <c r="Q18" s="341"/>
      <c r="R18" s="341"/>
      <c r="S18" s="294" t="s">
        <v>22</v>
      </c>
      <c r="T18" s="295"/>
      <c r="U18" s="295"/>
      <c r="V18" s="295"/>
      <c r="W18" s="296"/>
      <c r="X18" s="304" t="s">
        <v>44</v>
      </c>
      <c r="Y18" s="305"/>
      <c r="Z18" s="305"/>
      <c r="AA18" s="305"/>
      <c r="AB18" s="305"/>
      <c r="AC18" s="305"/>
      <c r="AD18" s="305"/>
      <c r="AE18" s="305"/>
      <c r="AF18" s="403"/>
      <c r="AG18" s="165" t="s">
        <v>89</v>
      </c>
      <c r="AH18" s="405" t="s">
        <v>21</v>
      </c>
      <c r="AI18" s="301"/>
      <c r="AJ18" s="301"/>
      <c r="AK18" s="301"/>
      <c r="AL18" s="301"/>
      <c r="AM18" s="301"/>
      <c r="AN18" s="407" t="s">
        <v>22</v>
      </c>
      <c r="AO18" s="408"/>
      <c r="AP18" s="408"/>
      <c r="AQ18" s="408"/>
      <c r="AR18" s="409"/>
      <c r="AS18" s="304" t="s">
        <v>45</v>
      </c>
      <c r="AT18" s="305"/>
      <c r="AU18" s="305"/>
      <c r="AV18" s="305"/>
      <c r="AW18" s="305"/>
      <c r="AX18" s="305"/>
      <c r="AY18" s="305"/>
      <c r="AZ18" s="305"/>
      <c r="BA18" s="305"/>
      <c r="BB18" s="245" t="s">
        <v>89</v>
      </c>
      <c r="BC18" s="322" t="s">
        <v>21</v>
      </c>
      <c r="BD18" s="323"/>
      <c r="BE18" s="323"/>
      <c r="BF18" s="323"/>
      <c r="BG18" s="323"/>
      <c r="BH18" s="323"/>
      <c r="BI18" s="322" t="s">
        <v>22</v>
      </c>
      <c r="BJ18" s="323"/>
      <c r="BK18" s="323"/>
      <c r="BL18" s="323"/>
      <c r="BM18" s="324"/>
      <c r="BN18" s="328" t="s">
        <v>45</v>
      </c>
      <c r="BO18" s="323"/>
      <c r="BP18" s="323"/>
      <c r="BQ18" s="323"/>
      <c r="BR18" s="323"/>
      <c r="BS18" s="323"/>
      <c r="BT18" s="323"/>
      <c r="BU18" s="323"/>
      <c r="BV18" s="329"/>
    </row>
    <row r="19" spans="2:74" s="18" customFormat="1" ht="15" customHeight="1" thickBot="1" x14ac:dyDescent="0.3">
      <c r="B19" s="377" t="s">
        <v>0</v>
      </c>
      <c r="C19" s="396" t="s">
        <v>18</v>
      </c>
      <c r="D19" s="396" t="s">
        <v>95</v>
      </c>
      <c r="E19" s="396" t="s">
        <v>96</v>
      </c>
      <c r="F19" s="379" t="s">
        <v>20</v>
      </c>
      <c r="G19" s="335" t="s">
        <v>1</v>
      </c>
      <c r="H19" s="314"/>
      <c r="I19" s="315"/>
      <c r="J19" s="315"/>
      <c r="K19" s="316"/>
      <c r="L19" s="399" t="s">
        <v>95</v>
      </c>
      <c r="M19" s="342"/>
      <c r="N19" s="342"/>
      <c r="O19" s="342"/>
      <c r="P19" s="342"/>
      <c r="Q19" s="342"/>
      <c r="R19" s="342"/>
      <c r="S19" s="297"/>
      <c r="T19" s="298"/>
      <c r="U19" s="298"/>
      <c r="V19" s="298"/>
      <c r="W19" s="299"/>
      <c r="X19" s="307"/>
      <c r="Y19" s="307"/>
      <c r="Z19" s="307"/>
      <c r="AA19" s="307"/>
      <c r="AB19" s="307"/>
      <c r="AC19" s="307"/>
      <c r="AD19" s="307"/>
      <c r="AE19" s="307"/>
      <c r="AF19" s="404"/>
      <c r="AG19" s="399" t="s">
        <v>95</v>
      </c>
      <c r="AH19" s="406"/>
      <c r="AI19" s="303"/>
      <c r="AJ19" s="303"/>
      <c r="AK19" s="303"/>
      <c r="AL19" s="303"/>
      <c r="AM19" s="303"/>
      <c r="AN19" s="410"/>
      <c r="AO19" s="411"/>
      <c r="AP19" s="411"/>
      <c r="AQ19" s="411"/>
      <c r="AR19" s="412"/>
      <c r="AS19" s="307"/>
      <c r="AT19" s="307"/>
      <c r="AU19" s="307"/>
      <c r="AV19" s="307"/>
      <c r="AW19" s="307"/>
      <c r="AX19" s="307"/>
      <c r="AY19" s="307"/>
      <c r="AZ19" s="307"/>
      <c r="BA19" s="307"/>
      <c r="BB19" s="401" t="s">
        <v>95</v>
      </c>
      <c r="BC19" s="325"/>
      <c r="BD19" s="326"/>
      <c r="BE19" s="326"/>
      <c r="BF19" s="326"/>
      <c r="BG19" s="326"/>
      <c r="BH19" s="326"/>
      <c r="BI19" s="325"/>
      <c r="BJ19" s="326"/>
      <c r="BK19" s="326"/>
      <c r="BL19" s="326"/>
      <c r="BM19" s="327"/>
      <c r="BN19" s="326"/>
      <c r="BO19" s="326"/>
      <c r="BP19" s="326"/>
      <c r="BQ19" s="326"/>
      <c r="BR19" s="326"/>
      <c r="BS19" s="326"/>
      <c r="BT19" s="326"/>
      <c r="BU19" s="326"/>
      <c r="BV19" s="330"/>
    </row>
    <row r="20" spans="2:74" s="18" customFormat="1" ht="18" thickBot="1" x14ac:dyDescent="0.3">
      <c r="B20" s="378"/>
      <c r="C20" s="397"/>
      <c r="D20" s="397"/>
      <c r="E20" s="397"/>
      <c r="F20" s="380"/>
      <c r="G20" s="398"/>
      <c r="H20" s="19" t="s">
        <v>29</v>
      </c>
      <c r="I20" s="20" t="s">
        <v>28</v>
      </c>
      <c r="J20" s="20" t="s">
        <v>30</v>
      </c>
      <c r="K20" s="21" t="s">
        <v>27</v>
      </c>
      <c r="L20" s="400"/>
      <c r="M20" s="29" t="s">
        <v>32</v>
      </c>
      <c r="N20" s="24" t="s">
        <v>34</v>
      </c>
      <c r="O20" s="24" t="s">
        <v>33</v>
      </c>
      <c r="P20" s="24" t="s">
        <v>35</v>
      </c>
      <c r="Q20" s="24" t="s">
        <v>37</v>
      </c>
      <c r="R20" s="30" t="s">
        <v>36</v>
      </c>
      <c r="S20" s="111" t="s">
        <v>38</v>
      </c>
      <c r="T20" s="22" t="s">
        <v>39</v>
      </c>
      <c r="U20" s="22" t="s">
        <v>40</v>
      </c>
      <c r="V20" s="22" t="s">
        <v>41</v>
      </c>
      <c r="W20" s="112" t="s">
        <v>42</v>
      </c>
      <c r="X20" s="25" t="s">
        <v>11</v>
      </c>
      <c r="Y20" s="23" t="s">
        <v>13</v>
      </c>
      <c r="Z20" s="23" t="s">
        <v>23</v>
      </c>
      <c r="AA20" s="23" t="s">
        <v>24</v>
      </c>
      <c r="AB20" s="23" t="s">
        <v>12</v>
      </c>
      <c r="AC20" s="23" t="s">
        <v>25</v>
      </c>
      <c r="AD20" s="23" t="s">
        <v>26</v>
      </c>
      <c r="AE20" s="23" t="s">
        <v>10</v>
      </c>
      <c r="AF20" s="25" t="s">
        <v>9</v>
      </c>
      <c r="AG20" s="400"/>
      <c r="AH20" s="31" t="s">
        <v>32</v>
      </c>
      <c r="AI20" s="24" t="s">
        <v>34</v>
      </c>
      <c r="AJ20" s="24" t="s">
        <v>33</v>
      </c>
      <c r="AK20" s="24" t="s">
        <v>35</v>
      </c>
      <c r="AL20" s="24" t="s">
        <v>37</v>
      </c>
      <c r="AM20" s="30" t="s">
        <v>36</v>
      </c>
      <c r="AN20" s="111" t="s">
        <v>38</v>
      </c>
      <c r="AO20" s="22" t="s">
        <v>39</v>
      </c>
      <c r="AP20" s="22" t="s">
        <v>40</v>
      </c>
      <c r="AQ20" s="22" t="s">
        <v>41</v>
      </c>
      <c r="AR20" s="112" t="s">
        <v>42</v>
      </c>
      <c r="AS20" s="26" t="s">
        <v>11</v>
      </c>
      <c r="AT20" s="27" t="s">
        <v>13</v>
      </c>
      <c r="AU20" s="27" t="s">
        <v>23</v>
      </c>
      <c r="AV20" s="27" t="s">
        <v>24</v>
      </c>
      <c r="AW20" s="27" t="s">
        <v>12</v>
      </c>
      <c r="AX20" s="27" t="s">
        <v>25</v>
      </c>
      <c r="AY20" s="27" t="s">
        <v>26</v>
      </c>
      <c r="AZ20" s="27" t="s">
        <v>10</v>
      </c>
      <c r="BA20" s="28" t="s">
        <v>9</v>
      </c>
      <c r="BB20" s="402"/>
      <c r="BC20" s="32" t="s">
        <v>32</v>
      </c>
      <c r="BD20" s="33" t="s">
        <v>34</v>
      </c>
      <c r="BE20" s="33" t="s">
        <v>33</v>
      </c>
      <c r="BF20" s="33" t="s">
        <v>35</v>
      </c>
      <c r="BG20" s="33" t="s">
        <v>37</v>
      </c>
      <c r="BH20" s="34" t="s">
        <v>36</v>
      </c>
      <c r="BI20" s="103" t="s">
        <v>38</v>
      </c>
      <c r="BJ20" s="33" t="s">
        <v>39</v>
      </c>
      <c r="BK20" s="33" t="s">
        <v>40</v>
      </c>
      <c r="BL20" s="33" t="s">
        <v>41</v>
      </c>
      <c r="BM20" s="104" t="s">
        <v>42</v>
      </c>
      <c r="BN20" s="34" t="s">
        <v>11</v>
      </c>
      <c r="BO20" s="33" t="s">
        <v>13</v>
      </c>
      <c r="BP20" s="33" t="s">
        <v>23</v>
      </c>
      <c r="BQ20" s="33" t="s">
        <v>24</v>
      </c>
      <c r="BR20" s="33" t="s">
        <v>12</v>
      </c>
      <c r="BS20" s="33" t="s">
        <v>25</v>
      </c>
      <c r="BT20" s="33" t="s">
        <v>26</v>
      </c>
      <c r="BU20" s="33" t="s">
        <v>10</v>
      </c>
      <c r="BV20" s="35" t="s">
        <v>9</v>
      </c>
    </row>
    <row r="21" spans="2:74" x14ac:dyDescent="0.25">
      <c r="B21" s="84">
        <v>77</v>
      </c>
      <c r="C21" s="85">
        <v>88</v>
      </c>
      <c r="D21" s="209">
        <f>B21*((F21*(E21/(C21-E21)))/(F21+(F21*(E21/(C21-E21)))))</f>
        <v>20.125000000000004</v>
      </c>
      <c r="E21" s="85">
        <v>23</v>
      </c>
      <c r="F21" s="92">
        <v>344</v>
      </c>
      <c r="G21" s="96" t="s">
        <v>2</v>
      </c>
      <c r="H21" s="10">
        <v>667</v>
      </c>
      <c r="I21" s="53"/>
      <c r="J21" s="53"/>
      <c r="K21" s="177"/>
      <c r="L21" s="166">
        <f>B21*((F21*(E21/(C21-E21)))/(F21+(F21*(E21/(C21-E21)))))</f>
        <v>20.125000000000004</v>
      </c>
      <c r="M21" s="78">
        <f>Q21*100000</f>
        <v>103313.23333333334</v>
      </c>
      <c r="N21" s="65">
        <f>Q21*10000</f>
        <v>10331.323333333334</v>
      </c>
      <c r="O21" s="65">
        <f>Q21*10</f>
        <v>10.331323333333334</v>
      </c>
      <c r="P21" s="65">
        <f>Q21*1000000</f>
        <v>1033132.3333333334</v>
      </c>
      <c r="Q21" s="65">
        <f>((F21/3)*((B21*C21)+SQRT((B21*C21)*(D21*E21))+(D21*E21)))/100^3</f>
        <v>1.0331323333333333</v>
      </c>
      <c r="R21" s="66">
        <f>Q21*1000</f>
        <v>1033.1323333333332</v>
      </c>
      <c r="S21" s="113">
        <f>V21/0.45359237</f>
        <v>1519.2038312578609</v>
      </c>
      <c r="T21" s="67">
        <f>V21*1000/31.1034768</f>
        <v>22155.055872510475</v>
      </c>
      <c r="U21" s="67">
        <f>V21/1000</f>
        <v>0.68909926633333329</v>
      </c>
      <c r="V21" s="67">
        <f>Q21*H21</f>
        <v>689.09926633333328</v>
      </c>
      <c r="W21" s="114">
        <f>V21*1000</f>
        <v>689099.26633333333</v>
      </c>
      <c r="X21" s="80">
        <f>AC21/100</f>
        <v>7.9112904481423371E-2</v>
      </c>
      <c r="Y21" s="68">
        <f>AC21/4046.8564224</f>
        <v>1.9549224440857534E-3</v>
      </c>
      <c r="Z21" s="68">
        <f>AC21*10000</f>
        <v>79112.904481423364</v>
      </c>
      <c r="AA21" s="68">
        <f>AC21*100</f>
        <v>791.12904481423368</v>
      </c>
      <c r="AB21" s="68">
        <f>AC21/10000</f>
        <v>7.9112904481423371E-4</v>
      </c>
      <c r="AC21" s="68">
        <f>((B21*C21)+(D21*E21)+(2*(((B21+D21)/2)*(SQRT(F21^2+((C21-E21)/2)^2)))+2*(((C21+E21)/2)*(SQRT(F21^2+((B21-D21)/2)^2)))))/100^2</f>
        <v>7.9112904481423367</v>
      </c>
      <c r="AD21" s="68">
        <f>AC21*1000000</f>
        <v>7911290.4481423367</v>
      </c>
      <c r="AE21" s="68">
        <f>AC21/144*10000/(2.54*2.54)</f>
        <v>85.156421664375429</v>
      </c>
      <c r="AF21" s="80">
        <f>AC21*10000/(2.54 *2.54)</f>
        <v>12262.52471967006</v>
      </c>
      <c r="AG21" s="166">
        <v>20.125</v>
      </c>
      <c r="AH21" s="215">
        <v>103313</v>
      </c>
      <c r="AI21" s="65">
        <v>10331.299999999999</v>
      </c>
      <c r="AJ21" s="65">
        <v>10.331300000000001</v>
      </c>
      <c r="AK21" s="65">
        <v>1033132</v>
      </c>
      <c r="AL21" s="65">
        <v>1.0331300000000001</v>
      </c>
      <c r="AM21" s="66">
        <v>1033.1300000000001</v>
      </c>
      <c r="AN21" s="113">
        <v>1519.2</v>
      </c>
      <c r="AO21" s="67">
        <v>22155.1</v>
      </c>
      <c r="AP21" s="67">
        <v>0.68909900000000002</v>
      </c>
      <c r="AQ21" s="67">
        <v>689.09900000000005</v>
      </c>
      <c r="AR21" s="114">
        <v>689099</v>
      </c>
      <c r="AS21" s="121">
        <v>7.91129E-2</v>
      </c>
      <c r="AT21" s="121">
        <v>1.9549200000000002E-3</v>
      </c>
      <c r="AU21" s="68">
        <v>79112.899999999994</v>
      </c>
      <c r="AV21" s="68">
        <v>791.12900000000002</v>
      </c>
      <c r="AW21" s="68">
        <v>7.9112900000000001E-4</v>
      </c>
      <c r="AX21" s="68">
        <v>7.9112900000000002</v>
      </c>
      <c r="AY21" s="68">
        <v>7911290</v>
      </c>
      <c r="AZ21" s="68">
        <v>85.156400000000005</v>
      </c>
      <c r="BA21" s="216">
        <v>12262.5</v>
      </c>
      <c r="BB21" s="246">
        <f t="shared" ref="BB21:BV21" si="24">(L21-AG21)/L21</f>
        <v>1.7653235671058386E-16</v>
      </c>
      <c r="BC21" s="36">
        <f t="shared" si="24"/>
        <v>2.258503831589311E-6</v>
      </c>
      <c r="BD21" s="37">
        <f t="shared" si="24"/>
        <v>2.2585038316597371E-6</v>
      </c>
      <c r="BE21" s="37">
        <f t="shared" si="24"/>
        <v>2.2585038315235613E-6</v>
      </c>
      <c r="BF21" s="37">
        <f t="shared" si="24"/>
        <v>3.2264340454495352E-7</v>
      </c>
      <c r="BG21" s="37">
        <f t="shared" si="24"/>
        <v>2.2585038314375921E-6</v>
      </c>
      <c r="BH21" s="38">
        <f t="shared" si="24"/>
        <v>2.2585038313516225E-6</v>
      </c>
      <c r="BI21" s="105">
        <f t="shared" si="24"/>
        <v>2.5218853336264935E-6</v>
      </c>
      <c r="BJ21" s="39">
        <f t="shared" si="24"/>
        <v>-1.9917570859556749E-6</v>
      </c>
      <c r="BK21" s="39">
        <f t="shared" si="24"/>
        <v>3.8649487278307789E-7</v>
      </c>
      <c r="BL21" s="39">
        <f t="shared" si="24"/>
        <v>3.8649487271476632E-7</v>
      </c>
      <c r="BM21" s="106">
        <f t="shared" si="24"/>
        <v>3.8649487286522706E-7</v>
      </c>
      <c r="BN21" s="38">
        <f t="shared" si="24"/>
        <v>5.6645921429106297E-8</v>
      </c>
      <c r="BO21" s="37">
        <f t="shared" si="24"/>
        <v>1.2502213377427345E-6</v>
      </c>
      <c r="BP21" s="37">
        <f t="shared" si="24"/>
        <v>5.6645921409414633E-8</v>
      </c>
      <c r="BQ21" s="37">
        <f t="shared" si="24"/>
        <v>5.6645921363429989E-8</v>
      </c>
      <c r="BR21" s="37">
        <f t="shared" si="24"/>
        <v>5.6645921418142706E-8</v>
      </c>
      <c r="BS21" s="37">
        <f t="shared" si="24"/>
        <v>5.6645921358939298E-8</v>
      </c>
      <c r="BT21" s="37">
        <f t="shared" si="24"/>
        <v>5.6645921372626921E-8</v>
      </c>
      <c r="BU21" s="37">
        <f t="shared" si="24"/>
        <v>2.5440683157947563E-7</v>
      </c>
      <c r="BV21" s="40">
        <f t="shared" si="24"/>
        <v>2.0158711705240748E-6</v>
      </c>
    </row>
    <row r="22" spans="2:74" x14ac:dyDescent="0.25">
      <c r="B22" s="86">
        <v>67</v>
      </c>
      <c r="C22" s="87">
        <v>346</v>
      </c>
      <c r="D22" s="211">
        <f t="shared" ref="D22:D28" si="25">B22*((F22*(E22/(C22-E22)))/(F22+(F22*(E22/(C22-E22)))))</f>
        <v>1.1618497109826591</v>
      </c>
      <c r="E22" s="87">
        <v>6</v>
      </c>
      <c r="F22" s="93">
        <v>88</v>
      </c>
      <c r="G22" s="97" t="s">
        <v>3</v>
      </c>
      <c r="H22" s="59"/>
      <c r="I22" s="4">
        <v>12.6</v>
      </c>
      <c r="J22" s="58"/>
      <c r="K22" s="221"/>
      <c r="L22" s="167">
        <f t="shared" ref="L22:L28" si="26">B22*((F22*(E22/(C22-E22)))/(F22+(F22*(E22/(C22-E22)))))</f>
        <v>1.1618497109826591</v>
      </c>
      <c r="M22" s="69">
        <f t="shared" ref="M22:M28" si="27">Q22*100000</f>
        <v>1959530934.6679766</v>
      </c>
      <c r="N22" s="70">
        <f t="shared" ref="N22:N28" si="28">Q22*10000</f>
        <v>195953093.46679765</v>
      </c>
      <c r="O22" s="70">
        <f t="shared" ref="O22:O28" si="29">Q22*10</f>
        <v>195953.09346679767</v>
      </c>
      <c r="P22" s="70">
        <f t="shared" ref="P22:P28" si="30">Q22*1000000</f>
        <v>19595309346.679764</v>
      </c>
      <c r="Q22" s="70">
        <f>((F22/3)*((B22*C22)+SQRT((B22*C22)*(D22*E22))+(D22*E22)))*0.3048^3</f>
        <v>19595.309346679765</v>
      </c>
      <c r="R22" s="71">
        <f t="shared" ref="R22:R28" si="31">Q22*1000</f>
        <v>19595309.346679766</v>
      </c>
      <c r="S22" s="115">
        <f t="shared" ref="S22:S28" si="32">V22/0.45359237</f>
        <v>544323304.57446861</v>
      </c>
      <c r="T22" s="72">
        <f t="shared" ref="T22:T28" si="33">V22*1000/31.1034768</f>
        <v>7938048191.7110004</v>
      </c>
      <c r="U22" s="72">
        <f t="shared" ref="U22:U28" si="34">V22/1000</f>
        <v>246900.89776816504</v>
      </c>
      <c r="V22" s="72">
        <f>Q22*1000*I22</f>
        <v>246900897.76816505</v>
      </c>
      <c r="W22" s="116">
        <f t="shared" ref="W22:W28" si="35">V22*1000</f>
        <v>246900897768.16504</v>
      </c>
      <c r="X22" s="81">
        <f t="shared" ref="X22:X28" si="36">AC22/100</f>
        <v>64.390472769773282</v>
      </c>
      <c r="Y22" s="73">
        <f t="shared" ref="Y22:Y28" si="37">AC22/4046.8564224</f>
        <v>1.5911232336625947</v>
      </c>
      <c r="Z22" s="73">
        <f t="shared" ref="Z22:Z28" si="38">AC22*10000</f>
        <v>64390472.769773275</v>
      </c>
      <c r="AA22" s="73">
        <f t="shared" ref="AA22:AA28" si="39">AC22*100</f>
        <v>643904.72769773274</v>
      </c>
      <c r="AB22" s="73">
        <f t="shared" ref="AB22:AB28" si="40">AC22/10000</f>
        <v>0.64390472769773277</v>
      </c>
      <c r="AC22" s="73">
        <f>((B22*C22)+(D22*E22)+(2*(((B22+D22)/2)*(SQRT(F22^2+((C22-E22)/2)^2)))+2*(((C22+E22)/2)*(SQRT(F22^2+((B22-D22)/2)^2)))))*0.3048^2</f>
        <v>6439.0472769773278</v>
      </c>
      <c r="AD22" s="73">
        <f t="shared" ref="AD22:AD28" si="41">AC22*1000000</f>
        <v>6439047276.9773273</v>
      </c>
      <c r="AE22" s="73">
        <f t="shared" ref="AE22:AE28" si="42">AC22/144*10000/(2.54*2.54)</f>
        <v>69309.328058342624</v>
      </c>
      <c r="AF22" s="81">
        <f t="shared" ref="AF22:AF28" si="43">AC22*10000/(2.54 *2.54)</f>
        <v>9980543.2404013388</v>
      </c>
      <c r="AG22" s="167">
        <v>1.1617999999999999</v>
      </c>
      <c r="AH22" s="217">
        <v>1959530935</v>
      </c>
      <c r="AI22" s="69">
        <v>195953093</v>
      </c>
      <c r="AJ22" s="70">
        <v>195953</v>
      </c>
      <c r="AK22" s="70">
        <v>19595309347</v>
      </c>
      <c r="AL22" s="70">
        <v>19595.3</v>
      </c>
      <c r="AM22" s="71">
        <v>19595309</v>
      </c>
      <c r="AN22" s="115">
        <v>544323305</v>
      </c>
      <c r="AO22" s="72">
        <v>7938048192</v>
      </c>
      <c r="AP22" s="72">
        <v>246901</v>
      </c>
      <c r="AQ22" s="72">
        <v>246900898</v>
      </c>
      <c r="AR22" s="116">
        <v>246900897768</v>
      </c>
      <c r="AS22" s="123">
        <v>64.390500000000003</v>
      </c>
      <c r="AT22" s="123">
        <v>1.5911200000000001</v>
      </c>
      <c r="AU22" s="73">
        <v>64390473</v>
      </c>
      <c r="AV22" s="73">
        <v>643905</v>
      </c>
      <c r="AW22" s="73">
        <v>0.64390499999999995</v>
      </c>
      <c r="AX22" s="73">
        <v>6439.05</v>
      </c>
      <c r="AY22" s="73">
        <v>6439047277</v>
      </c>
      <c r="AZ22" s="73">
        <v>69309.3</v>
      </c>
      <c r="BA22" s="218">
        <v>9980543</v>
      </c>
      <c r="BB22" s="247">
        <f t="shared" ref="BB22:BB28" si="44">(L22-AG22)/L22</f>
        <v>4.2786069651911117E-5</v>
      </c>
      <c r="BC22" s="41">
        <f t="shared" ref="BC22:BH28" si="45">(M22-AH22)/M22</f>
        <v>-1.6944023506480022E-10</v>
      </c>
      <c r="BD22" s="42">
        <f t="shared" si="45"/>
        <v>2.382190766176786E-9</v>
      </c>
      <c r="BE22" s="42">
        <f t="shared" si="45"/>
        <v>4.7698556840997019E-7</v>
      </c>
      <c r="BF22" s="42">
        <f t="shared" si="45"/>
        <v>-1.6342493011417981E-11</v>
      </c>
      <c r="BG22" s="42">
        <f t="shared" si="45"/>
        <v>4.7698556837283902E-7</v>
      </c>
      <c r="BH22" s="43">
        <f t="shared" si="45"/>
        <v>1.769197717666232E-8</v>
      </c>
      <c r="BI22" s="107">
        <f t="shared" ref="BI22:BI28" si="46">(S22-AN22)/S22</f>
        <v>-7.817622059407615E-10</v>
      </c>
      <c r="BJ22" s="44">
        <f t="shared" ref="BJ22:BV28" si="47">(T22-AO22)/T22</f>
        <v>-3.6406878682960601E-11</v>
      </c>
      <c r="BK22" s="44">
        <f t="shared" si="47"/>
        <v>-4.1406019937968831E-7</v>
      </c>
      <c r="BL22" s="44">
        <f t="shared" si="47"/>
        <v>-9.3897976944816569E-10</v>
      </c>
      <c r="BM22" s="108">
        <f t="shared" si="47"/>
        <v>6.6844253703349576E-13</v>
      </c>
      <c r="BN22" s="43">
        <f t="shared" si="47"/>
        <v>-4.2289216943532986E-7</v>
      </c>
      <c r="BO22" s="42">
        <f t="shared" si="47"/>
        <v>2.0323143589187269E-6</v>
      </c>
      <c r="BP22" s="42">
        <f t="shared" si="47"/>
        <v>-3.5754781015983553E-9</v>
      </c>
      <c r="BQ22" s="42">
        <f t="shared" si="47"/>
        <v>-4.2289216951654682E-7</v>
      </c>
      <c r="BR22" s="42">
        <f t="shared" si="47"/>
        <v>-4.2289216939394902E-7</v>
      </c>
      <c r="BS22" s="42">
        <f t="shared" si="47"/>
        <v>-4.2289216948829742E-7</v>
      </c>
      <c r="BT22" s="42">
        <f t="shared" si="47"/>
        <v>-3.5211192313042587E-12</v>
      </c>
      <c r="BU22" s="42">
        <f t="shared" si="47"/>
        <v>4.0482779745694448E-7</v>
      </c>
      <c r="BV22" s="45">
        <f t="shared" si="47"/>
        <v>2.4086999374216399E-8</v>
      </c>
    </row>
    <row r="23" spans="2:74" x14ac:dyDescent="0.25">
      <c r="B23" s="86">
        <v>45</v>
      </c>
      <c r="C23" s="87">
        <v>34</v>
      </c>
      <c r="D23" s="211">
        <f t="shared" si="25"/>
        <v>30.441176470588232</v>
      </c>
      <c r="E23" s="87">
        <v>23</v>
      </c>
      <c r="F23" s="93">
        <v>35</v>
      </c>
      <c r="G23" s="97" t="s">
        <v>4</v>
      </c>
      <c r="H23" s="59"/>
      <c r="I23" s="56"/>
      <c r="J23" s="5">
        <v>62.865000000000002</v>
      </c>
      <c r="K23" s="221"/>
      <c r="L23" s="167">
        <f t="shared" si="26"/>
        <v>30.441176470588232</v>
      </c>
      <c r="M23" s="69">
        <f t="shared" si="27"/>
        <v>62423.869459411762</v>
      </c>
      <c r="N23" s="70">
        <f t="shared" si="28"/>
        <v>6242.3869459411762</v>
      </c>
      <c r="O23" s="70">
        <f t="shared" si="29"/>
        <v>6.2423869459411758</v>
      </c>
      <c r="P23" s="70">
        <f t="shared" si="30"/>
        <v>624238.69459411758</v>
      </c>
      <c r="Q23" s="70">
        <f>((F23/3)*((B23*C23)+SQRT((B23*C23)*(D23*E23))+(D23*E23)))*(2.54/100)^3</f>
        <v>0.62423869459411763</v>
      </c>
      <c r="R23" s="71">
        <f t="shared" si="31"/>
        <v>624.23869459411765</v>
      </c>
      <c r="S23" s="115">
        <f t="shared" si="32"/>
        <v>1385.8451861213234</v>
      </c>
      <c r="T23" s="72">
        <f t="shared" si="33"/>
        <v>20210.242297602632</v>
      </c>
      <c r="U23" s="72">
        <f t="shared" si="34"/>
        <v>0.62860880242586226</v>
      </c>
      <c r="V23" s="72">
        <f>Q23*(0.45359237/0.3048^3)*J23</f>
        <v>628.60880242586222</v>
      </c>
      <c r="W23" s="116">
        <f t="shared" si="35"/>
        <v>628608.80242586217</v>
      </c>
      <c r="X23" s="81">
        <f t="shared" si="36"/>
        <v>4.4778509510806454E-2</v>
      </c>
      <c r="Y23" s="73">
        <f t="shared" si="37"/>
        <v>1.1065010674198919E-3</v>
      </c>
      <c r="Z23" s="73">
        <f t="shared" si="38"/>
        <v>44778.509510806456</v>
      </c>
      <c r="AA23" s="73">
        <f t="shared" si="39"/>
        <v>447.78509510806452</v>
      </c>
      <c r="AB23" s="73">
        <f t="shared" si="40"/>
        <v>4.4778509510806457E-4</v>
      </c>
      <c r="AC23" s="73">
        <f>((B23*C23)+(D23*E23)+(2*(((B23+D23)/2)*(SQRT(F23^2+((C23-E23)/2)^2)))+2*(((C23+E23)/2)*(SQRT(F23^2+((B23-D23)/2)^2)))))*(2.54/100)^2</f>
        <v>4.4778509510806455</v>
      </c>
      <c r="AD23" s="73">
        <f t="shared" si="41"/>
        <v>4477850.9510806454</v>
      </c>
      <c r="AE23" s="73">
        <f t="shared" si="42"/>
        <v>48.199186496810498</v>
      </c>
      <c r="AF23" s="81">
        <f t="shared" si="43"/>
        <v>6940.6828555407119</v>
      </c>
      <c r="AG23" s="167">
        <v>30.440999999999999</v>
      </c>
      <c r="AH23" s="217">
        <v>62423.9</v>
      </c>
      <c r="AI23" s="70">
        <v>6242.39</v>
      </c>
      <c r="AJ23" s="70">
        <v>6.2423900000000003</v>
      </c>
      <c r="AK23" s="70">
        <v>624239</v>
      </c>
      <c r="AL23" s="70">
        <v>0.62423899999999999</v>
      </c>
      <c r="AM23" s="71">
        <v>624.23900000000003</v>
      </c>
      <c r="AN23" s="115">
        <v>1385.85</v>
      </c>
      <c r="AO23" s="72">
        <v>20210.2</v>
      </c>
      <c r="AP23" s="72">
        <v>0.62860899999999997</v>
      </c>
      <c r="AQ23" s="72">
        <v>628.60900000000004</v>
      </c>
      <c r="AR23" s="116">
        <v>628609</v>
      </c>
      <c r="AS23" s="123">
        <v>4.4778499999999999E-2</v>
      </c>
      <c r="AT23" s="123">
        <v>1.1065000000000001E-3</v>
      </c>
      <c r="AU23" s="73">
        <v>44778.5</v>
      </c>
      <c r="AV23" s="73">
        <v>447.78500000000003</v>
      </c>
      <c r="AW23" s="73">
        <v>4.4778500000000002E-4</v>
      </c>
      <c r="AX23" s="73">
        <v>4.4778500000000001</v>
      </c>
      <c r="AY23" s="73">
        <v>4477851</v>
      </c>
      <c r="AZ23" s="73">
        <v>48.199199999999998</v>
      </c>
      <c r="BA23" s="218">
        <v>6940.68</v>
      </c>
      <c r="BB23" s="247">
        <f t="shared" si="44"/>
        <v>5.7971014492000662E-6</v>
      </c>
      <c r="BC23" s="41">
        <f t="shared" si="45"/>
        <v>-4.8924535604043344E-7</v>
      </c>
      <c r="BD23" s="42">
        <f t="shared" si="45"/>
        <v>-4.8924535606957275E-7</v>
      </c>
      <c r="BE23" s="42">
        <f t="shared" si="45"/>
        <v>-4.8924535613559156E-7</v>
      </c>
      <c r="BF23" s="42">
        <f t="shared" si="45"/>
        <v>-4.8924535608705646E-7</v>
      </c>
      <c r="BG23" s="42">
        <f t="shared" si="45"/>
        <v>-4.8924535599330972E-7</v>
      </c>
      <c r="BH23" s="43">
        <f t="shared" si="45"/>
        <v>-4.8924535603314864E-7</v>
      </c>
      <c r="BI23" s="107">
        <f t="shared" si="46"/>
        <v>-3.4736049341554725E-6</v>
      </c>
      <c r="BJ23" s="44">
        <f t="shared" si="47"/>
        <v>2.0928795413882334E-6</v>
      </c>
      <c r="BK23" s="44">
        <f t="shared" si="47"/>
        <v>-3.143038038195924E-7</v>
      </c>
      <c r="BL23" s="44">
        <f t="shared" si="47"/>
        <v>-3.1430380397501436E-7</v>
      </c>
      <c r="BM23" s="108">
        <f t="shared" si="47"/>
        <v>-3.1430380399382326E-7</v>
      </c>
      <c r="BN23" s="43">
        <f t="shared" si="47"/>
        <v>2.1239667328806383E-7</v>
      </c>
      <c r="BO23" s="42">
        <f t="shared" si="47"/>
        <v>9.6468039956905854E-7</v>
      </c>
      <c r="BP23" s="42">
        <f t="shared" si="47"/>
        <v>2.1239667331483105E-7</v>
      </c>
      <c r="BQ23" s="42">
        <f t="shared" si="47"/>
        <v>2.1239667317773205E-7</v>
      </c>
      <c r="BR23" s="42">
        <f t="shared" si="47"/>
        <v>2.1239667327837878E-7</v>
      </c>
      <c r="BS23" s="42">
        <f t="shared" si="47"/>
        <v>2.1239667325707174E-7</v>
      </c>
      <c r="BT23" s="42">
        <f t="shared" si="47"/>
        <v>-1.0924739367136782E-8</v>
      </c>
      <c r="BU23" s="42">
        <f t="shared" si="47"/>
        <v>-2.8015388809061331E-7</v>
      </c>
      <c r="BV23" s="45">
        <f t="shared" si="47"/>
        <v>4.1142071623799303E-7</v>
      </c>
    </row>
    <row r="24" spans="2:74" x14ac:dyDescent="0.25">
      <c r="B24" s="86">
        <v>99</v>
      </c>
      <c r="C24" s="87">
        <v>677</v>
      </c>
      <c r="D24" s="211">
        <f t="shared" si="25"/>
        <v>3.8020679468242244</v>
      </c>
      <c r="E24" s="87">
        <v>26</v>
      </c>
      <c r="F24" s="93">
        <v>256</v>
      </c>
      <c r="G24" s="97" t="s">
        <v>5</v>
      </c>
      <c r="H24" s="59"/>
      <c r="I24" s="56"/>
      <c r="J24" s="56"/>
      <c r="K24" s="222">
        <v>5.43</v>
      </c>
      <c r="L24" s="167">
        <f t="shared" si="26"/>
        <v>3.8020679468242244</v>
      </c>
      <c r="M24" s="69">
        <f t="shared" si="27"/>
        <v>594737952141.802</v>
      </c>
      <c r="N24" s="70">
        <f t="shared" si="28"/>
        <v>59473795214.180199</v>
      </c>
      <c r="O24" s="70">
        <f t="shared" si="29"/>
        <v>59473795.214180201</v>
      </c>
      <c r="P24" s="70">
        <f t="shared" si="30"/>
        <v>5947379521418.0205</v>
      </c>
      <c r="Q24" s="70">
        <f>(F24/3)*((B24*C24)+SQRT((B24*C24)*(D24*E24))+(D24*E24))</f>
        <v>5947379.5214180201</v>
      </c>
      <c r="R24" s="71">
        <f t="shared" si="31"/>
        <v>5947379521.4180202</v>
      </c>
      <c r="S24" s="115">
        <f t="shared" si="32"/>
        <v>71196679964.656036</v>
      </c>
      <c r="T24" s="72">
        <f t="shared" si="33"/>
        <v>1038284916151.2339</v>
      </c>
      <c r="U24" s="72">
        <f t="shared" si="34"/>
        <v>32294270.801299848</v>
      </c>
      <c r="V24" s="72">
        <f>Q24*1000*K24</f>
        <v>32294270801.299847</v>
      </c>
      <c r="W24" s="116">
        <f t="shared" si="35"/>
        <v>32294270801299.848</v>
      </c>
      <c r="X24" s="81">
        <f t="shared" si="36"/>
        <v>2927.4554150226677</v>
      </c>
      <c r="Y24" s="73">
        <f t="shared" si="37"/>
        <v>72.338998705729509</v>
      </c>
      <c r="Z24" s="73">
        <f t="shared" si="38"/>
        <v>2927455415.0226679</v>
      </c>
      <c r="AA24" s="73">
        <f t="shared" si="39"/>
        <v>29274554.150226679</v>
      </c>
      <c r="AB24" s="73">
        <f t="shared" si="40"/>
        <v>29.274554150226678</v>
      </c>
      <c r="AC24" s="73">
        <f>(B24*C24)+(D24*E24)+(2*(((B24+D24)/2)*(SQRT(F24^2+((C24-E24)/2)^2)))+2*(((C24+E24)/2)*(SQRT(F24^2+((B24-D24)/2)^2))))</f>
        <v>292745.54150226677</v>
      </c>
      <c r="AD24" s="73">
        <f t="shared" si="41"/>
        <v>292745541502.26678</v>
      </c>
      <c r="AE24" s="73">
        <f t="shared" si="42"/>
        <v>3151086.783621578</v>
      </c>
      <c r="AF24" s="81">
        <f t="shared" si="43"/>
        <v>453756496.8415072</v>
      </c>
      <c r="AG24" s="167">
        <v>3.8020999999999998</v>
      </c>
      <c r="AH24" s="217">
        <v>594737952142</v>
      </c>
      <c r="AI24" s="70">
        <v>59473795214</v>
      </c>
      <c r="AJ24" s="70">
        <v>59473795</v>
      </c>
      <c r="AK24" s="70">
        <v>5947379521418</v>
      </c>
      <c r="AL24" s="70">
        <v>5947380</v>
      </c>
      <c r="AM24" s="71">
        <v>5947379521</v>
      </c>
      <c r="AN24" s="115">
        <v>71196679965</v>
      </c>
      <c r="AO24" s="72">
        <v>1038284916151</v>
      </c>
      <c r="AP24" s="72">
        <v>32294271</v>
      </c>
      <c r="AQ24" s="72">
        <v>32294270801</v>
      </c>
      <c r="AR24" s="116">
        <v>32294270801300</v>
      </c>
      <c r="AS24" s="123">
        <v>2927.46</v>
      </c>
      <c r="AT24" s="123">
        <v>72.338999999999999</v>
      </c>
      <c r="AU24" s="73">
        <v>2927455415</v>
      </c>
      <c r="AV24" s="73">
        <v>29274554</v>
      </c>
      <c r="AW24" s="73">
        <v>29.2746</v>
      </c>
      <c r="AX24" s="73">
        <v>292746</v>
      </c>
      <c r="AY24" s="73">
        <v>292745541502</v>
      </c>
      <c r="AZ24" s="73">
        <v>3151087</v>
      </c>
      <c r="BA24" s="218">
        <v>453756497</v>
      </c>
      <c r="BB24" s="247">
        <f t="shared" si="44"/>
        <v>-8.4304584304296382E-6</v>
      </c>
      <c r="BC24" s="41">
        <f t="shared" si="45"/>
        <v>-3.3291644860052883E-13</v>
      </c>
      <c r="BD24" s="42">
        <f t="shared" si="45"/>
        <v>3.0298834769944092E-12</v>
      </c>
      <c r="BE24" s="42">
        <f t="shared" si="45"/>
        <v>3.6012533002261048E-9</v>
      </c>
      <c r="BF24" s="42">
        <f t="shared" si="45"/>
        <v>3.4482098252089295E-15</v>
      </c>
      <c r="BG24" s="42">
        <f t="shared" si="45"/>
        <v>-8.0469386247724951E-8</v>
      </c>
      <c r="BH24" s="43">
        <f t="shared" si="45"/>
        <v>7.0286459256163013E-11</v>
      </c>
      <c r="BI24" s="107">
        <f t="shared" si="46"/>
        <v>-4.8311750381847565E-12</v>
      </c>
      <c r="BJ24" s="44">
        <f t="shared" si="47"/>
        <v>2.2526256050890435E-13</v>
      </c>
      <c r="BK24" s="44">
        <f t="shared" si="47"/>
        <v>-6.1527988527783518E-9</v>
      </c>
      <c r="BL24" s="44">
        <f t="shared" si="47"/>
        <v>9.2848248847239185E-12</v>
      </c>
      <c r="BM24" s="108">
        <f t="shared" si="47"/>
        <v>-4.7173615077838557E-15</v>
      </c>
      <c r="BN24" s="43">
        <f t="shared" si="47"/>
        <v>-1.566198859533111E-6</v>
      </c>
      <c r="BO24" s="42">
        <f t="shared" si="47"/>
        <v>-1.7891739076432199E-8</v>
      </c>
      <c r="BP24" s="42">
        <f t="shared" si="47"/>
        <v>7.7432041186132411E-12</v>
      </c>
      <c r="BQ24" s="42">
        <f t="shared" si="47"/>
        <v>5.1316470245232326E-9</v>
      </c>
      <c r="BR24" s="42">
        <f t="shared" si="47"/>
        <v>-1.5661988594845676E-6</v>
      </c>
      <c r="BS24" s="42">
        <f t="shared" si="47"/>
        <v>-1.5661988595082567E-6</v>
      </c>
      <c r="BT24" s="42">
        <f t="shared" si="47"/>
        <v>9.1131932052561852E-13</v>
      </c>
      <c r="BU24" s="42">
        <f t="shared" si="47"/>
        <v>-6.8667871387424054E-8</v>
      </c>
      <c r="BV24" s="45">
        <f t="shared" si="47"/>
        <v>-3.4929043369481148E-10</v>
      </c>
    </row>
    <row r="25" spans="2:74" x14ac:dyDescent="0.25">
      <c r="B25" s="86">
        <v>234</v>
      </c>
      <c r="C25" s="87">
        <v>45</v>
      </c>
      <c r="D25" s="211">
        <f t="shared" si="25"/>
        <v>119.60000000000002</v>
      </c>
      <c r="E25" s="87">
        <v>23</v>
      </c>
      <c r="F25" s="93">
        <v>255</v>
      </c>
      <c r="G25" s="97" t="s">
        <v>6</v>
      </c>
      <c r="H25" s="11">
        <v>23</v>
      </c>
      <c r="I25" s="58"/>
      <c r="J25" s="58"/>
      <c r="K25" s="221"/>
      <c r="L25" s="167">
        <f t="shared" si="26"/>
        <v>119.60000000000002</v>
      </c>
      <c r="M25" s="69">
        <f t="shared" si="27"/>
        <v>6.6121452206057587E+20</v>
      </c>
      <c r="N25" s="70">
        <f t="shared" si="28"/>
        <v>6.6121452206057587E+19</v>
      </c>
      <c r="O25" s="70">
        <f t="shared" si="29"/>
        <v>6.6121452206057592E+16</v>
      </c>
      <c r="P25" s="70">
        <f t="shared" si="30"/>
        <v>6.6121452206057587E+21</v>
      </c>
      <c r="Q25" s="70">
        <f>((F25/3)*((B25*C25)+SQRT((B25*C25)*(D25*E25))+(D25*E25)))*(63360*2.54/100)^3</f>
        <v>6612145220605759</v>
      </c>
      <c r="R25" s="71">
        <f t="shared" si="31"/>
        <v>6.6121452206057595E+18</v>
      </c>
      <c r="S25" s="115">
        <f t="shared" si="32"/>
        <v>3.3527755344282451E+17</v>
      </c>
      <c r="T25" s="72">
        <f t="shared" si="33"/>
        <v>4.8894643210411919E+18</v>
      </c>
      <c r="U25" s="72">
        <f t="shared" si="34"/>
        <v>152079340073932.44</v>
      </c>
      <c r="V25" s="72">
        <f>Q25*H25</f>
        <v>1.5207934007393245E+17</v>
      </c>
      <c r="W25" s="116">
        <f t="shared" si="35"/>
        <v>1.5207934007393246E+20</v>
      </c>
      <c r="X25" s="81">
        <f t="shared" si="36"/>
        <v>3141747417.2402859</v>
      </c>
      <c r="Y25" s="73">
        <f t="shared" si="37"/>
        <v>77634269.401064217</v>
      </c>
      <c r="Z25" s="73">
        <f t="shared" si="38"/>
        <v>3141747417240285.5</v>
      </c>
      <c r="AA25" s="73">
        <f t="shared" si="39"/>
        <v>31417474172402.855</v>
      </c>
      <c r="AB25" s="73">
        <f t="shared" si="40"/>
        <v>31417474.172402855</v>
      </c>
      <c r="AC25" s="73">
        <f>((B25*C25)+(D25*E25)+(2*(((B25+D25)/2)*(SQRT(F25^2+((C25-E25)/2)^2)))+2*(((C25+E25)/2)*(SQRT(F25^2+((B25-D25)/2)^2)))))*(63360*2.54/100)^2</f>
        <v>314174741724.02856</v>
      </c>
      <c r="AD25" s="73">
        <f t="shared" si="41"/>
        <v>3.1417474172402854E+17</v>
      </c>
      <c r="AE25" s="73">
        <f t="shared" si="42"/>
        <v>3381748775110.3579</v>
      </c>
      <c r="AF25" s="81">
        <f t="shared" si="43"/>
        <v>486971823615891.5</v>
      </c>
      <c r="AG25" s="167">
        <v>119.6</v>
      </c>
      <c r="AH25" s="217">
        <v>6.61214522060576E+20</v>
      </c>
      <c r="AI25" s="70">
        <v>6.6121452206057603E+19</v>
      </c>
      <c r="AJ25" s="70">
        <v>6.61214522060576E+16</v>
      </c>
      <c r="AK25" s="70">
        <v>6.6121452206057597E+21</v>
      </c>
      <c r="AL25" s="70">
        <v>6612145220605760</v>
      </c>
      <c r="AM25" s="71">
        <v>6.6121452206057595E+18</v>
      </c>
      <c r="AN25" s="115">
        <v>3.3527755344282502E+17</v>
      </c>
      <c r="AO25" s="72">
        <v>4.8894643210411899E+18</v>
      </c>
      <c r="AP25" s="72">
        <v>152079340073932</v>
      </c>
      <c r="AQ25" s="72">
        <v>1.52079340073932E+17</v>
      </c>
      <c r="AR25" s="116">
        <v>1.52079340073932E+20</v>
      </c>
      <c r="AS25" s="123">
        <v>3141747417</v>
      </c>
      <c r="AT25" s="123">
        <v>77634269</v>
      </c>
      <c r="AU25" s="73">
        <v>3141747417240290</v>
      </c>
      <c r="AV25" s="73">
        <v>31417474172403</v>
      </c>
      <c r="AW25" s="73">
        <v>31417474</v>
      </c>
      <c r="AX25" s="73">
        <v>314174741724</v>
      </c>
      <c r="AY25" s="73">
        <v>3.1417474172402899E+17</v>
      </c>
      <c r="AZ25" s="73">
        <v>3381748775110</v>
      </c>
      <c r="BA25" s="218">
        <v>486971823615892</v>
      </c>
      <c r="BB25" s="247">
        <f t="shared" si="44"/>
        <v>2.3763971095655519E-16</v>
      </c>
      <c r="BC25" s="41">
        <f t="shared" si="45"/>
        <v>-1.9822916107700384E-16</v>
      </c>
      <c r="BD25" s="42">
        <f t="shared" si="45"/>
        <v>-2.4778645134625481E-16</v>
      </c>
      <c r="BE25" s="42">
        <f t="shared" si="45"/>
        <v>-1.2098947819641347E-16</v>
      </c>
      <c r="BF25" s="42">
        <f t="shared" si="45"/>
        <v>-1.5858332886160306E-16</v>
      </c>
      <c r="BG25" s="42">
        <f t="shared" si="45"/>
        <v>-1.5123684774551683E-16</v>
      </c>
      <c r="BH25" s="43">
        <f t="shared" si="45"/>
        <v>0</v>
      </c>
      <c r="BI25" s="107">
        <f t="shared" si="46"/>
        <v>-1.5270929853265953E-15</v>
      </c>
      <c r="BJ25" s="44">
        <f t="shared" si="47"/>
        <v>4.1885979026100893E-16</v>
      </c>
      <c r="BK25" s="44">
        <f t="shared" si="47"/>
        <v>2.8767878647245053E-15</v>
      </c>
      <c r="BL25" s="44">
        <f t="shared" si="47"/>
        <v>2.9458307734778931E-15</v>
      </c>
      <c r="BM25" s="108">
        <f t="shared" si="47"/>
        <v>3.0165307120413626E-15</v>
      </c>
      <c r="BN25" s="43">
        <f t="shared" si="47"/>
        <v>7.6481601319864633E-11</v>
      </c>
      <c r="BO25" s="42">
        <f t="shared" si="47"/>
        <v>5.1660718930538281E-9</v>
      </c>
      <c r="BP25" s="42">
        <f t="shared" si="47"/>
        <v>-1.4323239275399182E-15</v>
      </c>
      <c r="BQ25" s="42">
        <f t="shared" si="47"/>
        <v>-4.6003459478278627E-15</v>
      </c>
      <c r="BR25" s="42">
        <f t="shared" si="47"/>
        <v>5.4874829867857242E-9</v>
      </c>
      <c r="BS25" s="42">
        <f t="shared" si="47"/>
        <v>9.0918999306733091E-14</v>
      </c>
      <c r="BT25" s="42">
        <f t="shared" si="47"/>
        <v>-1.4259580434175186E-15</v>
      </c>
      <c r="BU25" s="42">
        <f t="shared" si="47"/>
        <v>1.0583582047377845E-13</v>
      </c>
      <c r="BV25" s="45">
        <f t="shared" si="47"/>
        <v>-1.0267534501018373E-15</v>
      </c>
    </row>
    <row r="26" spans="2:74" x14ac:dyDescent="0.25">
      <c r="B26" s="86">
        <v>56</v>
      </c>
      <c r="C26" s="87">
        <v>76</v>
      </c>
      <c r="D26" s="211">
        <f t="shared" si="25"/>
        <v>11.789473684210526</v>
      </c>
      <c r="E26" s="87">
        <v>16</v>
      </c>
      <c r="F26" s="93">
        <v>45</v>
      </c>
      <c r="G26" s="97" t="s">
        <v>7</v>
      </c>
      <c r="H26" s="59"/>
      <c r="I26" s="4">
        <v>1998</v>
      </c>
      <c r="J26" s="58"/>
      <c r="K26" s="221"/>
      <c r="L26" s="167">
        <f t="shared" si="26"/>
        <v>11.789473684210526</v>
      </c>
      <c r="M26" s="69">
        <f t="shared" si="27"/>
        <v>8.0109473684210517</v>
      </c>
      <c r="N26" s="70">
        <f t="shared" si="28"/>
        <v>0.80109473684210519</v>
      </c>
      <c r="O26" s="70">
        <f t="shared" si="29"/>
        <v>8.0109473684210526E-4</v>
      </c>
      <c r="P26" s="70">
        <f t="shared" si="30"/>
        <v>80.109473684210528</v>
      </c>
      <c r="Q26" s="70">
        <f>((F26/3)*((B26*C26)+SQRT((B26*C26)*(D26*E26))+(D26*E26)))/1000^3</f>
        <v>8.0109473684210523E-5</v>
      </c>
      <c r="R26" s="71">
        <f t="shared" si="31"/>
        <v>8.0109473684210522E-2</v>
      </c>
      <c r="S26" s="115">
        <f t="shared" si="32"/>
        <v>352.86909350140218</v>
      </c>
      <c r="T26" s="72">
        <f t="shared" si="33"/>
        <v>5146.0076135621157</v>
      </c>
      <c r="U26" s="72">
        <f t="shared" si="34"/>
        <v>0.16005872842105262</v>
      </c>
      <c r="V26" s="72">
        <f>Q26*1000*I26</f>
        <v>160.05872842105262</v>
      </c>
      <c r="W26" s="116">
        <f t="shared" si="35"/>
        <v>160058.72842105263</v>
      </c>
      <c r="X26" s="81">
        <f t="shared" si="36"/>
        <v>1.2723442098386381E-4</v>
      </c>
      <c r="Y26" s="73">
        <f t="shared" si="37"/>
        <v>3.1440310132971574E-6</v>
      </c>
      <c r="Z26" s="73">
        <f t="shared" si="38"/>
        <v>127.23442098386383</v>
      </c>
      <c r="AA26" s="73">
        <f t="shared" si="39"/>
        <v>1.2723442098386382</v>
      </c>
      <c r="AB26" s="73">
        <f t="shared" si="40"/>
        <v>1.2723442098386383E-6</v>
      </c>
      <c r="AC26" s="73">
        <f>((B26*C26)+(D26*E26)+(2*(((B26+D26)/2)*(SQRT(F26^2+((C26-E26)/2)^2)))+2*(((C26+E26)/2)*(SQRT(F26^2+((B26-D26)/2)^2)))))/1000^2</f>
        <v>1.2723442098386382E-2</v>
      </c>
      <c r="AD26" s="73">
        <f t="shared" si="41"/>
        <v>12723.442098386382</v>
      </c>
      <c r="AE26" s="73">
        <f t="shared" si="42"/>
        <v>0.13695399093922417</v>
      </c>
      <c r="AF26" s="81">
        <f t="shared" si="43"/>
        <v>19.721374695248283</v>
      </c>
      <c r="AG26" s="167">
        <v>11.789</v>
      </c>
      <c r="AH26" s="217">
        <v>8.0109499999999993</v>
      </c>
      <c r="AI26" s="70">
        <v>0.801095</v>
      </c>
      <c r="AJ26" s="70">
        <v>8.0109500000000004E-4</v>
      </c>
      <c r="AK26" s="70">
        <v>80.109499999999997</v>
      </c>
      <c r="AL26" s="70">
        <v>8.0109473684210496E-5</v>
      </c>
      <c r="AM26" s="71">
        <v>8.01095E-2</v>
      </c>
      <c r="AN26" s="115">
        <v>352.86900000000003</v>
      </c>
      <c r="AO26" s="72">
        <v>5146.01</v>
      </c>
      <c r="AP26" s="72">
        <v>0.16005900000000001</v>
      </c>
      <c r="AQ26" s="72">
        <v>160.059</v>
      </c>
      <c r="AR26" s="116">
        <v>160059</v>
      </c>
      <c r="AS26" s="123">
        <v>1.27234E-4</v>
      </c>
      <c r="AT26" s="123">
        <v>3.14403101329716E-6</v>
      </c>
      <c r="AU26" s="73">
        <v>127.23399999999999</v>
      </c>
      <c r="AV26" s="73">
        <v>1.27234</v>
      </c>
      <c r="AW26" s="73">
        <v>1.27234420983864E-6</v>
      </c>
      <c r="AX26" s="73">
        <v>1.2723399999999999E-2</v>
      </c>
      <c r="AY26" s="73">
        <v>12723.4</v>
      </c>
      <c r="AZ26" s="73">
        <v>0.13695399999999999</v>
      </c>
      <c r="BA26" s="218">
        <v>19.721399999999999</v>
      </c>
      <c r="BB26" s="247">
        <f t="shared" si="44"/>
        <v>4.0178571428541231E-5</v>
      </c>
      <c r="BC26" s="41">
        <f t="shared" si="45"/>
        <v>-3.2849784508838267E-7</v>
      </c>
      <c r="BD26" s="42">
        <f t="shared" si="45"/>
        <v>-3.2849784514381796E-7</v>
      </c>
      <c r="BE26" s="42">
        <f t="shared" si="45"/>
        <v>-3.2849784510917088E-7</v>
      </c>
      <c r="BF26" s="42">
        <f t="shared" si="45"/>
        <v>-3.2849784499968615E-7</v>
      </c>
      <c r="BG26" s="42">
        <f t="shared" si="45"/>
        <v>3.3835017340127628E-16</v>
      </c>
      <c r="BH26" s="43">
        <f t="shared" si="45"/>
        <v>-3.2849784510917088E-7</v>
      </c>
      <c r="BI26" s="107">
        <f t="shared" si="46"/>
        <v>2.6497475655954654E-7</v>
      </c>
      <c r="BJ26" s="44">
        <f t="shared" si="47"/>
        <v>-4.6374550209278144E-7</v>
      </c>
      <c r="BK26" s="44">
        <f t="shared" si="47"/>
        <v>-1.6967456262163027E-6</v>
      </c>
      <c r="BL26" s="44">
        <f t="shared" si="47"/>
        <v>-1.6967456261580374E-6</v>
      </c>
      <c r="BM26" s="108">
        <f t="shared" si="47"/>
        <v>-1.6967456261353083E-6</v>
      </c>
      <c r="BN26" s="43">
        <f t="shared" si="47"/>
        <v>3.3087262123096193E-6</v>
      </c>
      <c r="BO26" s="42">
        <f t="shared" si="47"/>
        <v>-8.0822957248695865E-16</v>
      </c>
      <c r="BP26" s="42">
        <f t="shared" si="47"/>
        <v>3.3087262124338799E-6</v>
      </c>
      <c r="BQ26" s="42">
        <f t="shared" si="47"/>
        <v>3.3087262122803061E-6</v>
      </c>
      <c r="BR26" s="42">
        <f t="shared" si="47"/>
        <v>-1.3314525121495591E-15</v>
      </c>
      <c r="BS26" s="42">
        <f t="shared" si="47"/>
        <v>3.3087262123948321E-6</v>
      </c>
      <c r="BT26" s="42">
        <f t="shared" si="47"/>
        <v>3.3087262123579307E-6</v>
      </c>
      <c r="BU26" s="42">
        <f t="shared" si="47"/>
        <v>-6.6159268247229922E-8</v>
      </c>
      <c r="BV26" s="45">
        <f t="shared" si="47"/>
        <v>-1.2831129729686422E-6</v>
      </c>
    </row>
    <row r="27" spans="2:74" x14ac:dyDescent="0.25">
      <c r="B27" s="86">
        <v>678</v>
      </c>
      <c r="C27" s="87">
        <v>124</v>
      </c>
      <c r="D27" s="211">
        <f t="shared" si="25"/>
        <v>366.33870967741933</v>
      </c>
      <c r="E27" s="87">
        <v>67</v>
      </c>
      <c r="F27" s="94">
        <v>87</v>
      </c>
      <c r="G27" s="97" t="s">
        <v>8</v>
      </c>
      <c r="H27" s="59"/>
      <c r="I27" s="58"/>
      <c r="J27" s="4">
        <v>135.69999999999999</v>
      </c>
      <c r="K27" s="221"/>
      <c r="L27" s="167">
        <f t="shared" si="26"/>
        <v>366.33870967741933</v>
      </c>
      <c r="M27" s="69">
        <f t="shared" si="27"/>
        <v>341544860099.14374</v>
      </c>
      <c r="N27" s="70">
        <f t="shared" si="28"/>
        <v>34154486009.914375</v>
      </c>
      <c r="O27" s="70">
        <f t="shared" si="29"/>
        <v>34154486.009914376</v>
      </c>
      <c r="P27" s="70">
        <f t="shared" si="30"/>
        <v>3415448600991.4375</v>
      </c>
      <c r="Q27" s="70">
        <f>((F27/3)*((B27*C27)+SQRT((B27*C27)*(D27*E27))+(D27*E27)))*0.9144^3</f>
        <v>3415448.6009914377</v>
      </c>
      <c r="R27" s="71">
        <f t="shared" si="31"/>
        <v>3415448600.9914379</v>
      </c>
      <c r="S27" s="115">
        <f t="shared" si="32"/>
        <v>16367513721.866123</v>
      </c>
      <c r="T27" s="72">
        <f t="shared" si="33"/>
        <v>238692908443.88098</v>
      </c>
      <c r="U27" s="72">
        <f t="shared" si="34"/>
        <v>7424179.3401087765</v>
      </c>
      <c r="V27" s="72">
        <f>Q27*(0.45359237/0.3048^3)*J27</f>
        <v>7424179340.1087761</v>
      </c>
      <c r="W27" s="116">
        <f t="shared" si="35"/>
        <v>7424179340108.7764</v>
      </c>
      <c r="X27" s="81">
        <f t="shared" si="36"/>
        <v>1992.6014490202213</v>
      </c>
      <c r="Y27" s="73">
        <f t="shared" si="37"/>
        <v>49.238254117216812</v>
      </c>
      <c r="Z27" s="73">
        <f t="shared" si="38"/>
        <v>1992601449.0202212</v>
      </c>
      <c r="AA27" s="73">
        <f t="shared" si="39"/>
        <v>19926014.490202211</v>
      </c>
      <c r="AB27" s="73">
        <f t="shared" si="40"/>
        <v>19.926014490202213</v>
      </c>
      <c r="AC27" s="73">
        <f>((B27*C27)+(D27*E27)+(2*(((B27+D27)/2)*(SQRT(F27^2+((C27-E27)/2)^2)))+2*(((C27+E27)/2)*(SQRT(F27^2+((B27-D27)/2)^2)))))*0.9144^2</f>
        <v>199260.14490202212</v>
      </c>
      <c r="AD27" s="73">
        <f t="shared" si="41"/>
        <v>199260144902.02213</v>
      </c>
      <c r="AE27" s="73">
        <f t="shared" si="42"/>
        <v>2144818.3493459644</v>
      </c>
      <c r="AF27" s="81">
        <f t="shared" si="43"/>
        <v>308853842.30581892</v>
      </c>
      <c r="AG27" s="167">
        <v>366.34</v>
      </c>
      <c r="AH27" s="217">
        <v>341544860099</v>
      </c>
      <c r="AI27" s="70">
        <v>34154486010</v>
      </c>
      <c r="AJ27" s="70">
        <v>34154486</v>
      </c>
      <c r="AK27" s="70">
        <v>3415448600991</v>
      </c>
      <c r="AL27" s="70">
        <v>3415449</v>
      </c>
      <c r="AM27" s="71">
        <v>3415448601</v>
      </c>
      <c r="AN27" s="115">
        <v>16367513722</v>
      </c>
      <c r="AO27" s="72">
        <v>238692908444</v>
      </c>
      <c r="AP27" s="72">
        <v>7424179</v>
      </c>
      <c r="AQ27" s="72">
        <v>7424179340</v>
      </c>
      <c r="AR27" s="116">
        <v>7424179340109</v>
      </c>
      <c r="AS27" s="123">
        <v>1992.6</v>
      </c>
      <c r="AT27" s="123">
        <v>49.238300000000002</v>
      </c>
      <c r="AU27" s="73">
        <v>1992601449</v>
      </c>
      <c r="AV27" s="73">
        <v>19926014</v>
      </c>
      <c r="AW27" s="73">
        <v>19.925999999999998</v>
      </c>
      <c r="AX27" s="73">
        <v>199260</v>
      </c>
      <c r="AY27" s="73">
        <v>199260144902</v>
      </c>
      <c r="AZ27" s="73">
        <v>2144818</v>
      </c>
      <c r="BA27" s="218">
        <v>308853842</v>
      </c>
      <c r="BB27" s="247">
        <f t="shared" si="44"/>
        <v>-3.5222119491008342E-6</v>
      </c>
      <c r="BC27" s="41">
        <f t="shared" si="45"/>
        <v>4.2084601398195762E-13</v>
      </c>
      <c r="BD27" s="42">
        <f t="shared" si="45"/>
        <v>-2.5069823858383812E-12</v>
      </c>
      <c r="BE27" s="42">
        <f t="shared" si="45"/>
        <v>2.9028034088229687E-10</v>
      </c>
      <c r="BF27" s="42">
        <f t="shared" si="45"/>
        <v>1.2809444705828756E-13</v>
      </c>
      <c r="BG27" s="42">
        <f t="shared" si="45"/>
        <v>-1.1682464265656981E-7</v>
      </c>
      <c r="BH27" s="43">
        <f t="shared" si="45"/>
        <v>-2.5068706963442242E-12</v>
      </c>
      <c r="BI27" s="107">
        <f t="shared" si="46"/>
        <v>-8.1794219215015618E-12</v>
      </c>
      <c r="BJ27" s="44">
        <f t="shared" si="47"/>
        <v>-4.986262703128544E-13</v>
      </c>
      <c r="BK27" s="44">
        <f t="shared" si="47"/>
        <v>4.581095914906538E-8</v>
      </c>
      <c r="BL27" s="44">
        <f t="shared" si="47"/>
        <v>1.4651598182931707E-11</v>
      </c>
      <c r="BM27" s="108">
        <f t="shared" si="47"/>
        <v>-3.0122226613227719E-14</v>
      </c>
      <c r="BN27" s="43">
        <f t="shared" si="47"/>
        <v>7.2720022463912169E-7</v>
      </c>
      <c r="BO27" s="42">
        <f t="shared" si="47"/>
        <v>-9.3185235774996805E-7</v>
      </c>
      <c r="BP27" s="42">
        <f t="shared" si="47"/>
        <v>1.0148157514320223E-11</v>
      </c>
      <c r="BQ27" s="42">
        <f t="shared" si="47"/>
        <v>2.4601116850768108E-8</v>
      </c>
      <c r="BR27" s="42">
        <f t="shared" si="47"/>
        <v>7.2720022471757155E-7</v>
      </c>
      <c r="BS27" s="42">
        <f t="shared" si="47"/>
        <v>7.2720022456152754E-7</v>
      </c>
      <c r="BT27" s="42">
        <f t="shared" si="47"/>
        <v>1.1103697707087469E-13</v>
      </c>
      <c r="BU27" s="42">
        <f t="shared" si="47"/>
        <v>1.6287904497186783E-7</v>
      </c>
      <c r="BV27" s="45">
        <f t="shared" si="47"/>
        <v>9.9017358205410528E-10</v>
      </c>
    </row>
    <row r="28" spans="2:74" ht="15.75" thickBot="1" x14ac:dyDescent="0.3">
      <c r="B28" s="88">
        <v>79</v>
      </c>
      <c r="C28" s="89">
        <v>55</v>
      </c>
      <c r="D28" s="213">
        <f t="shared" si="25"/>
        <v>48.836363636363643</v>
      </c>
      <c r="E28" s="89">
        <v>34</v>
      </c>
      <c r="F28" s="95">
        <v>123</v>
      </c>
      <c r="G28" s="98" t="s">
        <v>43</v>
      </c>
      <c r="H28" s="63"/>
      <c r="I28" s="60"/>
      <c r="J28" s="60"/>
      <c r="K28" s="179">
        <v>3588</v>
      </c>
      <c r="L28" s="223">
        <f t="shared" si="26"/>
        <v>48.836363636363643</v>
      </c>
      <c r="M28" s="79">
        <f t="shared" si="27"/>
        <v>3.5634889090909084E-8</v>
      </c>
      <c r="N28" s="74">
        <f t="shared" si="28"/>
        <v>3.5634889090909086E-9</v>
      </c>
      <c r="O28" s="74">
        <f t="shared" si="29"/>
        <v>3.5634889090909084E-12</v>
      </c>
      <c r="P28" s="74">
        <f t="shared" si="30"/>
        <v>3.5634889090909085E-7</v>
      </c>
      <c r="Q28" s="74">
        <f>((F28/3)*((B28*C28)+SQRT((B28*C28)*(D28*E28))+(D28*E28)))/1000000^3</f>
        <v>3.5634889090909086E-13</v>
      </c>
      <c r="R28" s="75">
        <f t="shared" si="31"/>
        <v>3.5634889090909086E-10</v>
      </c>
      <c r="S28" s="117">
        <f t="shared" si="32"/>
        <v>2.8187859962940251E-6</v>
      </c>
      <c r="T28" s="76">
        <f t="shared" si="33"/>
        <v>4.110729577928786E-5</v>
      </c>
      <c r="U28" s="76">
        <f t="shared" si="34"/>
        <v>1.2785798205818179E-9</v>
      </c>
      <c r="V28" s="76">
        <f>Q28*1000*K28</f>
        <v>1.278579820581818E-6</v>
      </c>
      <c r="W28" s="118">
        <f t="shared" si="35"/>
        <v>1.2785798205818179E-3</v>
      </c>
      <c r="X28" s="82">
        <f t="shared" si="36"/>
        <v>3.2815483485974887E-10</v>
      </c>
      <c r="Y28" s="77">
        <f t="shared" si="37"/>
        <v>8.1088825648312898E-12</v>
      </c>
      <c r="Z28" s="77">
        <f t="shared" si="38"/>
        <v>3.2815483485974887E-4</v>
      </c>
      <c r="AA28" s="77">
        <f t="shared" si="39"/>
        <v>3.2815483485974889E-6</v>
      </c>
      <c r="AB28" s="77">
        <f t="shared" si="40"/>
        <v>3.2815483485974888E-12</v>
      </c>
      <c r="AC28" s="77">
        <f>((B28*C28)+(D28*E28)+(2*(((B28+D28)/2)*(SQRT(F28^2+((C28-E28)/2)^2)))+2*(((C28+E28)/2)*(SQRT(F28^2+((B28-D28)/2)^2)))))/1000000^2</f>
        <v>3.2815483485974888E-8</v>
      </c>
      <c r="AD28" s="77">
        <f t="shared" si="41"/>
        <v>3.2815483485974885E-2</v>
      </c>
      <c r="AE28" s="77">
        <f t="shared" si="42"/>
        <v>3.5322292452405097E-7</v>
      </c>
      <c r="AF28" s="82">
        <f t="shared" si="43"/>
        <v>5.0864101131463338E-5</v>
      </c>
      <c r="AG28" s="168">
        <v>48.835999999999999</v>
      </c>
      <c r="AH28" s="219">
        <v>3.5634889090909097E-8</v>
      </c>
      <c r="AI28" s="74">
        <v>3.5634889090909099E-9</v>
      </c>
      <c r="AJ28" s="74">
        <v>3.56348890909091E-12</v>
      </c>
      <c r="AK28" s="74">
        <v>3.5634889090909101E-7</v>
      </c>
      <c r="AL28" s="74">
        <v>3.5634889090909101E-13</v>
      </c>
      <c r="AM28" s="75">
        <v>3.5634889090909102E-10</v>
      </c>
      <c r="AN28" s="117">
        <v>2.81878599629402E-6</v>
      </c>
      <c r="AO28" s="76">
        <v>4.1107295779287901E-5</v>
      </c>
      <c r="AP28" s="76">
        <v>1.27857982058182E-9</v>
      </c>
      <c r="AQ28" s="76">
        <v>1.2785798205818199E-6</v>
      </c>
      <c r="AR28" s="118">
        <v>1.2785800000000001E-3</v>
      </c>
      <c r="AS28" s="125">
        <v>3.2815483485974902E-10</v>
      </c>
      <c r="AT28" s="125">
        <v>8.1088825648312898E-12</v>
      </c>
      <c r="AU28" s="77">
        <v>3.28155E-4</v>
      </c>
      <c r="AV28" s="77">
        <v>3.2815483485974901E-6</v>
      </c>
      <c r="AW28" s="77">
        <v>3.28154834859749E-12</v>
      </c>
      <c r="AX28" s="77">
        <v>3.2815483485974901E-8</v>
      </c>
      <c r="AY28" s="77">
        <v>3.2815499999999997E-2</v>
      </c>
      <c r="AZ28" s="77">
        <v>3.5322292452405097E-7</v>
      </c>
      <c r="BA28" s="220">
        <v>5.0864101131463297E-5</v>
      </c>
      <c r="BB28" s="248">
        <f t="shared" si="44"/>
        <v>7.4460163814038589E-6</v>
      </c>
      <c r="BC28" s="46">
        <f t="shared" si="45"/>
        <v>-3.7140258152858496E-16</v>
      </c>
      <c r="BD28" s="47">
        <f t="shared" si="45"/>
        <v>-3.4818992018304833E-16</v>
      </c>
      <c r="BE28" s="47">
        <f t="shared" si="45"/>
        <v>-4.5337229190501092E-16</v>
      </c>
      <c r="BF28" s="47">
        <f t="shared" si="45"/>
        <v>-4.4568309783430191E-16</v>
      </c>
      <c r="BG28" s="47">
        <f t="shared" si="45"/>
        <v>-4.250365236609477E-16</v>
      </c>
      <c r="BH28" s="48">
        <f t="shared" si="45"/>
        <v>-4.3523740022881046E-16</v>
      </c>
      <c r="BI28" s="109">
        <f t="shared" si="46"/>
        <v>1.8029739363710401E-15</v>
      </c>
      <c r="BJ28" s="49">
        <f t="shared" si="47"/>
        <v>-9.8905998795211349E-16</v>
      </c>
      <c r="BK28" s="49">
        <f t="shared" si="47"/>
        <v>-1.6173816433623577E-15</v>
      </c>
      <c r="BL28" s="49">
        <f t="shared" si="47"/>
        <v>-1.4905789225227488E-15</v>
      </c>
      <c r="BM28" s="110">
        <f t="shared" si="47"/>
        <v>-1.4032614878323894E-7</v>
      </c>
      <c r="BN28" s="48">
        <f t="shared" si="47"/>
        <v>-4.7263166157518242E-16</v>
      </c>
      <c r="BO28" s="47">
        <f t="shared" si="47"/>
        <v>0</v>
      </c>
      <c r="BP28" s="47">
        <f t="shared" si="47"/>
        <v>-5.0323881776111532E-7</v>
      </c>
      <c r="BQ28" s="47">
        <f t="shared" si="47"/>
        <v>-3.8717985716238936E-16</v>
      </c>
      <c r="BR28" s="47">
        <f t="shared" si="47"/>
        <v>-3.692434856056112E-16</v>
      </c>
      <c r="BS28" s="47">
        <f t="shared" si="47"/>
        <v>-4.0331235121082227E-16</v>
      </c>
      <c r="BT28" s="47">
        <f t="shared" si="47"/>
        <v>-5.0323881772807606E-7</v>
      </c>
      <c r="BU28" s="47">
        <f t="shared" si="47"/>
        <v>0</v>
      </c>
      <c r="BV28" s="50">
        <f t="shared" si="47"/>
        <v>7.9933746127003889E-16</v>
      </c>
    </row>
    <row r="29" spans="2:74" ht="15.75" thickTop="1" x14ac:dyDescent="0.25"/>
    <row r="31" spans="2:74" x14ac:dyDescent="0.25">
      <c r="B31" s="317" t="s">
        <v>14</v>
      </c>
      <c r="C31" s="318"/>
      <c r="D31" s="349" t="s">
        <v>15</v>
      </c>
      <c r="E31" s="318"/>
      <c r="F31" s="350"/>
      <c r="H31" s="207"/>
      <c r="I31" s="206"/>
      <c r="J31" s="208"/>
      <c r="K31" s="206"/>
    </row>
    <row r="32" spans="2:74" x14ac:dyDescent="0.25">
      <c r="B32" s="264"/>
      <c r="C32" s="265" t="s">
        <v>16</v>
      </c>
      <c r="D32" s="351">
        <v>41031</v>
      </c>
      <c r="E32" s="352"/>
      <c r="F32" s="353"/>
      <c r="H32" s="206"/>
      <c r="I32" s="207"/>
      <c r="J32" s="205"/>
      <c r="K32" s="206"/>
    </row>
  </sheetData>
  <mergeCells count="51">
    <mergeCell ref="D5:D6"/>
    <mergeCell ref="F5:F6"/>
    <mergeCell ref="G5:G6"/>
    <mergeCell ref="AG1:BA1"/>
    <mergeCell ref="BB1:BV1"/>
    <mergeCell ref="F3:K3"/>
    <mergeCell ref="B4:G4"/>
    <mergeCell ref="H4:K5"/>
    <mergeCell ref="BI4:BM5"/>
    <mergeCell ref="BC4:BH5"/>
    <mergeCell ref="M4:R5"/>
    <mergeCell ref="E5:E6"/>
    <mergeCell ref="AG5:AG6"/>
    <mergeCell ref="L5:L6"/>
    <mergeCell ref="S4:W5"/>
    <mergeCell ref="X4:AF5"/>
    <mergeCell ref="AS4:BA5"/>
    <mergeCell ref="B5:B6"/>
    <mergeCell ref="C5:C6"/>
    <mergeCell ref="L19:L20"/>
    <mergeCell ref="BB5:BB6"/>
    <mergeCell ref="BB19:BB20"/>
    <mergeCell ref="M18:R19"/>
    <mergeCell ref="BN18:BV19"/>
    <mergeCell ref="X18:AF19"/>
    <mergeCell ref="AH18:AM19"/>
    <mergeCell ref="AN18:AR19"/>
    <mergeCell ref="AS18:BA19"/>
    <mergeCell ref="BC18:BH19"/>
    <mergeCell ref="BI18:BM19"/>
    <mergeCell ref="S18:W19"/>
    <mergeCell ref="AG19:AG20"/>
    <mergeCell ref="BN4:BV5"/>
    <mergeCell ref="AH4:AM5"/>
    <mergeCell ref="AN4:AR5"/>
    <mergeCell ref="B31:C31"/>
    <mergeCell ref="D31:F31"/>
    <mergeCell ref="D32:F32"/>
    <mergeCell ref="B1:K1"/>
    <mergeCell ref="L1:AF1"/>
    <mergeCell ref="B3:E3"/>
    <mergeCell ref="B17:E17"/>
    <mergeCell ref="F17:K17"/>
    <mergeCell ref="H18:K19"/>
    <mergeCell ref="B19:B20"/>
    <mergeCell ref="C19:C20"/>
    <mergeCell ref="D19:D20"/>
    <mergeCell ref="F19:F20"/>
    <mergeCell ref="G19:G20"/>
    <mergeCell ref="E19:E20"/>
    <mergeCell ref="B18:G18"/>
  </mergeCells>
  <conditionalFormatting sqref="BC7:BH14 BN7:BV14">
    <cfRule type="cellIs" dxfId="37" priority="6" operator="notBetween">
      <formula>0.0001</formula>
      <formula>-0.0001</formula>
    </cfRule>
  </conditionalFormatting>
  <conditionalFormatting sqref="BI7:BM14">
    <cfRule type="cellIs" dxfId="36" priority="5" operator="notBetween">
      <formula>0.0001</formula>
      <formula>-0.0001</formula>
    </cfRule>
  </conditionalFormatting>
  <conditionalFormatting sqref="BC21:BH28 BN21:BV28">
    <cfRule type="cellIs" dxfId="35" priority="4" operator="notBetween">
      <formula>0.0001</formula>
      <formula>-0.0001</formula>
    </cfRule>
  </conditionalFormatting>
  <conditionalFormatting sqref="BI21:BM28">
    <cfRule type="cellIs" dxfId="34" priority="3" operator="notBetween">
      <formula>0.0001</formula>
      <formula>-0.0001</formula>
    </cfRule>
  </conditionalFormatting>
  <conditionalFormatting sqref="BB7:BB14">
    <cfRule type="cellIs" dxfId="33" priority="2" operator="notBetween">
      <formula>0.0001</formula>
      <formula>-0.0001</formula>
    </cfRule>
  </conditionalFormatting>
  <conditionalFormatting sqref="BB21:BB28">
    <cfRule type="cellIs" dxfId="32" priority="1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V32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.7109375" customWidth="1"/>
    <col min="2" max="2" width="8.28515625" bestFit="1" customWidth="1"/>
    <col min="3" max="3" width="7.140625" bestFit="1" customWidth="1"/>
    <col min="4" max="4" width="14.140625" customWidth="1"/>
    <col min="5" max="5" width="11.5703125" customWidth="1"/>
    <col min="7" max="7" width="7.140625" customWidth="1"/>
    <col min="8" max="11" width="9.140625" customWidth="1"/>
    <col min="12" max="12" width="15.42578125" customWidth="1"/>
    <col min="13" max="32" width="12" bestFit="1" customWidth="1"/>
    <col min="33" max="33" width="15.42578125" customWidth="1"/>
    <col min="34" max="53" width="12" bestFit="1" customWidth="1"/>
    <col min="54" max="54" width="15.42578125" customWidth="1"/>
    <col min="55" max="74" width="15" bestFit="1" customWidth="1"/>
  </cols>
  <sheetData>
    <row r="1" spans="2:74" ht="21.95" customHeight="1" thickBot="1" x14ac:dyDescent="0.4">
      <c r="B1" s="319" t="s">
        <v>98</v>
      </c>
      <c r="C1" s="394"/>
      <c r="D1" s="394"/>
      <c r="E1" s="394"/>
      <c r="F1" s="394"/>
      <c r="G1" s="394"/>
      <c r="H1" s="394"/>
      <c r="I1" s="394"/>
      <c r="J1" s="394"/>
      <c r="K1" s="395"/>
      <c r="L1" s="319" t="s">
        <v>99</v>
      </c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1"/>
      <c r="AG1" s="319" t="s">
        <v>100</v>
      </c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1"/>
      <c r="BB1" s="319" t="s">
        <v>101</v>
      </c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0"/>
      <c r="BV1" s="321"/>
    </row>
    <row r="2" spans="2:74" ht="15" customHeight="1" thickBot="1" x14ac:dyDescent="0.3">
      <c r="F2" s="3"/>
    </row>
    <row r="3" spans="2:74" ht="30.75" customHeight="1" thickTop="1" thickBot="1" x14ac:dyDescent="0.3">
      <c r="B3" s="343" t="s">
        <v>46</v>
      </c>
      <c r="C3" s="344"/>
      <c r="D3" s="344"/>
      <c r="E3" s="357"/>
      <c r="F3" s="346" t="s">
        <v>55</v>
      </c>
      <c r="G3" s="347"/>
      <c r="H3" s="347"/>
      <c r="I3" s="347"/>
      <c r="J3" s="347"/>
      <c r="K3" s="348"/>
    </row>
    <row r="4" spans="2:74" ht="16.5" customHeight="1" thickTop="1" thickBot="1" x14ac:dyDescent="0.3">
      <c r="B4" s="337" t="s">
        <v>56</v>
      </c>
      <c r="C4" s="338"/>
      <c r="D4" s="338"/>
      <c r="E4" s="338"/>
      <c r="F4" s="338"/>
      <c r="G4" s="339"/>
      <c r="H4" s="311" t="s">
        <v>31</v>
      </c>
      <c r="I4" s="312"/>
      <c r="J4" s="312"/>
      <c r="K4" s="313"/>
      <c r="L4" s="165" t="s">
        <v>89</v>
      </c>
      <c r="M4" s="340" t="s">
        <v>21</v>
      </c>
      <c r="N4" s="341"/>
      <c r="O4" s="341"/>
      <c r="P4" s="341"/>
      <c r="Q4" s="341"/>
      <c r="R4" s="341"/>
      <c r="S4" s="294" t="s">
        <v>22</v>
      </c>
      <c r="T4" s="295"/>
      <c r="U4" s="295"/>
      <c r="V4" s="295"/>
      <c r="W4" s="296"/>
      <c r="X4" s="304" t="s">
        <v>44</v>
      </c>
      <c r="Y4" s="305"/>
      <c r="Z4" s="305"/>
      <c r="AA4" s="305"/>
      <c r="AB4" s="305"/>
      <c r="AC4" s="305"/>
      <c r="AD4" s="305"/>
      <c r="AE4" s="305"/>
      <c r="AF4" s="403"/>
      <c r="AG4" s="165" t="s">
        <v>89</v>
      </c>
      <c r="AH4" s="405" t="s">
        <v>21</v>
      </c>
      <c r="AI4" s="301"/>
      <c r="AJ4" s="301"/>
      <c r="AK4" s="301"/>
      <c r="AL4" s="301"/>
      <c r="AM4" s="301"/>
      <c r="AN4" s="294" t="s">
        <v>22</v>
      </c>
      <c r="AO4" s="295"/>
      <c r="AP4" s="295"/>
      <c r="AQ4" s="295"/>
      <c r="AR4" s="296"/>
      <c r="AS4" s="304" t="s">
        <v>45</v>
      </c>
      <c r="AT4" s="305"/>
      <c r="AU4" s="305"/>
      <c r="AV4" s="305"/>
      <c r="AW4" s="305"/>
      <c r="AX4" s="305"/>
      <c r="AY4" s="305"/>
      <c r="AZ4" s="305"/>
      <c r="BA4" s="305"/>
      <c r="BB4" s="245" t="s">
        <v>89</v>
      </c>
      <c r="BC4" s="322" t="s">
        <v>21</v>
      </c>
      <c r="BD4" s="323"/>
      <c r="BE4" s="323"/>
      <c r="BF4" s="323"/>
      <c r="BG4" s="323"/>
      <c r="BH4" s="323"/>
      <c r="BI4" s="322" t="s">
        <v>22</v>
      </c>
      <c r="BJ4" s="323"/>
      <c r="BK4" s="323"/>
      <c r="BL4" s="323"/>
      <c r="BM4" s="324"/>
      <c r="BN4" s="328" t="s">
        <v>45</v>
      </c>
      <c r="BO4" s="323"/>
      <c r="BP4" s="323"/>
      <c r="BQ4" s="323"/>
      <c r="BR4" s="323"/>
      <c r="BS4" s="323"/>
      <c r="BT4" s="323"/>
      <c r="BU4" s="323"/>
      <c r="BV4" s="329"/>
    </row>
    <row r="5" spans="2:74" s="18" customFormat="1" ht="15" customHeight="1" thickBot="1" x14ac:dyDescent="0.3">
      <c r="B5" s="377" t="s">
        <v>0</v>
      </c>
      <c r="C5" s="379" t="s">
        <v>20</v>
      </c>
      <c r="D5" s="371" t="s">
        <v>90</v>
      </c>
      <c r="E5" s="396" t="s">
        <v>95</v>
      </c>
      <c r="F5" s="362" t="s">
        <v>1</v>
      </c>
      <c r="G5" s="413" t="s">
        <v>84</v>
      </c>
      <c r="H5" s="314"/>
      <c r="I5" s="315"/>
      <c r="J5" s="315"/>
      <c r="K5" s="316"/>
      <c r="L5" s="399" t="s">
        <v>95</v>
      </c>
      <c r="M5" s="342"/>
      <c r="N5" s="342"/>
      <c r="O5" s="342"/>
      <c r="P5" s="342"/>
      <c r="Q5" s="342"/>
      <c r="R5" s="342"/>
      <c r="S5" s="297"/>
      <c r="T5" s="298"/>
      <c r="U5" s="298"/>
      <c r="V5" s="298"/>
      <c r="W5" s="299"/>
      <c r="X5" s="307"/>
      <c r="Y5" s="307"/>
      <c r="Z5" s="307"/>
      <c r="AA5" s="307"/>
      <c r="AB5" s="307"/>
      <c r="AC5" s="307"/>
      <c r="AD5" s="307"/>
      <c r="AE5" s="307"/>
      <c r="AF5" s="404"/>
      <c r="AG5" s="399" t="s">
        <v>95</v>
      </c>
      <c r="AH5" s="406"/>
      <c r="AI5" s="303"/>
      <c r="AJ5" s="303"/>
      <c r="AK5" s="303"/>
      <c r="AL5" s="303"/>
      <c r="AM5" s="303"/>
      <c r="AN5" s="297"/>
      <c r="AO5" s="298"/>
      <c r="AP5" s="298"/>
      <c r="AQ5" s="298"/>
      <c r="AR5" s="299"/>
      <c r="AS5" s="307"/>
      <c r="AT5" s="307"/>
      <c r="AU5" s="307"/>
      <c r="AV5" s="307"/>
      <c r="AW5" s="307"/>
      <c r="AX5" s="307"/>
      <c r="AY5" s="307"/>
      <c r="AZ5" s="307"/>
      <c r="BA5" s="307"/>
      <c r="BB5" s="401" t="s">
        <v>95</v>
      </c>
      <c r="BC5" s="325"/>
      <c r="BD5" s="326"/>
      <c r="BE5" s="326"/>
      <c r="BF5" s="326"/>
      <c r="BG5" s="326"/>
      <c r="BH5" s="326"/>
      <c r="BI5" s="325"/>
      <c r="BJ5" s="326"/>
      <c r="BK5" s="326"/>
      <c r="BL5" s="326"/>
      <c r="BM5" s="327"/>
      <c r="BN5" s="326"/>
      <c r="BO5" s="326"/>
      <c r="BP5" s="326"/>
      <c r="BQ5" s="326"/>
      <c r="BR5" s="326"/>
      <c r="BS5" s="326"/>
      <c r="BT5" s="326"/>
      <c r="BU5" s="326"/>
      <c r="BV5" s="330"/>
    </row>
    <row r="6" spans="2:74" s="18" customFormat="1" ht="18" thickBot="1" x14ac:dyDescent="0.3">
      <c r="B6" s="378"/>
      <c r="C6" s="380"/>
      <c r="D6" s="372"/>
      <c r="E6" s="397"/>
      <c r="F6" s="363"/>
      <c r="G6" s="414"/>
      <c r="H6" s="19" t="s">
        <v>29</v>
      </c>
      <c r="I6" s="20" t="s">
        <v>28</v>
      </c>
      <c r="J6" s="20" t="s">
        <v>30</v>
      </c>
      <c r="K6" s="21" t="s">
        <v>27</v>
      </c>
      <c r="L6" s="400"/>
      <c r="M6" s="29" t="s">
        <v>32</v>
      </c>
      <c r="N6" s="24" t="s">
        <v>34</v>
      </c>
      <c r="O6" s="24" t="s">
        <v>33</v>
      </c>
      <c r="P6" s="24" t="s">
        <v>35</v>
      </c>
      <c r="Q6" s="24" t="s">
        <v>37</v>
      </c>
      <c r="R6" s="30" t="s">
        <v>36</v>
      </c>
      <c r="S6" s="111" t="s">
        <v>38</v>
      </c>
      <c r="T6" s="22" t="s">
        <v>39</v>
      </c>
      <c r="U6" s="22" t="s">
        <v>40</v>
      </c>
      <c r="V6" s="22" t="s">
        <v>41</v>
      </c>
      <c r="W6" s="112" t="s">
        <v>42</v>
      </c>
      <c r="X6" s="25" t="s">
        <v>11</v>
      </c>
      <c r="Y6" s="23" t="s">
        <v>13</v>
      </c>
      <c r="Z6" s="23" t="s">
        <v>23</v>
      </c>
      <c r="AA6" s="23" t="s">
        <v>24</v>
      </c>
      <c r="AB6" s="23" t="s">
        <v>12</v>
      </c>
      <c r="AC6" s="23" t="s">
        <v>25</v>
      </c>
      <c r="AD6" s="23" t="s">
        <v>26</v>
      </c>
      <c r="AE6" s="23" t="s">
        <v>10</v>
      </c>
      <c r="AF6" s="25" t="s">
        <v>9</v>
      </c>
      <c r="AG6" s="400"/>
      <c r="AH6" s="31" t="s">
        <v>32</v>
      </c>
      <c r="AI6" s="24" t="s">
        <v>34</v>
      </c>
      <c r="AJ6" s="24" t="s">
        <v>33</v>
      </c>
      <c r="AK6" s="24" t="s">
        <v>35</v>
      </c>
      <c r="AL6" s="24" t="s">
        <v>37</v>
      </c>
      <c r="AM6" s="30" t="s">
        <v>36</v>
      </c>
      <c r="AN6" s="111" t="s">
        <v>38</v>
      </c>
      <c r="AO6" s="22" t="s">
        <v>39</v>
      </c>
      <c r="AP6" s="22" t="s">
        <v>40</v>
      </c>
      <c r="AQ6" s="22" t="s">
        <v>41</v>
      </c>
      <c r="AR6" s="112" t="s">
        <v>42</v>
      </c>
      <c r="AS6" s="26" t="s">
        <v>11</v>
      </c>
      <c r="AT6" s="27" t="s">
        <v>13</v>
      </c>
      <c r="AU6" s="27" t="s">
        <v>23</v>
      </c>
      <c r="AV6" s="27" t="s">
        <v>24</v>
      </c>
      <c r="AW6" s="27" t="s">
        <v>12</v>
      </c>
      <c r="AX6" s="27" t="s">
        <v>25</v>
      </c>
      <c r="AY6" s="27" t="s">
        <v>26</v>
      </c>
      <c r="AZ6" s="27" t="s">
        <v>10</v>
      </c>
      <c r="BA6" s="28" t="s">
        <v>9</v>
      </c>
      <c r="BB6" s="402"/>
      <c r="BC6" s="32" t="s">
        <v>32</v>
      </c>
      <c r="BD6" s="33" t="s">
        <v>34</v>
      </c>
      <c r="BE6" s="33" t="s">
        <v>33</v>
      </c>
      <c r="BF6" s="33" t="s">
        <v>35</v>
      </c>
      <c r="BG6" s="33" t="s">
        <v>37</v>
      </c>
      <c r="BH6" s="34" t="s">
        <v>36</v>
      </c>
      <c r="BI6" s="103" t="s">
        <v>38</v>
      </c>
      <c r="BJ6" s="33" t="s">
        <v>39</v>
      </c>
      <c r="BK6" s="33" t="s">
        <v>40</v>
      </c>
      <c r="BL6" s="33" t="s">
        <v>41</v>
      </c>
      <c r="BM6" s="104" t="s">
        <v>42</v>
      </c>
      <c r="BN6" s="34" t="s">
        <v>11</v>
      </c>
      <c r="BO6" s="33" t="s">
        <v>13</v>
      </c>
      <c r="BP6" s="33" t="s">
        <v>23</v>
      </c>
      <c r="BQ6" s="33" t="s">
        <v>24</v>
      </c>
      <c r="BR6" s="33" t="s">
        <v>12</v>
      </c>
      <c r="BS6" s="33" t="s">
        <v>25</v>
      </c>
      <c r="BT6" s="33" t="s">
        <v>26</v>
      </c>
      <c r="BU6" s="33" t="s">
        <v>10</v>
      </c>
      <c r="BV6" s="35" t="s">
        <v>9</v>
      </c>
    </row>
    <row r="7" spans="2:74" x14ac:dyDescent="0.25">
      <c r="B7" s="84">
        <v>99</v>
      </c>
      <c r="C7" s="85">
        <v>50</v>
      </c>
      <c r="D7" s="85">
        <v>15</v>
      </c>
      <c r="E7" s="148">
        <f>B7*(D7/(C7+D7))</f>
        <v>22.846153846153847</v>
      </c>
      <c r="F7" s="155" t="s">
        <v>2</v>
      </c>
      <c r="G7" s="96">
        <v>4</v>
      </c>
      <c r="H7" s="10">
        <v>983</v>
      </c>
      <c r="I7" s="53"/>
      <c r="J7" s="53"/>
      <c r="K7" s="54"/>
      <c r="L7" s="166">
        <f>B7*(D7/(C7+D7))</f>
        <v>22.846153846153847</v>
      </c>
      <c r="M7" s="78">
        <f>Q7*100000</f>
        <v>20974.526627218944</v>
      </c>
      <c r="N7" s="65">
        <f>Q7*10000</f>
        <v>2097.4526627218943</v>
      </c>
      <c r="O7" s="65">
        <f>Q7*10</f>
        <v>2.0974526627218943</v>
      </c>
      <c r="P7" s="65">
        <f>Q7*1000000</f>
        <v>209745.26627218942</v>
      </c>
      <c r="Q7" s="65">
        <f>(C7/3*(((B7*G7*(B7/(2*TAN(PI()/G7))))/2)+SQRT(((B7*G7*(B7/(2*TAN(PI()/G7))))/2)*(E7/B7)^2*((B7*G7*(B7/(2*TAN(PI()/G7))))/2))+(E7/B7)^2*((B7*G7*(B7/(2*TAN(PI()/G7))))/2)))/100^3</f>
        <v>0.20974526627218942</v>
      </c>
      <c r="R7" s="66">
        <f>Q7*1000</f>
        <v>209.74526627218941</v>
      </c>
      <c r="S7" s="113">
        <f>V7/0.45359237</f>
        <v>454.54820314892464</v>
      </c>
      <c r="T7" s="67">
        <f>V7*1000/31.1034768</f>
        <v>6628.8279625884852</v>
      </c>
      <c r="U7" s="67">
        <f>V7/1000</f>
        <v>0.20617959674556222</v>
      </c>
      <c r="V7" s="67">
        <f>Q7*H7</f>
        <v>206.17959674556221</v>
      </c>
      <c r="W7" s="114">
        <f>V7*1000</f>
        <v>206179.59674556222</v>
      </c>
      <c r="X7" s="80">
        <f>AC7/100</f>
        <v>2.5638483999269556E-2</v>
      </c>
      <c r="Y7" s="68">
        <f>AC7/4046.8564224</f>
        <v>6.3354073688793189E-4</v>
      </c>
      <c r="Z7" s="68">
        <f>AC7*10000</f>
        <v>25638.483999269556</v>
      </c>
      <c r="AA7" s="68">
        <f>AC7*100</f>
        <v>256.38483999269556</v>
      </c>
      <c r="AB7" s="68">
        <f>AC7/10000</f>
        <v>2.5638483999269559E-4</v>
      </c>
      <c r="AC7" s="68">
        <f>(((B7*G7*(B7/(2*TAN(PI()/G7))))/2)+(E7/B7)^2*((B7*G7*(B7/(2*TAN(PI()/G7))))/2)+G7*(((B7+E7)/2)*(1-(E7/B7))*SQRT((C7+D7)^2+(B7/(2*TAN(PI()/G7)))^2)))/100^2</f>
        <v>2.5638483999269557</v>
      </c>
      <c r="AD7" s="68">
        <f>AC7*1000000</f>
        <v>2563848.3999269558</v>
      </c>
      <c r="AE7" s="68">
        <f>AC7/144*10000/(2.54*2.54)</f>
        <v>27.597034498838312</v>
      </c>
      <c r="AF7" s="80">
        <f>AC7*10000/(2.54 *2.54)</f>
        <v>3973.9729678327167</v>
      </c>
      <c r="AG7" s="166">
        <v>22.846</v>
      </c>
      <c r="AH7" s="215">
        <v>20974.5</v>
      </c>
      <c r="AI7" s="65">
        <v>2097.4499999999998</v>
      </c>
      <c r="AJ7" s="65">
        <v>2.0974499999999998</v>
      </c>
      <c r="AK7" s="65">
        <v>209745</v>
      </c>
      <c r="AL7" s="65">
        <v>0.20974499999999999</v>
      </c>
      <c r="AM7" s="66">
        <v>209.745</v>
      </c>
      <c r="AN7" s="113">
        <v>454.548</v>
      </c>
      <c r="AO7" s="67">
        <v>6628.83</v>
      </c>
      <c r="AP7" s="67">
        <v>0.20618</v>
      </c>
      <c r="AQ7" s="67">
        <v>206.18</v>
      </c>
      <c r="AR7" s="114">
        <v>206180</v>
      </c>
      <c r="AS7" s="121">
        <v>2.5638500000000002E-2</v>
      </c>
      <c r="AT7" s="121">
        <v>6.3354100000000005E-4</v>
      </c>
      <c r="AU7" s="68">
        <v>25638.5</v>
      </c>
      <c r="AV7" s="68">
        <v>256.38499999999999</v>
      </c>
      <c r="AW7" s="68">
        <v>2.5638499999999998E-4</v>
      </c>
      <c r="AX7" s="68">
        <v>2.56385</v>
      </c>
      <c r="AY7" s="68">
        <v>2563848</v>
      </c>
      <c r="AZ7" s="68">
        <v>27.597000000000001</v>
      </c>
      <c r="BA7" s="216">
        <v>3973.97</v>
      </c>
      <c r="BB7" s="246">
        <f t="shared" ref="BB7:BV7" si="0">(L7-AG7)/L7</f>
        <v>6.7340067340269258E-6</v>
      </c>
      <c r="BC7" s="36">
        <f t="shared" si="0"/>
        <v>1.2695027362002111E-6</v>
      </c>
      <c r="BD7" s="37">
        <f t="shared" si="0"/>
        <v>1.2695027362435731E-6</v>
      </c>
      <c r="BE7" s="37">
        <f t="shared" si="0"/>
        <v>1.2695027362740618E-6</v>
      </c>
      <c r="BF7" s="37">
        <f t="shared" si="0"/>
        <v>1.2695027360961427E-6</v>
      </c>
      <c r="BG7" s="37">
        <f t="shared" si="0"/>
        <v>1.2695027361946639E-6</v>
      </c>
      <c r="BH7" s="38">
        <f t="shared" si="0"/>
        <v>1.269502736053865E-6</v>
      </c>
      <c r="BI7" s="105">
        <f t="shared" si="0"/>
        <v>4.4692493168654003E-7</v>
      </c>
      <c r="BJ7" s="39">
        <f t="shared" si="0"/>
        <v>-3.0735622137416301E-7</v>
      </c>
      <c r="BK7" s="39">
        <f t="shared" si="0"/>
        <v>-1.9558406561633084E-6</v>
      </c>
      <c r="BL7" s="39">
        <f t="shared" si="0"/>
        <v>-1.9558406562257716E-6</v>
      </c>
      <c r="BM7" s="106">
        <f t="shared" si="0"/>
        <v>-1.9558406561529869E-6</v>
      </c>
      <c r="BN7" s="38">
        <f t="shared" si="0"/>
        <v>-6.2409034972293946E-7</v>
      </c>
      <c r="BO7" s="37">
        <f t="shared" si="0"/>
        <v>-4.1530410412065813E-7</v>
      </c>
      <c r="BP7" s="37">
        <f t="shared" si="0"/>
        <v>-6.240903496624971E-7</v>
      </c>
      <c r="BQ7" s="37">
        <f t="shared" si="0"/>
        <v>-6.2409034962702325E-7</v>
      </c>
      <c r="BR7" s="37">
        <f t="shared" si="0"/>
        <v>-6.2409034946921085E-7</v>
      </c>
      <c r="BS7" s="37">
        <f t="shared" si="0"/>
        <v>-6.2409034962009484E-7</v>
      </c>
      <c r="BT7" s="37">
        <f t="shared" si="0"/>
        <v>1.5598697482389105E-7</v>
      </c>
      <c r="BU7" s="37">
        <f t="shared" si="0"/>
        <v>1.2500922268288733E-6</v>
      </c>
      <c r="BV7" s="40">
        <f t="shared" si="0"/>
        <v>7.468175402550092E-7</v>
      </c>
    </row>
    <row r="8" spans="2:74" x14ac:dyDescent="0.25">
      <c r="B8" s="86">
        <v>5</v>
      </c>
      <c r="C8" s="87">
        <v>7</v>
      </c>
      <c r="D8" s="87">
        <v>6</v>
      </c>
      <c r="E8" s="149">
        <f t="shared" ref="E8:E14" si="1">B8*(D8/(C8+D8))</f>
        <v>2.3076923076923079</v>
      </c>
      <c r="F8" s="156" t="s">
        <v>3</v>
      </c>
      <c r="G8" s="97">
        <v>56</v>
      </c>
      <c r="H8" s="59"/>
      <c r="I8" s="4">
        <v>12.6</v>
      </c>
      <c r="J8" s="58"/>
      <c r="K8" s="55"/>
      <c r="L8" s="167">
        <f t="shared" ref="L8:L14" si="2">B8*(D8/(C8+D8))</f>
        <v>2.3076923076923079</v>
      </c>
      <c r="M8" s="69">
        <f t="shared" ref="M8:M14" si="3">Q8*100000</f>
        <v>68955937.097574055</v>
      </c>
      <c r="N8" s="70">
        <f t="shared" ref="N8:N14" si="4">Q8*10000</f>
        <v>6895593.7097574053</v>
      </c>
      <c r="O8" s="70">
        <f t="shared" ref="O8:O14" si="5">Q8*10</f>
        <v>6895.5937097574051</v>
      </c>
      <c r="P8" s="70">
        <f t="shared" ref="P8:P14" si="6">Q8*1000000</f>
        <v>689559370.97574055</v>
      </c>
      <c r="Q8" s="70">
        <f>(C8/3*(((B8*G8*(B8/(2*TAN(PI()/G8))))/2)+SQRT(((B8*G8*(B8/(2*TAN(PI()/G8))))/2)*(E8/B8)^2*((B8*G8*(B8/(2*TAN(PI()/G8))))/2))+(E8/B8)^2*((B8*G8*(B8/(2*TAN(PI()/G8))))/2)))*0.3048^3</f>
        <v>689.55937097574053</v>
      </c>
      <c r="R8" s="71">
        <f t="shared" ref="R8:R14" si="7">Q8*1000</f>
        <v>689559.37097574049</v>
      </c>
      <c r="S8" s="115">
        <f t="shared" ref="S8:S14" si="8">V8/0.45359237</f>
        <v>19154749.173347712</v>
      </c>
      <c r="T8" s="72">
        <f t="shared" ref="T8:T14" si="9">V8*1000/31.1034768</f>
        <v>279340092.11132085</v>
      </c>
      <c r="U8" s="72">
        <f t="shared" ref="U8:U14" si="10">V8/1000</f>
        <v>8688.4480742943306</v>
      </c>
      <c r="V8" s="72">
        <f>Q8*1000*I8</f>
        <v>8688448.0742943306</v>
      </c>
      <c r="W8" s="116">
        <f t="shared" ref="W8:W14" si="11">V8*1000</f>
        <v>8688448074.2943306</v>
      </c>
      <c r="X8" s="81">
        <f t="shared" ref="X8:X14" si="12">AC8/100</f>
        <v>11.770361813922371</v>
      </c>
      <c r="Y8" s="73">
        <f t="shared" ref="Y8:Y14" si="13">AC8/4046.8564224</f>
        <v>0.29085197460358436</v>
      </c>
      <c r="Z8" s="73">
        <f t="shared" ref="Z8:Z14" si="14">AC8*10000</f>
        <v>11770361.81392237</v>
      </c>
      <c r="AA8" s="73">
        <f t="shared" ref="AA8:AA14" si="15">AC8*100</f>
        <v>117703.6181392237</v>
      </c>
      <c r="AB8" s="73">
        <f t="shared" ref="AB8:AB14" si="16">AC8/10000</f>
        <v>0.1177036181392237</v>
      </c>
      <c r="AC8" s="73">
        <f>(((B8*G8*(B8/(2*TAN(PI()/G8))))/2)+(E8/B8)^2*((B8*G8*(B8/(2*TAN(PI()/G8))))/2)+G8*(((B8+E8)/2)*(1-(E8/B8))*SQRT((C8+D8)^2+(B8/(2*TAN(PI()/G8)))^2)))*0.3048^2</f>
        <v>1177.036181392237</v>
      </c>
      <c r="AD8" s="73">
        <f t="shared" ref="AD8:AD14" si="17">AC8*1000000</f>
        <v>1177036181.3922369</v>
      </c>
      <c r="AE8" s="73">
        <f t="shared" ref="AE8:AE14" si="18">AC8/144*10000/(2.54*2.54)</f>
        <v>12669.512013732136</v>
      </c>
      <c r="AF8" s="81">
        <f t="shared" ref="AF8:AF14" si="19">AC8*10000/(2.54 *2.54)</f>
        <v>1824409.7299774273</v>
      </c>
      <c r="AG8" s="167">
        <v>2.3077000000000001</v>
      </c>
      <c r="AH8" s="217">
        <v>68955937</v>
      </c>
      <c r="AI8" s="69">
        <v>6895594</v>
      </c>
      <c r="AJ8" s="70">
        <v>6895.59</v>
      </c>
      <c r="AK8" s="70">
        <v>689559371</v>
      </c>
      <c r="AL8" s="70">
        <v>689.55899999999997</v>
      </c>
      <c r="AM8" s="71">
        <v>689559</v>
      </c>
      <c r="AN8" s="115">
        <v>19154749</v>
      </c>
      <c r="AO8" s="72">
        <v>279340092</v>
      </c>
      <c r="AP8" s="72">
        <v>8688.4500000000007</v>
      </c>
      <c r="AQ8" s="72">
        <v>8688448</v>
      </c>
      <c r="AR8" s="116">
        <v>8688448074</v>
      </c>
      <c r="AS8" s="123">
        <v>11.7704</v>
      </c>
      <c r="AT8" s="123">
        <v>0.290852</v>
      </c>
      <c r="AU8" s="73">
        <v>11770362</v>
      </c>
      <c r="AV8" s="73">
        <v>117704</v>
      </c>
      <c r="AW8" s="73">
        <v>0.117704</v>
      </c>
      <c r="AX8" s="73">
        <v>1177.04</v>
      </c>
      <c r="AY8" s="73">
        <v>1177036181</v>
      </c>
      <c r="AZ8" s="73">
        <v>12669.5</v>
      </c>
      <c r="BA8" s="218">
        <v>1824410</v>
      </c>
      <c r="BB8" s="247">
        <f t="shared" ref="BB8:BB14" si="20">(L8-AG8)/L8</f>
        <v>-3.3333333332663525E-6</v>
      </c>
      <c r="BC8" s="41">
        <f t="shared" ref="BC8:BH14" si="21">(M8-AH8)/M8</f>
        <v>1.4150203637546895E-9</v>
      </c>
      <c r="BD8" s="42">
        <f t="shared" si="21"/>
        <v>-4.2091023178479887E-8</v>
      </c>
      <c r="BE8" s="42">
        <f t="shared" si="21"/>
        <v>5.3798955697278345E-7</v>
      </c>
      <c r="BF8" s="42">
        <f t="shared" si="21"/>
        <v>-3.5181086752725906E-11</v>
      </c>
      <c r="BG8" s="42">
        <f t="shared" si="21"/>
        <v>5.3798955707170472E-7</v>
      </c>
      <c r="BH8" s="43">
        <f t="shared" si="21"/>
        <v>5.3798955695695611E-7</v>
      </c>
      <c r="BI8" s="107">
        <f t="shared" ref="BI8:BI14" si="22">(S8-AN8)/S8</f>
        <v>9.0498554689669183E-9</v>
      </c>
      <c r="BJ8" s="44">
        <f t="shared" ref="BJ8:BV14" si="23">(T8-AO8)/T8</f>
        <v>3.9851369845247462E-10</v>
      </c>
      <c r="BK8" s="44">
        <f t="shared" si="23"/>
        <v>-2.2163977429337126E-7</v>
      </c>
      <c r="BL8" s="44">
        <f t="shared" si="23"/>
        <v>8.550932216770425E-9</v>
      </c>
      <c r="BM8" s="108">
        <f t="shared" si="23"/>
        <v>3.3876084014892778E-11</v>
      </c>
      <c r="BN8" s="43">
        <f t="shared" si="23"/>
        <v>-3.2442569084464198E-6</v>
      </c>
      <c r="BO8" s="42">
        <f t="shared" si="23"/>
        <v>-8.7317322400030557E-8</v>
      </c>
      <c r="BP8" s="42">
        <f t="shared" si="23"/>
        <v>-1.5808998320445781E-8</v>
      </c>
      <c r="BQ8" s="42">
        <f t="shared" si="23"/>
        <v>-3.2442569084273438E-6</v>
      </c>
      <c r="BR8" s="42">
        <f t="shared" si="23"/>
        <v>-3.2442569085124469E-6</v>
      </c>
      <c r="BS8" s="42">
        <f t="shared" si="23"/>
        <v>-3.244256908404163E-6</v>
      </c>
      <c r="BT8" s="42">
        <f t="shared" si="23"/>
        <v>3.3324119871094784E-10</v>
      </c>
      <c r="BU8" s="42">
        <f t="shared" si="23"/>
        <v>9.4823953144425334E-7</v>
      </c>
      <c r="BV8" s="45">
        <f t="shared" si="23"/>
        <v>-1.4800544432529361E-7</v>
      </c>
    </row>
    <row r="9" spans="2:74" x14ac:dyDescent="0.25">
      <c r="B9" s="86">
        <v>19</v>
      </c>
      <c r="C9" s="87">
        <v>16</v>
      </c>
      <c r="D9" s="87">
        <v>23</v>
      </c>
      <c r="E9" s="149">
        <f t="shared" si="1"/>
        <v>11.205128205128206</v>
      </c>
      <c r="F9" s="156" t="s">
        <v>4</v>
      </c>
      <c r="G9" s="97">
        <v>123</v>
      </c>
      <c r="H9" s="59"/>
      <c r="I9" s="56"/>
      <c r="J9" s="5">
        <v>62.865000000000002</v>
      </c>
      <c r="K9" s="55"/>
      <c r="L9" s="167">
        <f t="shared" si="2"/>
        <v>11.205128205128206</v>
      </c>
      <c r="M9" s="69">
        <f t="shared" si="3"/>
        <v>7358069.8576857569</v>
      </c>
      <c r="N9" s="70">
        <f t="shared" si="4"/>
        <v>735806.98576857569</v>
      </c>
      <c r="O9" s="70">
        <f t="shared" si="5"/>
        <v>735.80698576857571</v>
      </c>
      <c r="P9" s="70">
        <f t="shared" si="6"/>
        <v>73580698.576857567</v>
      </c>
      <c r="Q9" s="70">
        <f>(C9/3*(((B9*G9*(B9/(2*TAN(PI()/G9))))/2)+SQRT(((B9*G9*(B9/(2*TAN(PI()/G9))))/2)*(E9/B9)^2*((B9*G9*(B9/(2*TAN(PI()/G9))))/2))+(E9/B9)^2*((B9*G9*(B9/(2*TAN(PI()/G9))))/2)))*(2.54/100)^3</f>
        <v>73.580698576857571</v>
      </c>
      <c r="R9" s="71">
        <f t="shared" si="7"/>
        <v>73580.698576857569</v>
      </c>
      <c r="S9" s="115">
        <f t="shared" si="8"/>
        <v>163353.30987529439</v>
      </c>
      <c r="T9" s="72">
        <f t="shared" si="9"/>
        <v>2382235.7690147106</v>
      </c>
      <c r="U9" s="72">
        <f t="shared" si="10"/>
        <v>74.095814973679197</v>
      </c>
      <c r="V9" s="72">
        <f>Q9*(0.45359237/0.3048^3)*J9</f>
        <v>74095.814973679197</v>
      </c>
      <c r="W9" s="116">
        <f t="shared" si="11"/>
        <v>74095814.9736792</v>
      </c>
      <c r="X9" s="81">
        <f t="shared" si="12"/>
        <v>5.6167692990833453</v>
      </c>
      <c r="Y9" s="73">
        <f t="shared" si="13"/>
        <v>0.13879339202630528</v>
      </c>
      <c r="Z9" s="73">
        <f t="shared" si="14"/>
        <v>5616769.2990833446</v>
      </c>
      <c r="AA9" s="73">
        <f t="shared" si="15"/>
        <v>56167.69299083345</v>
      </c>
      <c r="AB9" s="73">
        <f t="shared" si="16"/>
        <v>5.6167692990833448E-2</v>
      </c>
      <c r="AC9" s="73">
        <f>(((B9*G9*(B9/(2*TAN(PI()/G9))))/2)+(E9/B9)^2*((B9*G9*(B9/(2*TAN(PI()/G9))))/2)+G9*(((B9+E9)/2)*(1-(E9/B9))*SQRT((C9+D9)^2+(B9/(2*TAN(PI()/G9)))^2)))*(2.54/100)^2</f>
        <v>561.6769299083345</v>
      </c>
      <c r="AD9" s="73">
        <f t="shared" si="17"/>
        <v>561676929.90833449</v>
      </c>
      <c r="AE9" s="73">
        <f t="shared" si="18"/>
        <v>6045.8401566658586</v>
      </c>
      <c r="AF9" s="81">
        <f t="shared" si="19"/>
        <v>870600.9825598835</v>
      </c>
      <c r="AG9" s="167">
        <v>11.205</v>
      </c>
      <c r="AH9" s="217">
        <v>7358070</v>
      </c>
      <c r="AI9" s="70">
        <v>735807</v>
      </c>
      <c r="AJ9" s="70">
        <v>735.80700000000002</v>
      </c>
      <c r="AK9" s="70">
        <v>73580699</v>
      </c>
      <c r="AL9" s="70">
        <v>73.580699999999993</v>
      </c>
      <c r="AM9" s="71">
        <v>73580.7</v>
      </c>
      <c r="AN9" s="115">
        <v>163353</v>
      </c>
      <c r="AO9" s="72">
        <v>2382236</v>
      </c>
      <c r="AP9" s="72">
        <v>74.095799999999997</v>
      </c>
      <c r="AQ9" s="72">
        <v>74095.8</v>
      </c>
      <c r="AR9" s="116">
        <v>74095815</v>
      </c>
      <c r="AS9" s="123">
        <v>5.6167699999999998</v>
      </c>
      <c r="AT9" s="123">
        <v>0.138793</v>
      </c>
      <c r="AU9" s="73">
        <v>5616769</v>
      </c>
      <c r="AV9" s="73">
        <v>56167.7</v>
      </c>
      <c r="AW9" s="73">
        <v>5.6167700000000001E-2</v>
      </c>
      <c r="AX9" s="73">
        <v>561.67700000000002</v>
      </c>
      <c r="AY9" s="73">
        <v>561676930</v>
      </c>
      <c r="AZ9" s="73">
        <v>6045.84</v>
      </c>
      <c r="BA9" s="218">
        <v>870601</v>
      </c>
      <c r="BB9" s="247">
        <f t="shared" si="20"/>
        <v>1.1441647597341154E-5</v>
      </c>
      <c r="BC9" s="41">
        <f t="shared" si="21"/>
        <v>-1.9341246533794969E-8</v>
      </c>
      <c r="BD9" s="42">
        <f t="shared" si="21"/>
        <v>-1.9341246533794969E-8</v>
      </c>
      <c r="BE9" s="42">
        <f t="shared" si="21"/>
        <v>-1.934124651896236E-8</v>
      </c>
      <c r="BF9" s="42">
        <f t="shared" si="21"/>
        <v>-5.7507259559994136E-9</v>
      </c>
      <c r="BG9" s="42">
        <f t="shared" si="21"/>
        <v>-1.9341246403082611E-8</v>
      </c>
      <c r="BH9" s="43">
        <f t="shared" si="21"/>
        <v>-1.9341246494241346E-8</v>
      </c>
      <c r="BI9" s="107">
        <f t="shared" si="22"/>
        <v>1.896963671125449E-6</v>
      </c>
      <c r="BJ9" s="44">
        <f t="shared" si="23"/>
        <v>-9.6961557056585625E-8</v>
      </c>
      <c r="BK9" s="44">
        <f t="shared" si="23"/>
        <v>2.0208535670994693E-7</v>
      </c>
      <c r="BL9" s="44">
        <f t="shared" si="23"/>
        <v>2.0208535662862785E-7</v>
      </c>
      <c r="BM9" s="108">
        <f t="shared" si="23"/>
        <v>-3.5522654274810794E-10</v>
      </c>
      <c r="BN9" s="43">
        <f t="shared" si="23"/>
        <v>-1.2479000243237085E-7</v>
      </c>
      <c r="BO9" s="42">
        <f t="shared" si="23"/>
        <v>2.8245314820530936E-6</v>
      </c>
      <c r="BP9" s="42">
        <f t="shared" si="23"/>
        <v>5.3248287175896288E-8</v>
      </c>
      <c r="BQ9" s="42">
        <f t="shared" si="23"/>
        <v>-1.2479000247791222E-7</v>
      </c>
      <c r="BR9" s="42">
        <f t="shared" si="23"/>
        <v>-1.247900025707344E-7</v>
      </c>
      <c r="BS9" s="42">
        <f t="shared" si="23"/>
        <v>-1.2479000255887467E-7</v>
      </c>
      <c r="BT9" s="42">
        <f t="shared" si="23"/>
        <v>-1.6319969983078141E-10</v>
      </c>
      <c r="BU9" s="42">
        <f t="shared" si="23"/>
        <v>2.5913000402387434E-8</v>
      </c>
      <c r="BV9" s="45">
        <f t="shared" si="23"/>
        <v>-2.0032272933277691E-8</v>
      </c>
    </row>
    <row r="10" spans="2:74" x14ac:dyDescent="0.25">
      <c r="B10" s="86">
        <v>45</v>
      </c>
      <c r="C10" s="87">
        <v>77</v>
      </c>
      <c r="D10" s="87">
        <v>34</v>
      </c>
      <c r="E10" s="149">
        <f t="shared" si="1"/>
        <v>13.783783783783782</v>
      </c>
      <c r="F10" s="156" t="s">
        <v>5</v>
      </c>
      <c r="G10" s="97">
        <v>667</v>
      </c>
      <c r="H10" s="59"/>
      <c r="I10" s="56"/>
      <c r="J10" s="56"/>
      <c r="K10" s="17">
        <v>5.43</v>
      </c>
      <c r="L10" s="167">
        <f t="shared" si="2"/>
        <v>13.783783783783782</v>
      </c>
      <c r="M10" s="69">
        <f t="shared" si="3"/>
        <v>257632950879326.5</v>
      </c>
      <c r="N10" s="70">
        <f t="shared" si="4"/>
        <v>25763295087932.648</v>
      </c>
      <c r="O10" s="70">
        <f t="shared" si="5"/>
        <v>25763295087.932648</v>
      </c>
      <c r="P10" s="70">
        <f t="shared" si="6"/>
        <v>2576329508793265</v>
      </c>
      <c r="Q10" s="70">
        <f>C10/3*(((B10*G10*(B10/(2*TAN(PI()/G10))))/2)+SQRT(((B10*G10*(B10/(2*TAN(PI()/G10))))/2)*(E10/B10)^2*((B10*G10*(B10/(2*TAN(PI()/G10))))/2))+(E10/B10)^2*((B10*G10*(B10/(2*TAN(PI()/G10))))/2))</f>
        <v>2576329508.7932649</v>
      </c>
      <c r="R10" s="71">
        <f t="shared" si="7"/>
        <v>2576329508793.2646</v>
      </c>
      <c r="S10" s="115">
        <f t="shared" si="8"/>
        <v>30841500338172.41</v>
      </c>
      <c r="T10" s="72">
        <f t="shared" si="9"/>
        <v>449771879931681</v>
      </c>
      <c r="U10" s="72">
        <f t="shared" si="10"/>
        <v>13989469232.747425</v>
      </c>
      <c r="V10" s="72">
        <f>Q10*1000*K10</f>
        <v>13989469232747.426</v>
      </c>
      <c r="W10" s="116">
        <f t="shared" si="11"/>
        <v>1.3989469232747426E+16</v>
      </c>
      <c r="X10" s="81">
        <f t="shared" si="12"/>
        <v>1433991.9945625884</v>
      </c>
      <c r="Y10" s="73">
        <f t="shared" si="13"/>
        <v>35434.713883724966</v>
      </c>
      <c r="Z10" s="73">
        <f t="shared" si="14"/>
        <v>1433991994562.5884</v>
      </c>
      <c r="AA10" s="73">
        <f t="shared" si="15"/>
        <v>14339919945.625883</v>
      </c>
      <c r="AB10" s="73">
        <f t="shared" si="16"/>
        <v>14339.919945625883</v>
      </c>
      <c r="AC10" s="73">
        <f>((B10*G10*(B10/(2*TAN(PI()/G10))))/2)+(E10/B10)^2*((B10*G10*(B10/(2*TAN(PI()/G10))))/2)+G10*(((B10+E10)/2)*(1-(E10/B10))*SQRT((C10+D10)^2+(B10/(2*TAN(PI()/G10)))^2))</f>
        <v>143399199.45625883</v>
      </c>
      <c r="AD10" s="73">
        <f t="shared" si="17"/>
        <v>143399199456258.84</v>
      </c>
      <c r="AE10" s="73">
        <f t="shared" si="18"/>
        <v>1543536136.7750597</v>
      </c>
      <c r="AF10" s="81">
        <f t="shared" si="19"/>
        <v>222269203695.60858</v>
      </c>
      <c r="AG10" s="167">
        <v>13.784000000000001</v>
      </c>
      <c r="AH10" s="217">
        <v>257632950879327</v>
      </c>
      <c r="AI10" s="70">
        <v>25763295087933</v>
      </c>
      <c r="AJ10" s="70">
        <v>25763295088</v>
      </c>
      <c r="AK10" s="70">
        <v>2576329508793270</v>
      </c>
      <c r="AL10" s="70">
        <v>2576329509</v>
      </c>
      <c r="AM10" s="71">
        <v>2576329508793</v>
      </c>
      <c r="AN10" s="115">
        <v>30841500338172</v>
      </c>
      <c r="AO10" s="72">
        <v>449771879931681</v>
      </c>
      <c r="AP10" s="72">
        <v>13989469233</v>
      </c>
      <c r="AQ10" s="72">
        <v>13989469232747</v>
      </c>
      <c r="AR10" s="116">
        <v>1.39894692327474E+16</v>
      </c>
      <c r="AS10" s="123">
        <v>1433992</v>
      </c>
      <c r="AT10" s="123">
        <v>35434.699999999997</v>
      </c>
      <c r="AU10" s="73">
        <v>1433991994563</v>
      </c>
      <c r="AV10" s="73">
        <v>14339919946</v>
      </c>
      <c r="AW10" s="73">
        <v>14339.9</v>
      </c>
      <c r="AX10" s="73">
        <v>143399199</v>
      </c>
      <c r="AY10" s="73">
        <v>143399199456258</v>
      </c>
      <c r="AZ10" s="73">
        <v>1543536137</v>
      </c>
      <c r="BA10" s="218">
        <v>222269203696</v>
      </c>
      <c r="BB10" s="247">
        <f t="shared" si="20"/>
        <v>-1.5686274509951966E-5</v>
      </c>
      <c r="BC10" s="41">
        <f t="shared" si="21"/>
        <v>-1.9407455385402025E-15</v>
      </c>
      <c r="BD10" s="42">
        <f t="shared" si="21"/>
        <v>-1.3645867067860798E-14</v>
      </c>
      <c r="BE10" s="42">
        <f t="shared" si="21"/>
        <v>-2.6142733176014569E-12</v>
      </c>
      <c r="BF10" s="42">
        <f t="shared" si="21"/>
        <v>-1.9407455385402025E-15</v>
      </c>
      <c r="BG10" s="42">
        <f t="shared" si="21"/>
        <v>-8.0244057842426063E-11</v>
      </c>
      <c r="BH10" s="43">
        <f t="shared" si="21"/>
        <v>1.0272305487195213E-13</v>
      </c>
      <c r="BI10" s="107">
        <f t="shared" si="22"/>
        <v>1.3298842322931714E-14</v>
      </c>
      <c r="BJ10" s="44">
        <f t="shared" si="23"/>
        <v>0</v>
      </c>
      <c r="BK10" s="44">
        <f t="shared" si="23"/>
        <v>-1.8054646423829554E-11</v>
      </c>
      <c r="BL10" s="44">
        <f t="shared" si="23"/>
        <v>3.0435840196374609E-14</v>
      </c>
      <c r="BM10" s="108">
        <f t="shared" si="23"/>
        <v>1.8585408472208204E-15</v>
      </c>
      <c r="BN10" s="43">
        <f t="shared" si="23"/>
        <v>-3.7918005270192883E-9</v>
      </c>
      <c r="BO10" s="42">
        <f t="shared" si="23"/>
        <v>3.9181140319975162E-7</v>
      </c>
      <c r="BP10" s="42">
        <f t="shared" si="23"/>
        <v>-2.8704560088953431E-13</v>
      </c>
      <c r="BQ10" s="42">
        <f t="shared" si="23"/>
        <v>-2.6089190107168274E-11</v>
      </c>
      <c r="BR10" s="42">
        <f t="shared" si="23"/>
        <v>1.3909161249831075E-6</v>
      </c>
      <c r="BS10" s="42">
        <f t="shared" si="23"/>
        <v>3.1817390552973671E-9</v>
      </c>
      <c r="BT10" s="42">
        <f t="shared" si="23"/>
        <v>5.8839240609384964E-15</v>
      </c>
      <c r="BU10" s="42">
        <f t="shared" si="23"/>
        <v>-1.4573050453989704E-10</v>
      </c>
      <c r="BV10" s="45">
        <f t="shared" si="23"/>
        <v>-1.7610107496821133E-12</v>
      </c>
    </row>
    <row r="11" spans="2:74" x14ac:dyDescent="0.25">
      <c r="B11" s="86">
        <v>65</v>
      </c>
      <c r="C11" s="87">
        <v>35</v>
      </c>
      <c r="D11" s="87">
        <v>14</v>
      </c>
      <c r="E11" s="149">
        <f t="shared" si="1"/>
        <v>18.571428571428569</v>
      </c>
      <c r="F11" s="156" t="s">
        <v>6</v>
      </c>
      <c r="G11" s="97">
        <v>34</v>
      </c>
      <c r="H11" s="11">
        <v>23</v>
      </c>
      <c r="I11" s="58"/>
      <c r="J11" s="58"/>
      <c r="K11" s="55"/>
      <c r="L11" s="167">
        <f t="shared" si="2"/>
        <v>18.571428571428569</v>
      </c>
      <c r="M11" s="69">
        <f t="shared" si="3"/>
        <v>2.576964415502829E+21</v>
      </c>
      <c r="N11" s="70">
        <f t="shared" si="4"/>
        <v>2.5769644155028288E+20</v>
      </c>
      <c r="O11" s="70">
        <f t="shared" si="5"/>
        <v>2.5769644155028288E+17</v>
      </c>
      <c r="P11" s="70">
        <f t="shared" si="6"/>
        <v>2.576964415502829E+22</v>
      </c>
      <c r="Q11" s="70">
        <f>(C11/3*(((B11*G11*(B11/(2*TAN(PI()/G11))))/2)+SQRT(((B11*G11*(B11/(2*TAN(PI()/G11))))/2)*(E11/B11)^2*((B11*G11*(B11/(2*TAN(PI()/G11))))/2))+(E11/B11)^2*((B11*G11*(B11/(2*TAN(PI()/G11))))/2)))*(63360*2.54/100)^3</f>
        <v>2.5769644155028288E+16</v>
      </c>
      <c r="R11" s="71">
        <f t="shared" si="7"/>
        <v>2.5769644155028287E+19</v>
      </c>
      <c r="S11" s="115">
        <f t="shared" si="8"/>
        <v>1.3066838306068744E+18</v>
      </c>
      <c r="T11" s="72">
        <f t="shared" si="9"/>
        <v>1.9055805863016915E+19</v>
      </c>
      <c r="U11" s="72">
        <f t="shared" si="10"/>
        <v>592701815565650.75</v>
      </c>
      <c r="V11" s="72">
        <f>Q11*H11</f>
        <v>5.9270181556565069E+17</v>
      </c>
      <c r="W11" s="116">
        <f t="shared" si="11"/>
        <v>5.9270181556565062E+20</v>
      </c>
      <c r="X11" s="81">
        <f t="shared" si="12"/>
        <v>20164919730.631325</v>
      </c>
      <c r="Y11" s="73">
        <f t="shared" si="13"/>
        <v>498286018.22924227</v>
      </c>
      <c r="Z11" s="73">
        <f t="shared" si="14"/>
        <v>2.0164919730631324E+16</v>
      </c>
      <c r="AA11" s="73">
        <f t="shared" si="15"/>
        <v>201649197306313.25</v>
      </c>
      <c r="AB11" s="73">
        <f t="shared" si="16"/>
        <v>201649197.30631325</v>
      </c>
      <c r="AC11" s="73">
        <f>(((B11*G11*(B11/(2*TAN(PI()/G11))))/2)+(E11/B11)^2*((B11*G11*(B11/(2*TAN(PI()/G11))))/2)+G11*(((B11+E11)/2)*(1-(E11/B11))*SQRT((C11+D11)^2+(B11/(2*TAN(PI()/G11)))^2)))*(63360*2.54/100)^2</f>
        <v>2016491973063.1326</v>
      </c>
      <c r="AD11" s="73">
        <f t="shared" si="17"/>
        <v>2.0164919730631327E+18</v>
      </c>
      <c r="AE11" s="73">
        <f t="shared" si="18"/>
        <v>21705338954065.793</v>
      </c>
      <c r="AF11" s="81">
        <f t="shared" si="19"/>
        <v>3125568809385474</v>
      </c>
      <c r="AG11" s="167">
        <v>18.571000000000002</v>
      </c>
      <c r="AH11" s="217">
        <v>2.57696441550283E+21</v>
      </c>
      <c r="AI11" s="70">
        <v>2.5769644155028301E+20</v>
      </c>
      <c r="AJ11" s="70">
        <v>2.5769644155028301E+17</v>
      </c>
      <c r="AK11" s="70">
        <v>2.5769644155028298E+22</v>
      </c>
      <c r="AL11" s="70">
        <v>2.57696441550283E+16</v>
      </c>
      <c r="AM11" s="71">
        <v>2.57696441550283E+19</v>
      </c>
      <c r="AN11" s="115">
        <v>1.30668383060687E+18</v>
      </c>
      <c r="AO11" s="72">
        <v>1.9055805863016899E+19</v>
      </c>
      <c r="AP11" s="72">
        <v>592701815565651</v>
      </c>
      <c r="AQ11" s="72">
        <v>5.9270181556565094E+17</v>
      </c>
      <c r="AR11" s="116">
        <v>5.9270181556565102E+20</v>
      </c>
      <c r="AS11" s="123">
        <v>20164919731</v>
      </c>
      <c r="AT11" s="123">
        <v>498286018</v>
      </c>
      <c r="AU11" s="73">
        <v>2.01649197306313E+16</v>
      </c>
      <c r="AV11" s="73">
        <v>201649197306313</v>
      </c>
      <c r="AW11" s="73">
        <v>201649197</v>
      </c>
      <c r="AX11" s="73">
        <v>2016491973063</v>
      </c>
      <c r="AY11" s="73">
        <v>2.0164919730631301E+18</v>
      </c>
      <c r="AZ11" s="73">
        <v>21705338954066</v>
      </c>
      <c r="BA11" s="218">
        <v>3125568809385470</v>
      </c>
      <c r="BB11" s="247">
        <f t="shared" si="20"/>
        <v>2.3076923076732653E-5</v>
      </c>
      <c r="BC11" s="41">
        <f t="shared" si="21"/>
        <v>-4.0690356207165441E-16</v>
      </c>
      <c r="BD11" s="42">
        <f t="shared" si="21"/>
        <v>-5.08629452589568E-16</v>
      </c>
      <c r="BE11" s="42">
        <f t="shared" si="21"/>
        <v>-4.9670844979450008E-16</v>
      </c>
      <c r="BF11" s="42">
        <f t="shared" si="21"/>
        <v>-3.2552284965732355E-16</v>
      </c>
      <c r="BG11" s="42">
        <f t="shared" si="21"/>
        <v>-4.6566417168234379E-16</v>
      </c>
      <c r="BH11" s="43">
        <f t="shared" si="21"/>
        <v>-4.7684011180272008E-16</v>
      </c>
      <c r="BI11" s="107">
        <f t="shared" si="22"/>
        <v>3.3305684956541963E-15</v>
      </c>
      <c r="BJ11" s="44">
        <f t="shared" si="23"/>
        <v>8.5979045534871363E-16</v>
      </c>
      <c r="BK11" s="44">
        <f t="shared" si="23"/>
        <v>-4.2179725695864467E-16</v>
      </c>
      <c r="BL11" s="44">
        <f t="shared" si="23"/>
        <v>-4.3192039112565216E-16</v>
      </c>
      <c r="BM11" s="108">
        <f t="shared" si="23"/>
        <v>-6.6342972076900179E-16</v>
      </c>
      <c r="BN11" s="43">
        <f t="shared" si="23"/>
        <v>-1.8283000223083519E-11</v>
      </c>
      <c r="BO11" s="42">
        <f t="shared" si="23"/>
        <v>4.6006160485721521E-10</v>
      </c>
      <c r="BP11" s="42">
        <f t="shared" si="23"/>
        <v>1.1901857443817659E-15</v>
      </c>
      <c r="BQ11" s="42">
        <f t="shared" si="23"/>
        <v>1.2397768170643393E-15</v>
      </c>
      <c r="BR11" s="42">
        <f t="shared" si="23"/>
        <v>1.5190402470249809E-9</v>
      </c>
      <c r="BS11" s="42">
        <f t="shared" si="23"/>
        <v>6.574207145175159E-14</v>
      </c>
      <c r="BT11" s="42">
        <f t="shared" si="23"/>
        <v>1.2695314606738835E-15</v>
      </c>
      <c r="BU11" s="42">
        <f t="shared" si="23"/>
        <v>-9.538263854719458E-15</v>
      </c>
      <c r="BV11" s="45">
        <f t="shared" si="23"/>
        <v>1.2797670580755667E-15</v>
      </c>
    </row>
    <row r="12" spans="2:74" x14ac:dyDescent="0.25">
      <c r="B12" s="86">
        <v>59</v>
      </c>
      <c r="C12" s="87">
        <v>45</v>
      </c>
      <c r="D12" s="87">
        <v>99</v>
      </c>
      <c r="E12" s="149">
        <f t="shared" si="1"/>
        <v>40.5625</v>
      </c>
      <c r="F12" s="156" t="s">
        <v>7</v>
      </c>
      <c r="G12" s="97">
        <v>89</v>
      </c>
      <c r="H12" s="59"/>
      <c r="I12" s="4">
        <v>1998</v>
      </c>
      <c r="J12" s="58"/>
      <c r="K12" s="55"/>
      <c r="L12" s="167">
        <f t="shared" si="2"/>
        <v>40.5625</v>
      </c>
      <c r="M12" s="69">
        <f t="shared" si="3"/>
        <v>7106.7357517598894</v>
      </c>
      <c r="N12" s="70">
        <f t="shared" si="4"/>
        <v>710.67357517598896</v>
      </c>
      <c r="O12" s="70">
        <f t="shared" si="5"/>
        <v>0.71067357517598895</v>
      </c>
      <c r="P12" s="70">
        <f t="shared" si="6"/>
        <v>71067.357517598895</v>
      </c>
      <c r="Q12" s="70">
        <f>(C12/3*(((B12*G12*(B12/(2*TAN(PI()/G12))))/2)+SQRT(((B12*G12*(B12/(2*TAN(PI()/G12))))/2)*(E12/B12)^2*((B12*G12*(B12/(2*TAN(PI()/G12))))/2))+(E12/B12)^2*((B12*G12*(B12/(2*TAN(PI()/G12))))/2)))/1000^3</f>
        <v>7.1067357517598892E-2</v>
      </c>
      <c r="R12" s="71">
        <f t="shared" si="7"/>
        <v>71.067357517598893</v>
      </c>
      <c r="S12" s="115">
        <f t="shared" si="8"/>
        <v>313040.05470850971</v>
      </c>
      <c r="T12" s="72">
        <f t="shared" si="9"/>
        <v>4565167.4644991001</v>
      </c>
      <c r="U12" s="72">
        <f t="shared" si="10"/>
        <v>141.99258032016257</v>
      </c>
      <c r="V12" s="72">
        <f>Q12*1000*I12</f>
        <v>141992.58032016258</v>
      </c>
      <c r="W12" s="116">
        <f t="shared" si="11"/>
        <v>141992580.32016259</v>
      </c>
      <c r="X12" s="81">
        <f t="shared" si="12"/>
        <v>4.4036146137711417E-2</v>
      </c>
      <c r="Y12" s="73">
        <f t="shared" si="13"/>
        <v>1.0881568689703018E-3</v>
      </c>
      <c r="Z12" s="73">
        <f t="shared" si="14"/>
        <v>44036.146137711417</v>
      </c>
      <c r="AA12" s="73">
        <f t="shared" si="15"/>
        <v>440.36146137711415</v>
      </c>
      <c r="AB12" s="73">
        <f t="shared" si="16"/>
        <v>4.4036146137711415E-4</v>
      </c>
      <c r="AC12" s="73">
        <f>(((B12*G12*(B12/(2*TAN(PI()/G12))))/2)+(E12/B12)^2*((B12*G12*(B12/(2*TAN(PI()/G12))))/2)+G12*(((B12+E12)/2)*(1-(E12/B12))*SQRT((C12+D12)^2+(B12/(2*TAN(PI()/G12)))^2)))/1000^2</f>
        <v>4.4036146137711416</v>
      </c>
      <c r="AD12" s="73">
        <f t="shared" si="17"/>
        <v>4403614.6137711415</v>
      </c>
      <c r="AE12" s="73">
        <f t="shared" si="18"/>
        <v>47.400113212346355</v>
      </c>
      <c r="AF12" s="81">
        <f t="shared" si="19"/>
        <v>6825.6163025778751</v>
      </c>
      <c r="AG12" s="167">
        <v>40.561999999999998</v>
      </c>
      <c r="AH12" s="217">
        <v>7106.74</v>
      </c>
      <c r="AI12" s="70">
        <v>710.67399999999998</v>
      </c>
      <c r="AJ12" s="70">
        <v>0.71067400000000003</v>
      </c>
      <c r="AK12" s="70">
        <v>71067.399999999994</v>
      </c>
      <c r="AL12" s="70">
        <v>7.1067400000000003E-2</v>
      </c>
      <c r="AM12" s="71">
        <v>71.067400000000006</v>
      </c>
      <c r="AN12" s="115">
        <v>313040</v>
      </c>
      <c r="AO12" s="72">
        <v>4565167</v>
      </c>
      <c r="AP12" s="72">
        <v>141.99299999999999</v>
      </c>
      <c r="AQ12" s="72">
        <v>141993</v>
      </c>
      <c r="AR12" s="116">
        <v>141992580</v>
      </c>
      <c r="AS12" s="123">
        <v>4.4036100000000002E-2</v>
      </c>
      <c r="AT12" s="123">
        <v>1.0881599999999999E-3</v>
      </c>
      <c r="AU12" s="73">
        <v>44036.1</v>
      </c>
      <c r="AV12" s="73">
        <v>440.36099999999999</v>
      </c>
      <c r="AW12" s="73">
        <v>4.4036100000000001E-4</v>
      </c>
      <c r="AX12" s="73">
        <v>4.4036099999999996</v>
      </c>
      <c r="AY12" s="73">
        <v>4403615</v>
      </c>
      <c r="AZ12" s="73">
        <v>47.400100000000002</v>
      </c>
      <c r="BA12" s="218">
        <v>6825.62</v>
      </c>
      <c r="BB12" s="247">
        <f t="shared" si="20"/>
        <v>1.2326656394511863E-5</v>
      </c>
      <c r="BC12" s="41">
        <f t="shared" si="21"/>
        <v>-5.9777656843030834E-7</v>
      </c>
      <c r="BD12" s="42">
        <f t="shared" si="21"/>
        <v>-5.9777656839831421E-7</v>
      </c>
      <c r="BE12" s="42">
        <f t="shared" si="21"/>
        <v>-5.9777656848329862E-7</v>
      </c>
      <c r="BF12" s="42">
        <f t="shared" si="21"/>
        <v>-5.9777656835352248E-7</v>
      </c>
      <c r="BG12" s="42">
        <f t="shared" si="21"/>
        <v>-5.9777656852235393E-7</v>
      </c>
      <c r="BH12" s="43">
        <f t="shared" si="21"/>
        <v>-5.9777656855828475E-7</v>
      </c>
      <c r="BI12" s="107">
        <f t="shared" si="22"/>
        <v>1.7476520618712233E-7</v>
      </c>
      <c r="BJ12" s="44">
        <f t="shared" si="23"/>
        <v>1.0174853468653439E-7</v>
      </c>
      <c r="BK12" s="44">
        <f t="shared" si="23"/>
        <v>-2.9556462490834714E-6</v>
      </c>
      <c r="BL12" s="44">
        <f t="shared" si="23"/>
        <v>-2.9556462490610529E-6</v>
      </c>
      <c r="BM12" s="108">
        <f t="shared" si="23"/>
        <v>2.2547839724899175E-9</v>
      </c>
      <c r="BN12" s="43">
        <f t="shared" si="23"/>
        <v>1.0477236420957043E-6</v>
      </c>
      <c r="BO12" s="42">
        <f t="shared" si="23"/>
        <v>-2.8773697868221307E-6</v>
      </c>
      <c r="BP12" s="42">
        <f t="shared" si="23"/>
        <v>1.0477236421772083E-6</v>
      </c>
      <c r="BQ12" s="42">
        <f t="shared" si="23"/>
        <v>1.0477236421204116E-6</v>
      </c>
      <c r="BR12" s="42">
        <f t="shared" si="23"/>
        <v>1.0477236420661594E-6</v>
      </c>
      <c r="BS12" s="42">
        <f t="shared" si="23"/>
        <v>1.0477236422091565E-6</v>
      </c>
      <c r="BT12" s="42">
        <f t="shared" si="23"/>
        <v>-8.7707234253751398E-8</v>
      </c>
      <c r="BU12" s="42">
        <f t="shared" si="23"/>
        <v>2.7874081848279387E-7</v>
      </c>
      <c r="BV12" s="45">
        <f t="shared" si="23"/>
        <v>-5.4169791574586153E-7</v>
      </c>
    </row>
    <row r="13" spans="2:74" x14ac:dyDescent="0.25">
      <c r="B13" s="86">
        <v>177</v>
      </c>
      <c r="C13" s="87">
        <v>124</v>
      </c>
      <c r="D13" s="87">
        <v>167</v>
      </c>
      <c r="E13" s="149">
        <f t="shared" si="1"/>
        <v>101.57731958762886</v>
      </c>
      <c r="F13" s="156" t="s">
        <v>8</v>
      </c>
      <c r="G13" s="97">
        <v>24</v>
      </c>
      <c r="H13" s="59"/>
      <c r="I13" s="58"/>
      <c r="J13" s="4">
        <v>135.69999999999999</v>
      </c>
      <c r="K13" s="55"/>
      <c r="L13" s="167">
        <f t="shared" si="2"/>
        <v>101.57731958762886</v>
      </c>
      <c r="M13" s="69">
        <f t="shared" si="3"/>
        <v>8587522878984.9971</v>
      </c>
      <c r="N13" s="70">
        <f t="shared" si="4"/>
        <v>858752287898.49963</v>
      </c>
      <c r="O13" s="70">
        <f t="shared" si="5"/>
        <v>858752287.89849973</v>
      </c>
      <c r="P13" s="70">
        <f t="shared" si="6"/>
        <v>85875228789849.969</v>
      </c>
      <c r="Q13" s="70">
        <f>(C13/3*(((B13*G13*(B13/(2*TAN(PI()/G13))))/2)+SQRT(((B13*G13*(B13/(2*TAN(PI()/G13))))/2)*(E13/B13)^2*((B13*G13*(B13/(2*TAN(PI()/G13))))/2))+(E13/B13)^2*((B13*G13*(B13/(2*TAN(PI()/G13))))/2)))*0.9144^3</f>
        <v>85875228.789849967</v>
      </c>
      <c r="R13" s="71">
        <f t="shared" si="7"/>
        <v>85875228789.84996</v>
      </c>
      <c r="S13" s="115">
        <f t="shared" si="8"/>
        <v>411531294945.63452</v>
      </c>
      <c r="T13" s="72">
        <f t="shared" si="9"/>
        <v>6001498051290.5029</v>
      </c>
      <c r="U13" s="72">
        <f t="shared" si="10"/>
        <v>186667455.40355939</v>
      </c>
      <c r="V13" s="72">
        <f>Q13*(0.45359237/0.3048^3)*J13</f>
        <v>186667455403.55939</v>
      </c>
      <c r="W13" s="116">
        <f t="shared" si="11"/>
        <v>186667455403559.37</v>
      </c>
      <c r="X13" s="81">
        <f t="shared" si="12"/>
        <v>24594.518642252493</v>
      </c>
      <c r="Y13" s="73">
        <f t="shared" si="13"/>
        <v>607.74379110951111</v>
      </c>
      <c r="Z13" s="73">
        <f t="shared" si="14"/>
        <v>24594518642.252491</v>
      </c>
      <c r="AA13" s="73">
        <f t="shared" si="15"/>
        <v>245945186.42252493</v>
      </c>
      <c r="AB13" s="73">
        <f t="shared" si="16"/>
        <v>245.94518642252493</v>
      </c>
      <c r="AC13" s="73">
        <f>(((B13*G13*(B13/(2*TAN(PI()/G13))))/2)+(E13/B13)^2*((B13*G13*(B13/(2*TAN(PI()/G13))))/2)+G13*(((B13+E13)/2)*(1-(E13/B13))*SQRT((C13+D13)^2+(B13/(2*TAN(PI()/G13)))^2)))*0.9144^2</f>
        <v>2459451.8642252493</v>
      </c>
      <c r="AD13" s="73">
        <f t="shared" si="17"/>
        <v>2459451864225.2495</v>
      </c>
      <c r="AE13" s="73">
        <f t="shared" si="18"/>
        <v>26473319.540730309</v>
      </c>
      <c r="AF13" s="81">
        <f t="shared" si="19"/>
        <v>3812158013.8651638</v>
      </c>
      <c r="AG13" s="167">
        <v>101.58</v>
      </c>
      <c r="AH13" s="217">
        <v>8587522878985</v>
      </c>
      <c r="AI13" s="70">
        <v>858752287898</v>
      </c>
      <c r="AJ13" s="70">
        <v>858752288</v>
      </c>
      <c r="AK13" s="70">
        <v>85875228789850</v>
      </c>
      <c r="AL13" s="70">
        <v>85875229</v>
      </c>
      <c r="AM13" s="71">
        <v>85875228790</v>
      </c>
      <c r="AN13" s="115">
        <v>411531294946</v>
      </c>
      <c r="AO13" s="72">
        <v>6001498051291</v>
      </c>
      <c r="AP13" s="72">
        <v>186667455</v>
      </c>
      <c r="AQ13" s="72">
        <v>186667455404</v>
      </c>
      <c r="AR13" s="116">
        <v>186667455403559</v>
      </c>
      <c r="AS13" s="123">
        <v>24594.5</v>
      </c>
      <c r="AT13" s="123">
        <v>607.74400000000003</v>
      </c>
      <c r="AU13" s="73">
        <v>24594518642</v>
      </c>
      <c r="AV13" s="73">
        <v>245945186</v>
      </c>
      <c r="AW13" s="73">
        <v>245.94499999999999</v>
      </c>
      <c r="AX13" s="73">
        <v>2459452</v>
      </c>
      <c r="AY13" s="73">
        <v>2459451864225</v>
      </c>
      <c r="AZ13" s="73">
        <v>26473320</v>
      </c>
      <c r="BA13" s="218">
        <v>3812158014</v>
      </c>
      <c r="BB13" s="247">
        <f t="shared" si="20"/>
        <v>-2.6387902161781542E-5</v>
      </c>
      <c r="BC13" s="41">
        <f t="shared" si="21"/>
        <v>-3.4115629632491583E-16</v>
      </c>
      <c r="BD13" s="42">
        <f t="shared" si="21"/>
        <v>5.818136336907836E-13</v>
      </c>
      <c r="BE13" s="42">
        <f t="shared" si="21"/>
        <v>-1.1819505366237968E-10</v>
      </c>
      <c r="BF13" s="42">
        <f t="shared" si="21"/>
        <v>-3.6390004941324358E-16</v>
      </c>
      <c r="BG13" s="42">
        <f t="shared" si="21"/>
        <v>-2.4471554393155647E-9</v>
      </c>
      <c r="BH13" s="43">
        <f t="shared" si="21"/>
        <v>-1.747182219668176E-12</v>
      </c>
      <c r="BI13" s="107">
        <f t="shared" si="22"/>
        <v>-8.8809410150273418E-13</v>
      </c>
      <c r="BJ13" s="44">
        <f t="shared" si="23"/>
        <v>-8.2824372890217783E-14</v>
      </c>
      <c r="BK13" s="44">
        <f t="shared" si="23"/>
        <v>2.1619161511455359E-9</v>
      </c>
      <c r="BL13" s="44">
        <f t="shared" si="23"/>
        <v>-2.3604157029739442E-12</v>
      </c>
      <c r="BM13" s="108">
        <f t="shared" si="23"/>
        <v>2.0089200829854432E-15</v>
      </c>
      <c r="BN13" s="43">
        <f t="shared" si="23"/>
        <v>7.5798403555590316E-7</v>
      </c>
      <c r="BO13" s="42">
        <f t="shared" si="23"/>
        <v>-3.437147231718032E-7</v>
      </c>
      <c r="BP13" s="42">
        <f t="shared" si="23"/>
        <v>1.0266149176861008E-11</v>
      </c>
      <c r="BQ13" s="42">
        <f t="shared" si="23"/>
        <v>1.7179638080850597E-9</v>
      </c>
      <c r="BR13" s="42">
        <f t="shared" si="23"/>
        <v>7.5798403556977046E-7</v>
      </c>
      <c r="BS13" s="42">
        <f t="shared" si="23"/>
        <v>-5.5205288911369073E-8</v>
      </c>
      <c r="BT13" s="42">
        <f t="shared" si="23"/>
        <v>1.0145013300701396E-13</v>
      </c>
      <c r="BU13" s="42">
        <f t="shared" si="23"/>
        <v>-1.7348398282733803E-8</v>
      </c>
      <c r="BV13" s="45">
        <f t="shared" si="23"/>
        <v>-3.5370044056149455E-11</v>
      </c>
    </row>
    <row r="14" spans="2:74" ht="15.75" thickBot="1" x14ac:dyDescent="0.3">
      <c r="B14" s="88">
        <v>66</v>
      </c>
      <c r="C14" s="89">
        <v>55</v>
      </c>
      <c r="D14" s="89">
        <v>66</v>
      </c>
      <c r="E14" s="150">
        <f t="shared" si="1"/>
        <v>36</v>
      </c>
      <c r="F14" s="157" t="s">
        <v>43</v>
      </c>
      <c r="G14" s="98">
        <v>50</v>
      </c>
      <c r="H14" s="63"/>
      <c r="I14" s="60"/>
      <c r="J14" s="60"/>
      <c r="K14" s="15">
        <v>3588</v>
      </c>
      <c r="L14" s="168">
        <f t="shared" si="2"/>
        <v>36</v>
      </c>
      <c r="M14" s="79">
        <f t="shared" si="3"/>
        <v>2.9241988876501192E-6</v>
      </c>
      <c r="N14" s="74">
        <f t="shared" si="4"/>
        <v>2.9241988876501187E-7</v>
      </c>
      <c r="O14" s="74">
        <f t="shared" si="5"/>
        <v>2.9241988876501189E-10</v>
      </c>
      <c r="P14" s="74">
        <f t="shared" si="6"/>
        <v>2.9241988876501189E-5</v>
      </c>
      <c r="Q14" s="74">
        <f>(C14/3*(((B14*G14*(B14/(2*TAN(PI()/G14))))/2)+SQRT(((B14*G14*(B14/(2*TAN(PI()/G14))))/2)*(E14/B14)^2*((B14*G14*(B14/(2*TAN(PI()/G14))))/2))+(E14/B14)^2*((B14*G14*(B14/(2*TAN(PI()/G14))))/2)))/1000000^3</f>
        <v>2.924198887650119E-11</v>
      </c>
      <c r="R14" s="75">
        <f t="shared" si="7"/>
        <v>2.9241988876501191E-8</v>
      </c>
      <c r="S14" s="117">
        <f t="shared" si="8"/>
        <v>2.3130957006372544E-4</v>
      </c>
      <c r="T14" s="76">
        <f t="shared" si="9"/>
        <v>3.3732645634293296E-3</v>
      </c>
      <c r="U14" s="76">
        <f t="shared" si="10"/>
        <v>1.0492025608888628E-7</v>
      </c>
      <c r="V14" s="76">
        <f>Q14*1000*K14</f>
        <v>1.0492025608888628E-4</v>
      </c>
      <c r="W14" s="118">
        <f t="shared" si="11"/>
        <v>0.10492025608888628</v>
      </c>
      <c r="X14" s="82">
        <f t="shared" si="12"/>
        <v>1.7468831901753941E-8</v>
      </c>
      <c r="Y14" s="77">
        <f t="shared" si="13"/>
        <v>4.3166423708686944E-10</v>
      </c>
      <c r="Z14" s="77">
        <f t="shared" si="14"/>
        <v>1.746883190175394E-2</v>
      </c>
      <c r="AA14" s="77">
        <f t="shared" si="15"/>
        <v>1.746883190175394E-4</v>
      </c>
      <c r="AB14" s="77">
        <f t="shared" si="16"/>
        <v>1.7468831901753939E-10</v>
      </c>
      <c r="AC14" s="77">
        <f>(((B14*G14*(B14/(2*TAN(PI()/G14))))/2)+(E14/B14)^2*((B14*G14*(B14/(2*TAN(PI()/G14))))/2)+G14*(((B14+E14)/2)*(1-(E14/B14))*SQRT((C14+D14)^2+(B14/(2*TAN(PI()/G14)))^2)))/1000000^2</f>
        <v>1.746883190175394E-6</v>
      </c>
      <c r="AD14" s="77">
        <f t="shared" si="17"/>
        <v>1.7468831901753941</v>
      </c>
      <c r="AE14" s="77">
        <f t="shared" si="18"/>
        <v>1.8803294167504035E-5</v>
      </c>
      <c r="AF14" s="82">
        <f t="shared" si="19"/>
        <v>2.7076743601205807E-3</v>
      </c>
      <c r="AG14" s="168">
        <v>36</v>
      </c>
      <c r="AH14" s="219">
        <v>2.92419888765012E-6</v>
      </c>
      <c r="AI14" s="74">
        <v>2.9241988876501198E-7</v>
      </c>
      <c r="AJ14" s="74">
        <v>2.9241988876501199E-10</v>
      </c>
      <c r="AK14" s="74">
        <v>2.9241988876501199E-5</v>
      </c>
      <c r="AL14" s="74">
        <v>2.9241988876501203E-11</v>
      </c>
      <c r="AM14" s="75">
        <v>2.9241988876501201E-8</v>
      </c>
      <c r="AN14" s="117">
        <v>2.3131000000000001E-4</v>
      </c>
      <c r="AO14" s="76">
        <v>3.3732599999999999E-3</v>
      </c>
      <c r="AP14" s="76">
        <v>1.04920256088886E-7</v>
      </c>
      <c r="AQ14" s="76">
        <v>1.0492000000000001E-4</v>
      </c>
      <c r="AR14" s="118">
        <v>0.10492</v>
      </c>
      <c r="AS14" s="125">
        <v>1.7468831901753901E-8</v>
      </c>
      <c r="AT14" s="125">
        <v>4.3166423708687001E-10</v>
      </c>
      <c r="AU14" s="77">
        <v>1.74688E-2</v>
      </c>
      <c r="AV14" s="77">
        <v>1.7468799999999999E-4</v>
      </c>
      <c r="AW14" s="77">
        <v>1.7468831901753901E-10</v>
      </c>
      <c r="AX14" s="77">
        <v>1.74688319017539E-6</v>
      </c>
      <c r="AY14" s="77">
        <v>1.74688</v>
      </c>
      <c r="AZ14" s="77">
        <v>1.8803294167504001E-5</v>
      </c>
      <c r="BA14" s="220">
        <v>2.7076700000000001E-3</v>
      </c>
      <c r="BB14" s="248">
        <f t="shared" si="20"/>
        <v>0</v>
      </c>
      <c r="BC14" s="46">
        <f t="shared" si="21"/>
        <v>-2.8966324788358511E-16</v>
      </c>
      <c r="BD14" s="47">
        <f t="shared" si="21"/>
        <v>-3.6207905985448147E-16</v>
      </c>
      <c r="BE14" s="47">
        <f t="shared" si="21"/>
        <v>-3.5359283188914203E-16</v>
      </c>
      <c r="BF14" s="47">
        <f t="shared" si="21"/>
        <v>-3.4759589746030217E-16</v>
      </c>
      <c r="BG14" s="47">
        <f t="shared" si="21"/>
        <v>-4.4199103986142753E-16</v>
      </c>
      <c r="BH14" s="48">
        <f t="shared" si="21"/>
        <v>-3.394491186135763E-16</v>
      </c>
      <c r="BI14" s="109">
        <f t="shared" si="22"/>
        <v>-1.8587050870905199E-6</v>
      </c>
      <c r="BJ14" s="49">
        <f t="shared" si="23"/>
        <v>1.3528228349487383E-6</v>
      </c>
      <c r="BK14" s="49">
        <f t="shared" si="23"/>
        <v>2.6489897773634716E-15</v>
      </c>
      <c r="BL14" s="49">
        <f t="shared" si="23"/>
        <v>2.4407954747917593E-6</v>
      </c>
      <c r="BM14" s="110">
        <f t="shared" si="23"/>
        <v>2.44079547480726E-6</v>
      </c>
      <c r="BN14" s="48">
        <f t="shared" si="23"/>
        <v>2.2728863398450141E-15</v>
      </c>
      <c r="BO14" s="47">
        <f t="shared" si="23"/>
        <v>-1.3174282747351207E-15</v>
      </c>
      <c r="BP14" s="47">
        <f t="shared" si="23"/>
        <v>1.8262099102750131E-6</v>
      </c>
      <c r="BQ14" s="47">
        <f t="shared" si="23"/>
        <v>1.8262099103308715E-6</v>
      </c>
      <c r="BR14" s="47">
        <f t="shared" si="23"/>
        <v>2.2196155662548966E-15</v>
      </c>
      <c r="BS14" s="47">
        <f t="shared" si="23"/>
        <v>2.3031914910429475E-15</v>
      </c>
      <c r="BT14" s="47">
        <f t="shared" si="23"/>
        <v>1.8262099103226788E-6</v>
      </c>
      <c r="BU14" s="47">
        <f t="shared" si="23"/>
        <v>1.8018820313265059E-15</v>
      </c>
      <c r="BV14" s="50">
        <f t="shared" si="23"/>
        <v>1.6102824788576795E-6</v>
      </c>
    </row>
    <row r="15" spans="2:74" ht="15.75" thickTop="1" x14ac:dyDescent="0.25"/>
    <row r="16" spans="2:74" ht="15.75" thickBot="1" x14ac:dyDescent="0.3"/>
    <row r="17" spans="2:74" ht="30.75" customHeight="1" thickTop="1" thickBot="1" x14ac:dyDescent="0.3">
      <c r="B17" s="343" t="s">
        <v>46</v>
      </c>
      <c r="C17" s="344"/>
      <c r="D17" s="344"/>
      <c r="E17" s="357"/>
      <c r="F17" s="346" t="s">
        <v>55</v>
      </c>
      <c r="G17" s="347"/>
      <c r="H17" s="347"/>
      <c r="I17" s="347"/>
      <c r="J17" s="347"/>
      <c r="K17" s="348"/>
    </row>
    <row r="18" spans="2:74" ht="16.5" customHeight="1" thickTop="1" thickBot="1" x14ac:dyDescent="0.3">
      <c r="B18" s="337" t="s">
        <v>57</v>
      </c>
      <c r="C18" s="338"/>
      <c r="D18" s="338"/>
      <c r="E18" s="338"/>
      <c r="F18" s="338"/>
      <c r="G18" s="339"/>
      <c r="H18" s="311" t="s">
        <v>31</v>
      </c>
      <c r="I18" s="312"/>
      <c r="J18" s="312"/>
      <c r="K18" s="313"/>
      <c r="L18" s="165" t="s">
        <v>89</v>
      </c>
      <c r="M18" s="340" t="s">
        <v>21</v>
      </c>
      <c r="N18" s="341"/>
      <c r="O18" s="341"/>
      <c r="P18" s="341"/>
      <c r="Q18" s="341"/>
      <c r="R18" s="341"/>
      <c r="S18" s="294" t="s">
        <v>22</v>
      </c>
      <c r="T18" s="295"/>
      <c r="U18" s="295"/>
      <c r="V18" s="295"/>
      <c r="W18" s="296"/>
      <c r="X18" s="304" t="s">
        <v>44</v>
      </c>
      <c r="Y18" s="305"/>
      <c r="Z18" s="305"/>
      <c r="AA18" s="305"/>
      <c r="AB18" s="305"/>
      <c r="AC18" s="305"/>
      <c r="AD18" s="305"/>
      <c r="AE18" s="305"/>
      <c r="AF18" s="403"/>
      <c r="AG18" s="165" t="s">
        <v>89</v>
      </c>
      <c r="AH18" s="405" t="s">
        <v>21</v>
      </c>
      <c r="AI18" s="301"/>
      <c r="AJ18" s="301"/>
      <c r="AK18" s="301"/>
      <c r="AL18" s="301"/>
      <c r="AM18" s="301"/>
      <c r="AN18" s="294" t="s">
        <v>22</v>
      </c>
      <c r="AO18" s="295"/>
      <c r="AP18" s="295"/>
      <c r="AQ18" s="295"/>
      <c r="AR18" s="296"/>
      <c r="AS18" s="304" t="s">
        <v>45</v>
      </c>
      <c r="AT18" s="305"/>
      <c r="AU18" s="305"/>
      <c r="AV18" s="305"/>
      <c r="AW18" s="305"/>
      <c r="AX18" s="305"/>
      <c r="AY18" s="305"/>
      <c r="AZ18" s="305"/>
      <c r="BA18" s="305"/>
      <c r="BB18" s="245" t="s">
        <v>89</v>
      </c>
      <c r="BC18" s="322" t="s">
        <v>21</v>
      </c>
      <c r="BD18" s="323"/>
      <c r="BE18" s="323"/>
      <c r="BF18" s="323"/>
      <c r="BG18" s="323"/>
      <c r="BH18" s="323"/>
      <c r="BI18" s="322" t="s">
        <v>22</v>
      </c>
      <c r="BJ18" s="323"/>
      <c r="BK18" s="323"/>
      <c r="BL18" s="323"/>
      <c r="BM18" s="324"/>
      <c r="BN18" s="328" t="s">
        <v>45</v>
      </c>
      <c r="BO18" s="323"/>
      <c r="BP18" s="323"/>
      <c r="BQ18" s="323"/>
      <c r="BR18" s="323"/>
      <c r="BS18" s="323"/>
      <c r="BT18" s="323"/>
      <c r="BU18" s="323"/>
      <c r="BV18" s="329"/>
    </row>
    <row r="19" spans="2:74" s="18" customFormat="1" ht="15" customHeight="1" thickBot="1" x14ac:dyDescent="0.3">
      <c r="B19" s="377" t="s">
        <v>0</v>
      </c>
      <c r="C19" s="379" t="s">
        <v>20</v>
      </c>
      <c r="D19" s="371" t="s">
        <v>90</v>
      </c>
      <c r="E19" s="396" t="s">
        <v>95</v>
      </c>
      <c r="F19" s="362" t="s">
        <v>1</v>
      </c>
      <c r="G19" s="413" t="s">
        <v>84</v>
      </c>
      <c r="H19" s="314"/>
      <c r="I19" s="315"/>
      <c r="J19" s="315"/>
      <c r="K19" s="316"/>
      <c r="L19" s="399" t="s">
        <v>90</v>
      </c>
      <c r="M19" s="342"/>
      <c r="N19" s="342"/>
      <c r="O19" s="342"/>
      <c r="P19" s="342"/>
      <c r="Q19" s="342"/>
      <c r="R19" s="342"/>
      <c r="S19" s="297"/>
      <c r="T19" s="298"/>
      <c r="U19" s="298"/>
      <c r="V19" s="298"/>
      <c r="W19" s="299"/>
      <c r="X19" s="307"/>
      <c r="Y19" s="307"/>
      <c r="Z19" s="307"/>
      <c r="AA19" s="307"/>
      <c r="AB19" s="307"/>
      <c r="AC19" s="307"/>
      <c r="AD19" s="307"/>
      <c r="AE19" s="307"/>
      <c r="AF19" s="404"/>
      <c r="AG19" s="399" t="s">
        <v>90</v>
      </c>
      <c r="AH19" s="406"/>
      <c r="AI19" s="303"/>
      <c r="AJ19" s="303"/>
      <c r="AK19" s="303"/>
      <c r="AL19" s="303"/>
      <c r="AM19" s="303"/>
      <c r="AN19" s="297"/>
      <c r="AO19" s="298"/>
      <c r="AP19" s="298"/>
      <c r="AQ19" s="298"/>
      <c r="AR19" s="299"/>
      <c r="AS19" s="307"/>
      <c r="AT19" s="307"/>
      <c r="AU19" s="307"/>
      <c r="AV19" s="307"/>
      <c r="AW19" s="307"/>
      <c r="AX19" s="307"/>
      <c r="AY19" s="307"/>
      <c r="AZ19" s="307"/>
      <c r="BA19" s="307"/>
      <c r="BB19" s="401" t="s">
        <v>90</v>
      </c>
      <c r="BC19" s="325"/>
      <c r="BD19" s="326"/>
      <c r="BE19" s="326"/>
      <c r="BF19" s="326"/>
      <c r="BG19" s="326"/>
      <c r="BH19" s="326"/>
      <c r="BI19" s="325"/>
      <c r="BJ19" s="326"/>
      <c r="BK19" s="326"/>
      <c r="BL19" s="326"/>
      <c r="BM19" s="327"/>
      <c r="BN19" s="326"/>
      <c r="BO19" s="326"/>
      <c r="BP19" s="326"/>
      <c r="BQ19" s="326"/>
      <c r="BR19" s="326"/>
      <c r="BS19" s="326"/>
      <c r="BT19" s="326"/>
      <c r="BU19" s="326"/>
      <c r="BV19" s="330"/>
    </row>
    <row r="20" spans="2:74" s="18" customFormat="1" ht="18" thickBot="1" x14ac:dyDescent="0.3">
      <c r="B20" s="378"/>
      <c r="C20" s="380"/>
      <c r="D20" s="372"/>
      <c r="E20" s="397"/>
      <c r="F20" s="363"/>
      <c r="G20" s="414"/>
      <c r="H20" s="19" t="s">
        <v>29</v>
      </c>
      <c r="I20" s="20" t="s">
        <v>28</v>
      </c>
      <c r="J20" s="20" t="s">
        <v>30</v>
      </c>
      <c r="K20" s="21" t="s">
        <v>27</v>
      </c>
      <c r="L20" s="400"/>
      <c r="M20" s="29" t="s">
        <v>32</v>
      </c>
      <c r="N20" s="24" t="s">
        <v>34</v>
      </c>
      <c r="O20" s="24" t="s">
        <v>33</v>
      </c>
      <c r="P20" s="24" t="s">
        <v>35</v>
      </c>
      <c r="Q20" s="24" t="s">
        <v>37</v>
      </c>
      <c r="R20" s="30" t="s">
        <v>36</v>
      </c>
      <c r="S20" s="111" t="s">
        <v>38</v>
      </c>
      <c r="T20" s="22" t="s">
        <v>39</v>
      </c>
      <c r="U20" s="22" t="s">
        <v>40</v>
      </c>
      <c r="V20" s="22" t="s">
        <v>41</v>
      </c>
      <c r="W20" s="112" t="s">
        <v>42</v>
      </c>
      <c r="X20" s="25" t="s">
        <v>11</v>
      </c>
      <c r="Y20" s="23" t="s">
        <v>13</v>
      </c>
      <c r="Z20" s="23" t="s">
        <v>23</v>
      </c>
      <c r="AA20" s="23" t="s">
        <v>24</v>
      </c>
      <c r="AB20" s="23" t="s">
        <v>12</v>
      </c>
      <c r="AC20" s="23" t="s">
        <v>25</v>
      </c>
      <c r="AD20" s="23" t="s">
        <v>26</v>
      </c>
      <c r="AE20" s="23" t="s">
        <v>10</v>
      </c>
      <c r="AF20" s="25" t="s">
        <v>9</v>
      </c>
      <c r="AG20" s="400"/>
      <c r="AH20" s="31" t="s">
        <v>32</v>
      </c>
      <c r="AI20" s="24" t="s">
        <v>34</v>
      </c>
      <c r="AJ20" s="24" t="s">
        <v>33</v>
      </c>
      <c r="AK20" s="24" t="s">
        <v>35</v>
      </c>
      <c r="AL20" s="24" t="s">
        <v>37</v>
      </c>
      <c r="AM20" s="30" t="s">
        <v>36</v>
      </c>
      <c r="AN20" s="111" t="s">
        <v>38</v>
      </c>
      <c r="AO20" s="22" t="s">
        <v>39</v>
      </c>
      <c r="AP20" s="22" t="s">
        <v>40</v>
      </c>
      <c r="AQ20" s="22" t="s">
        <v>41</v>
      </c>
      <c r="AR20" s="112" t="s">
        <v>42</v>
      </c>
      <c r="AS20" s="26" t="s">
        <v>11</v>
      </c>
      <c r="AT20" s="27" t="s">
        <v>13</v>
      </c>
      <c r="AU20" s="27" t="s">
        <v>23</v>
      </c>
      <c r="AV20" s="27" t="s">
        <v>24</v>
      </c>
      <c r="AW20" s="27" t="s">
        <v>12</v>
      </c>
      <c r="AX20" s="27" t="s">
        <v>25</v>
      </c>
      <c r="AY20" s="27" t="s">
        <v>26</v>
      </c>
      <c r="AZ20" s="27" t="s">
        <v>10</v>
      </c>
      <c r="BA20" s="28" t="s">
        <v>9</v>
      </c>
      <c r="BB20" s="402"/>
      <c r="BC20" s="32" t="s">
        <v>32</v>
      </c>
      <c r="BD20" s="33" t="s">
        <v>34</v>
      </c>
      <c r="BE20" s="33" t="s">
        <v>33</v>
      </c>
      <c r="BF20" s="33" t="s">
        <v>35</v>
      </c>
      <c r="BG20" s="33" t="s">
        <v>37</v>
      </c>
      <c r="BH20" s="34" t="s">
        <v>36</v>
      </c>
      <c r="BI20" s="103" t="s">
        <v>38</v>
      </c>
      <c r="BJ20" s="33" t="s">
        <v>39</v>
      </c>
      <c r="BK20" s="33" t="s">
        <v>40</v>
      </c>
      <c r="BL20" s="33" t="s">
        <v>41</v>
      </c>
      <c r="BM20" s="104" t="s">
        <v>42</v>
      </c>
      <c r="BN20" s="34" t="s">
        <v>11</v>
      </c>
      <c r="BO20" s="33" t="s">
        <v>13</v>
      </c>
      <c r="BP20" s="33" t="s">
        <v>23</v>
      </c>
      <c r="BQ20" s="33" t="s">
        <v>24</v>
      </c>
      <c r="BR20" s="33" t="s">
        <v>12</v>
      </c>
      <c r="BS20" s="33" t="s">
        <v>25</v>
      </c>
      <c r="BT20" s="33" t="s">
        <v>26</v>
      </c>
      <c r="BU20" s="33" t="s">
        <v>10</v>
      </c>
      <c r="BV20" s="35" t="s">
        <v>9</v>
      </c>
    </row>
    <row r="21" spans="2:74" x14ac:dyDescent="0.25">
      <c r="B21" s="84">
        <v>87</v>
      </c>
      <c r="C21" s="85">
        <v>89</v>
      </c>
      <c r="D21" s="202">
        <f>C21*(E21/(B21-E21))</f>
        <v>14.24</v>
      </c>
      <c r="E21" s="127">
        <v>12</v>
      </c>
      <c r="F21" s="155" t="s">
        <v>2</v>
      </c>
      <c r="G21" s="96">
        <v>77</v>
      </c>
      <c r="H21" s="62"/>
      <c r="I21" s="53"/>
      <c r="J21" s="8">
        <v>655</v>
      </c>
      <c r="K21" s="54"/>
      <c r="L21" s="166">
        <f>C21*(E21/(B21-E21))</f>
        <v>14.24</v>
      </c>
      <c r="M21" s="78">
        <f>Q21*100000</f>
        <v>12250522.551398009</v>
      </c>
      <c r="N21" s="65">
        <f>Q21*10000</f>
        <v>1225052.255139801</v>
      </c>
      <c r="O21" s="65">
        <f>Q21*10</f>
        <v>1225.052255139801</v>
      </c>
      <c r="P21" s="65">
        <f>Q21*1000000</f>
        <v>122505225.51398009</v>
      </c>
      <c r="Q21" s="65">
        <f>(C21/3*(((B21*G21*(B21/(2*TAN(PI()/G21))))/2)+SQRT(((B21*G21*(B21/(2*TAN(PI()/G21))))/2)*(E21/B21)^2*((B21*G21*(B21/(2*TAN(PI()/G21))))/2))+(E21/B21)^2*((B21*G21*(B21/(2*TAN(PI()/G21))))/2)))/100^3</f>
        <v>122.50522551398009</v>
      </c>
      <c r="R21" s="66">
        <f>Q21*1000</f>
        <v>122505.2255139801</v>
      </c>
      <c r="S21" s="113">
        <f>V21/0.45359237</f>
        <v>2833681.4429868897</v>
      </c>
      <c r="T21" s="67">
        <f>V21*1000/31.1034768</f>
        <v>41324521.043558814</v>
      </c>
      <c r="U21" s="67">
        <f>V21/1000</f>
        <v>1285.3362815494434</v>
      </c>
      <c r="V21" s="67">
        <f>Q21*(0.45359237/0.3048^3)*J21</f>
        <v>1285336.2815494433</v>
      </c>
      <c r="W21" s="114">
        <f>V21*1000</f>
        <v>1285336281.5494432</v>
      </c>
      <c r="X21" s="80">
        <f>AC21/100</f>
        <v>7.1547638619016949</v>
      </c>
      <c r="Y21" s="68">
        <f>AC21/4046.8564224</f>
        <v>0.17679806534027073</v>
      </c>
      <c r="Z21" s="68">
        <f>AC21*10000</f>
        <v>7154763.8619016949</v>
      </c>
      <c r="AA21" s="68">
        <f>AC21*100</f>
        <v>71547.638619016943</v>
      </c>
      <c r="AB21" s="68">
        <f>AC21/10000</f>
        <v>7.1547638619016946E-2</v>
      </c>
      <c r="AC21" s="68">
        <f>(((B21*G21*(B21/(2*TAN(PI()/G21))))/2)+(E21/B21)^2*((B21*G21*(B21/(2*TAN(PI()/G21))))/2)+G21*(((B21+E21)/2)*(1-(E21/B21))*SQRT((C21+D21)^2+(B21/(2*TAN(PI()/G21)))^2)))/100^2</f>
        <v>715.47638619016948</v>
      </c>
      <c r="AD21" s="68">
        <f>AC21*1000000</f>
        <v>715476386.19016945</v>
      </c>
      <c r="AE21" s="68">
        <f>AC21/144*10000/(2.54*2.54)</f>
        <v>7701.3237262221937</v>
      </c>
      <c r="AF21" s="80">
        <f>AC21*10000/(2.54 *2.54)</f>
        <v>1108990.6165759959</v>
      </c>
      <c r="AG21" s="166">
        <v>14.24</v>
      </c>
      <c r="AH21" s="215">
        <v>12250523</v>
      </c>
      <c r="AI21" s="65">
        <v>1225052</v>
      </c>
      <c r="AJ21" s="65">
        <v>1225.05</v>
      </c>
      <c r="AK21" s="65">
        <v>122505226</v>
      </c>
      <c r="AL21" s="65">
        <v>122.505</v>
      </c>
      <c r="AM21" s="66">
        <v>122505</v>
      </c>
      <c r="AN21" s="113">
        <v>2833681</v>
      </c>
      <c r="AO21" s="67">
        <v>41324521</v>
      </c>
      <c r="AP21" s="67">
        <v>1285.3399999999999</v>
      </c>
      <c r="AQ21" s="67">
        <v>1285336</v>
      </c>
      <c r="AR21" s="114">
        <v>1285336282</v>
      </c>
      <c r="AS21" s="121">
        <v>7.1547599999999996</v>
      </c>
      <c r="AT21" s="121">
        <v>0.17679800000000001</v>
      </c>
      <c r="AU21" s="68">
        <v>7154764</v>
      </c>
      <c r="AV21" s="68">
        <v>71547.600000000006</v>
      </c>
      <c r="AW21" s="68">
        <v>7.1547600000000003E-2</v>
      </c>
      <c r="AX21" s="68">
        <v>715.476</v>
      </c>
      <c r="AY21" s="68">
        <v>715476386</v>
      </c>
      <c r="AZ21" s="68">
        <v>7701.32</v>
      </c>
      <c r="BA21" s="216">
        <v>1108991</v>
      </c>
      <c r="BB21" s="246">
        <f t="shared" ref="BB21:BV21" si="24">(L21-AG21)/L21</f>
        <v>0</v>
      </c>
      <c r="BC21" s="36">
        <f t="shared" si="24"/>
        <v>-3.6619008622370396E-8</v>
      </c>
      <c r="BD21" s="37">
        <f t="shared" si="24"/>
        <v>2.0826850436974325E-7</v>
      </c>
      <c r="BE21" s="37">
        <f t="shared" si="24"/>
        <v>1.8408519241320591E-6</v>
      </c>
      <c r="BF21" s="37">
        <f t="shared" si="24"/>
        <v>-3.9673402284901121E-9</v>
      </c>
      <c r="BG21" s="37">
        <f t="shared" si="24"/>
        <v>1.8408519240856584E-6</v>
      </c>
      <c r="BH21" s="38">
        <f t="shared" si="24"/>
        <v>1.8408519240875145E-6</v>
      </c>
      <c r="BI21" s="105">
        <f t="shared" si="24"/>
        <v>1.5632910708388484E-7</v>
      </c>
      <c r="BJ21" s="39">
        <f t="shared" si="24"/>
        <v>1.0540669929512473E-9</v>
      </c>
      <c r="BK21" s="39">
        <f t="shared" si="24"/>
        <v>-2.8929787557847826E-6</v>
      </c>
      <c r="BL21" s="39">
        <f t="shared" si="24"/>
        <v>2.1904730092779396E-7</v>
      </c>
      <c r="BM21" s="106">
        <f t="shared" si="24"/>
        <v>-3.5053609046403185E-10</v>
      </c>
      <c r="BN21" s="38">
        <f t="shared" si="24"/>
        <v>5.3976647865174119E-7</v>
      </c>
      <c r="BO21" s="37">
        <f t="shared" si="24"/>
        <v>3.6957571111452691E-7</v>
      </c>
      <c r="BP21" s="37">
        <f t="shared" si="24"/>
        <v>-1.9301588110632086E-8</v>
      </c>
      <c r="BQ21" s="37">
        <f t="shared" si="24"/>
        <v>5.3976647843107344E-7</v>
      </c>
      <c r="BR21" s="37">
        <f t="shared" si="24"/>
        <v>5.3976647850432729E-7</v>
      </c>
      <c r="BS21" s="37">
        <f t="shared" si="24"/>
        <v>5.3976647857725841E-7</v>
      </c>
      <c r="BT21" s="37">
        <f t="shared" si="24"/>
        <v>2.6579417195519393E-10</v>
      </c>
      <c r="BU21" s="37">
        <f t="shared" si="24"/>
        <v>4.8384178181353404E-7</v>
      </c>
      <c r="BV21" s="40">
        <f t="shared" si="24"/>
        <v>-3.4574143220256108E-7</v>
      </c>
    </row>
    <row r="22" spans="2:74" x14ac:dyDescent="0.25">
      <c r="B22" s="86">
        <v>57</v>
      </c>
      <c r="C22" s="87">
        <v>68</v>
      </c>
      <c r="D22" s="210">
        <f t="shared" ref="D22:D28" si="25">C22*(E22/(B22-E22))</f>
        <v>100.52173913043478</v>
      </c>
      <c r="E22" s="128">
        <v>34</v>
      </c>
      <c r="F22" s="156" t="s">
        <v>3</v>
      </c>
      <c r="G22" s="97">
        <v>90</v>
      </c>
      <c r="H22" s="59"/>
      <c r="I22" s="58"/>
      <c r="J22" s="4">
        <v>970</v>
      </c>
      <c r="K22" s="55"/>
      <c r="L22" s="167">
        <f t="shared" ref="L22:L28" si="26">C22*(E22/(B22-E22))</f>
        <v>100.52173913043478</v>
      </c>
      <c r="M22" s="69">
        <f t="shared" ref="M22:M28" si="27">Q22*100000</f>
        <v>262316718328.63147</v>
      </c>
      <c r="N22" s="70">
        <f t="shared" ref="N22:N28" si="28">Q22*10000</f>
        <v>26231671832.863148</v>
      </c>
      <c r="O22" s="70">
        <f t="shared" ref="O22:O28" si="29">Q22*10</f>
        <v>26231671.832863148</v>
      </c>
      <c r="P22" s="70">
        <f t="shared" ref="P22:P28" si="30">Q22*1000000</f>
        <v>2623167183286.3149</v>
      </c>
      <c r="Q22" s="70">
        <f>(C22/3*(((B22*G22*(B22/(2*TAN(PI()/G22))))/2)+SQRT(((B22*G22*(B22/(2*TAN(PI()/G22))))/2)*(E22/B22)^2*((B22*G22*(B22/(2*TAN(PI()/G22))))/2))+(E22/B22)^2*((B22*G22*(B22/(2*TAN(PI()/G22))))/2)))*0.3048^3</f>
        <v>2623167.1832863148</v>
      </c>
      <c r="R22" s="71">
        <f t="shared" ref="R22:R28" si="31">Q22*1000</f>
        <v>2623167183.286315</v>
      </c>
      <c r="S22" s="115">
        <f t="shared" ref="S22:S28" si="32">V22/0.45359237</f>
        <v>89857186587.5271</v>
      </c>
      <c r="T22" s="72">
        <f t="shared" ref="T22:T28" si="33">V22*1000/31.1034768</f>
        <v>1310417304401.437</v>
      </c>
      <c r="U22" s="72">
        <f t="shared" ref="U22:U28" si="34">V22/1000</f>
        <v>40758534.225768633</v>
      </c>
      <c r="V22" s="72">
        <f>Q22*(0.45359237/0.3048^3)*J22</f>
        <v>40758534225.768631</v>
      </c>
      <c r="W22" s="116">
        <f t="shared" ref="W22:W28" si="35">V22*1000</f>
        <v>40758534225768.633</v>
      </c>
      <c r="X22" s="81">
        <f t="shared" ref="X22:X28" si="36">AC22/100</f>
        <v>3916.0606989066755</v>
      </c>
      <c r="Y22" s="73">
        <f t="shared" ref="Y22:Y28" si="37">AC22/4046.8564224</f>
        <v>96.767967285190821</v>
      </c>
      <c r="Z22" s="73">
        <f t="shared" ref="Z22:Z28" si="38">AC22*10000</f>
        <v>3916060698.9066758</v>
      </c>
      <c r="AA22" s="73">
        <f t="shared" ref="AA22:AA28" si="39">AC22*100</f>
        <v>39160606.989066757</v>
      </c>
      <c r="AB22" s="73">
        <f t="shared" ref="AB22:AB28" si="40">AC22/10000</f>
        <v>39.160606989066757</v>
      </c>
      <c r="AC22" s="73">
        <f>(((B22*G22*(B22/(2*TAN(PI()/G22))))/2)+(E22/B22)^2*((B22*G22*(B22/(2*TAN(PI()/G22))))/2)+G22*(((B22+E22)/2)*(1-(E22/B22))*SQRT((C22+D22)^2+(B22/(2*TAN(PI()/G22)))^2)))*0.3048^2</f>
        <v>391606.06989066757</v>
      </c>
      <c r="AD22" s="73">
        <f t="shared" ref="AD22:AD28" si="41">AC22*1000000</f>
        <v>391606069890.66754</v>
      </c>
      <c r="AE22" s="73">
        <f t="shared" ref="AE22:AE28" si="42">AC22/144*10000/(2.54*2.54)</f>
        <v>4215212.654942913</v>
      </c>
      <c r="AF22" s="81">
        <f t="shared" ref="AF22:AF28" si="43">AC22*10000/(2.54 *2.54)</f>
        <v>606990622.31177938</v>
      </c>
      <c r="AG22" s="167">
        <v>100.52</v>
      </c>
      <c r="AH22" s="217">
        <v>262316718329</v>
      </c>
      <c r="AI22" s="69">
        <v>26231671833</v>
      </c>
      <c r="AJ22" s="70">
        <v>26231672</v>
      </c>
      <c r="AK22" s="70">
        <v>2623167183286</v>
      </c>
      <c r="AL22" s="70">
        <v>2623167</v>
      </c>
      <c r="AM22" s="71">
        <v>2623167183</v>
      </c>
      <c r="AN22" s="115">
        <v>89857186588</v>
      </c>
      <c r="AO22" s="72">
        <v>1310417304401</v>
      </c>
      <c r="AP22" s="72">
        <v>40758534</v>
      </c>
      <c r="AQ22" s="72">
        <v>40758534226</v>
      </c>
      <c r="AR22" s="116">
        <v>40758534225769</v>
      </c>
      <c r="AS22" s="123">
        <v>3916.06</v>
      </c>
      <c r="AT22" s="123">
        <v>96.768000000000001</v>
      </c>
      <c r="AU22" s="73">
        <v>3916060699</v>
      </c>
      <c r="AV22" s="73">
        <v>39160607</v>
      </c>
      <c r="AW22" s="73">
        <v>39.160600000000002</v>
      </c>
      <c r="AX22" s="73">
        <v>391606</v>
      </c>
      <c r="AY22" s="73">
        <v>391606069891</v>
      </c>
      <c r="AZ22" s="73">
        <v>4215213</v>
      </c>
      <c r="BA22" s="218">
        <v>606990622</v>
      </c>
      <c r="BB22" s="247">
        <f t="shared" ref="BB22:BB28" si="44">(L22-AG22)/L22</f>
        <v>1.7301038062311027E-5</v>
      </c>
      <c r="BC22" s="41">
        <f t="shared" ref="BC22:BH28" si="45">(M22-AH22)/M22</f>
        <v>-1.4049057787304419E-12</v>
      </c>
      <c r="BD22" s="42">
        <f t="shared" si="45"/>
        <v>-5.2170622321085839E-12</v>
      </c>
      <c r="BE22" s="42">
        <f t="shared" si="45"/>
        <v>-6.3715668891820467E-9</v>
      </c>
      <c r="BF22" s="42">
        <f t="shared" si="45"/>
        <v>1.200615074238006E-13</v>
      </c>
      <c r="BG22" s="42">
        <f t="shared" si="45"/>
        <v>6.9872143871730702E-8</v>
      </c>
      <c r="BH22" s="43">
        <f t="shared" si="45"/>
        <v>1.0914857662092928E-10</v>
      </c>
      <c r="BI22" s="107">
        <f t="shared" ref="BI22:BI28" si="46">(S22-AN22)/S22</f>
        <v>-5.2627998781640285E-12</v>
      </c>
      <c r="BJ22" s="44">
        <f t="shared" ref="BJ22:BV28" si="47">(T22-AO22)/T22</f>
        <v>3.3349049747905693E-13</v>
      </c>
      <c r="BK22" s="44">
        <f t="shared" si="47"/>
        <v>5.5391744937697048E-9</v>
      </c>
      <c r="BL22" s="44">
        <f t="shared" si="47"/>
        <v>-5.6765784871726283E-12</v>
      </c>
      <c r="BM22" s="108">
        <f t="shared" si="47"/>
        <v>-9.0088494833029162E-15</v>
      </c>
      <c r="BN22" s="43">
        <f t="shared" si="47"/>
        <v>1.7847186989400025E-7</v>
      </c>
      <c r="BO22" s="42">
        <f t="shared" si="47"/>
        <v>-3.3807477926515899E-7</v>
      </c>
      <c r="BP22" s="42">
        <f t="shared" si="47"/>
        <v>-2.3831138379387164E-11</v>
      </c>
      <c r="BQ22" s="42">
        <f t="shared" si="47"/>
        <v>-2.7918981800510312E-10</v>
      </c>
      <c r="BR22" s="42">
        <f t="shared" si="47"/>
        <v>1.7847186987222706E-7</v>
      </c>
      <c r="BS22" s="42">
        <f t="shared" si="47"/>
        <v>1.7847186992651488E-7</v>
      </c>
      <c r="BT22" s="42">
        <f t="shared" si="47"/>
        <v>-8.4896155002543513E-13</v>
      </c>
      <c r="BU22" s="42">
        <f t="shared" si="47"/>
        <v>-8.1859947591127882E-8</v>
      </c>
      <c r="BV22" s="45">
        <f t="shared" si="47"/>
        <v>5.136477704667417E-10</v>
      </c>
    </row>
    <row r="23" spans="2:74" x14ac:dyDescent="0.25">
      <c r="B23" s="86">
        <v>28</v>
      </c>
      <c r="C23" s="87">
        <v>23</v>
      </c>
      <c r="D23" s="210">
        <f t="shared" si="25"/>
        <v>30.666666666666664</v>
      </c>
      <c r="E23" s="128">
        <v>16</v>
      </c>
      <c r="F23" s="156" t="s">
        <v>4</v>
      </c>
      <c r="G23" s="97">
        <v>36</v>
      </c>
      <c r="H23" s="59"/>
      <c r="I23" s="5">
        <v>430</v>
      </c>
      <c r="J23" s="56"/>
      <c r="K23" s="55"/>
      <c r="L23" s="167">
        <f t="shared" si="26"/>
        <v>30.666666666666664</v>
      </c>
      <c r="M23" s="69">
        <f t="shared" si="27"/>
        <v>1923097.8817152188</v>
      </c>
      <c r="N23" s="70">
        <f t="shared" si="28"/>
        <v>192309.78817152188</v>
      </c>
      <c r="O23" s="70">
        <f t="shared" si="29"/>
        <v>192.30978817152189</v>
      </c>
      <c r="P23" s="70">
        <f t="shared" si="30"/>
        <v>19230978.817152187</v>
      </c>
      <c r="Q23" s="70">
        <f>(C23/3*(((B23*G23*(B23/(2*TAN(PI()/G23))))/2)+SQRT(((B23*G23*(B23/(2*TAN(PI()/G23))))/2)*(E23/B23)^2*((B23*G23*(B23/(2*TAN(PI()/G23))))/2))+(E23/B23)^2*((B23*G23*(B23/(2*TAN(PI()/G23))))/2)))*(2.54/100)^3</f>
        <v>19.230978817152188</v>
      </c>
      <c r="R23" s="71">
        <f t="shared" si="31"/>
        <v>19230.978817152187</v>
      </c>
      <c r="S23" s="115">
        <f t="shared" si="32"/>
        <v>18230731.90445298</v>
      </c>
      <c r="T23" s="72">
        <f t="shared" si="33"/>
        <v>265864840.27327263</v>
      </c>
      <c r="U23" s="72">
        <f t="shared" si="34"/>
        <v>8269.3208913754406</v>
      </c>
      <c r="V23" s="72">
        <f>Q23*1000*I23</f>
        <v>8269320.8913754402</v>
      </c>
      <c r="W23" s="116">
        <f t="shared" si="35"/>
        <v>8269320891.3754406</v>
      </c>
      <c r="X23" s="81">
        <f t="shared" si="36"/>
        <v>1.0598307939786584</v>
      </c>
      <c r="Y23" s="73">
        <f t="shared" si="37"/>
        <v>2.6188989263674509E-2</v>
      </c>
      <c r="Z23" s="73">
        <f t="shared" si="38"/>
        <v>1059830.7939786583</v>
      </c>
      <c r="AA23" s="73">
        <f t="shared" si="39"/>
        <v>10598.307939786584</v>
      </c>
      <c r="AB23" s="73">
        <f t="shared" si="40"/>
        <v>1.0598307939786583E-2</v>
      </c>
      <c r="AC23" s="73">
        <f>(((B23*G23*(B23/(2*TAN(PI()/G23))))/2)+(E23/B23)^2*((B23*G23*(B23/(2*TAN(PI()/G23))))/2)+G23*(((B23+E23)/2)*(1-(E23/B23))*SQRT((C23+D23)^2+(B23/(2*TAN(PI()/G23)))^2)))*(2.54/100)^2</f>
        <v>105.98307939786584</v>
      </c>
      <c r="AD23" s="73">
        <f t="shared" si="41"/>
        <v>105983079.39786583</v>
      </c>
      <c r="AE23" s="73">
        <f t="shared" si="42"/>
        <v>1140.7923723256617</v>
      </c>
      <c r="AF23" s="81">
        <f t="shared" si="43"/>
        <v>164274.10161489525</v>
      </c>
      <c r="AG23" s="167">
        <v>30.667000000000002</v>
      </c>
      <c r="AH23" s="217">
        <v>1923098</v>
      </c>
      <c r="AI23" s="70">
        <v>192310</v>
      </c>
      <c r="AJ23" s="70">
        <v>192.31</v>
      </c>
      <c r="AK23" s="70">
        <v>19230979</v>
      </c>
      <c r="AL23" s="70">
        <v>19.231000000000002</v>
      </c>
      <c r="AM23" s="71">
        <v>19231</v>
      </c>
      <c r="AN23" s="115">
        <v>18230732</v>
      </c>
      <c r="AO23" s="72">
        <v>265864840</v>
      </c>
      <c r="AP23" s="72">
        <v>8269.32</v>
      </c>
      <c r="AQ23" s="72">
        <v>8269321</v>
      </c>
      <c r="AR23" s="116">
        <v>8269320891</v>
      </c>
      <c r="AS23" s="123">
        <v>1.05983</v>
      </c>
      <c r="AT23" s="123">
        <v>2.6189E-2</v>
      </c>
      <c r="AU23" s="73">
        <v>1059831</v>
      </c>
      <c r="AV23" s="73">
        <v>10598.3</v>
      </c>
      <c r="AW23" s="73">
        <v>1.05983E-2</v>
      </c>
      <c r="AX23" s="73">
        <v>105.983</v>
      </c>
      <c r="AY23" s="73">
        <v>105983079</v>
      </c>
      <c r="AZ23" s="73">
        <v>1140.79</v>
      </c>
      <c r="BA23" s="218">
        <v>164274</v>
      </c>
      <c r="BB23" s="247">
        <f t="shared" si="44"/>
        <v>-1.0869565217520439E-5</v>
      </c>
      <c r="BC23" s="41">
        <f t="shared" si="45"/>
        <v>-6.150741590184423E-8</v>
      </c>
      <c r="BD23" s="42">
        <f t="shared" si="45"/>
        <v>-1.1014960815635131E-6</v>
      </c>
      <c r="BE23" s="42">
        <f t="shared" si="45"/>
        <v>-1.1014960815505075E-6</v>
      </c>
      <c r="BF23" s="42">
        <f t="shared" si="45"/>
        <v>-9.5079826414615192E-9</v>
      </c>
      <c r="BG23" s="42">
        <f t="shared" si="45"/>
        <v>-1.1014960816613509E-6</v>
      </c>
      <c r="BH23" s="43">
        <f t="shared" si="45"/>
        <v>-1.1014960816391823E-6</v>
      </c>
      <c r="BI23" s="107">
        <f t="shared" si="46"/>
        <v>-5.2409865350493824E-9</v>
      </c>
      <c r="BJ23" s="44">
        <f t="shared" si="47"/>
        <v>1.0278630046442561E-9</v>
      </c>
      <c r="BK23" s="44">
        <f t="shared" si="47"/>
        <v>1.0779306458462223E-7</v>
      </c>
      <c r="BL23" s="44">
        <f t="shared" si="47"/>
        <v>-1.3135850120466342E-8</v>
      </c>
      <c r="BM23" s="108">
        <f t="shared" si="47"/>
        <v>4.5401623962343591E-11</v>
      </c>
      <c r="BN23" s="43">
        <f t="shared" si="47"/>
        <v>7.4915605668982089E-7</v>
      </c>
      <c r="BO23" s="42">
        <f t="shared" si="47"/>
        <v>-4.0995570251849917E-7</v>
      </c>
      <c r="BP23" s="42">
        <f t="shared" si="47"/>
        <v>-1.9439078662229848E-7</v>
      </c>
      <c r="BQ23" s="42">
        <f t="shared" si="47"/>
        <v>7.4915605678435167E-7</v>
      </c>
      <c r="BR23" s="42">
        <f t="shared" si="47"/>
        <v>7.4915605665708518E-7</v>
      </c>
      <c r="BS23" s="42">
        <f t="shared" si="47"/>
        <v>7.4915605663953868E-7</v>
      </c>
      <c r="BT23" s="42">
        <f t="shared" si="47"/>
        <v>3.7540504966679714E-9</v>
      </c>
      <c r="BU23" s="42">
        <f t="shared" si="47"/>
        <v>2.0795420089854293E-6</v>
      </c>
      <c r="BV23" s="45">
        <f t="shared" si="47"/>
        <v>6.1856917340406699E-7</v>
      </c>
    </row>
    <row r="24" spans="2:74" x14ac:dyDescent="0.25">
      <c r="B24" s="86">
        <v>128</v>
      </c>
      <c r="C24" s="87">
        <v>65</v>
      </c>
      <c r="D24" s="210">
        <f t="shared" si="25"/>
        <v>98.137254901960787</v>
      </c>
      <c r="E24" s="128">
        <v>77</v>
      </c>
      <c r="F24" s="156" t="s">
        <v>5</v>
      </c>
      <c r="G24" s="97">
        <v>120</v>
      </c>
      <c r="H24" s="59"/>
      <c r="I24" s="5">
        <v>320</v>
      </c>
      <c r="J24" s="56"/>
      <c r="K24" s="57"/>
      <c r="L24" s="167">
        <f t="shared" si="26"/>
        <v>98.137254901960787</v>
      </c>
      <c r="M24" s="69">
        <f t="shared" si="27"/>
        <v>79851495563191.109</v>
      </c>
      <c r="N24" s="70">
        <f t="shared" si="28"/>
        <v>7985149556319.1113</v>
      </c>
      <c r="O24" s="70">
        <f t="shared" si="29"/>
        <v>7985149556.3191118</v>
      </c>
      <c r="P24" s="70">
        <f t="shared" si="30"/>
        <v>798514955631911.12</v>
      </c>
      <c r="Q24" s="70">
        <f>C24/3*(((B24*G24*(B24/(2*TAN(PI()/G24))))/2)+SQRT(((B24*G24*(B24/(2*TAN(PI()/G24))))/2)*(E24/B24)^2*((B24*G24*(B24/(2*TAN(PI()/G24))))/2))+(E24/B24)^2*((B24*G24*(B24/(2*TAN(PI()/G24))))/2))</f>
        <v>798514955.63191116</v>
      </c>
      <c r="R24" s="71">
        <f t="shared" si="31"/>
        <v>798514955631.91113</v>
      </c>
      <c r="S24" s="115">
        <f t="shared" si="32"/>
        <v>563335723222618.5</v>
      </c>
      <c r="T24" s="72">
        <f t="shared" si="33"/>
        <v>8215312630329853</v>
      </c>
      <c r="U24" s="72">
        <f t="shared" si="34"/>
        <v>255524785802.21155</v>
      </c>
      <c r="V24" s="72">
        <f>Q24*1000*I24</f>
        <v>255524785802211.56</v>
      </c>
      <c r="W24" s="116">
        <f t="shared" si="35"/>
        <v>2.5552478580221155E+17</v>
      </c>
      <c r="X24" s="81">
        <f t="shared" si="36"/>
        <v>375674.36057084939</v>
      </c>
      <c r="Y24" s="73">
        <f t="shared" si="37"/>
        <v>9283.1156176293152</v>
      </c>
      <c r="Z24" s="73">
        <f t="shared" si="38"/>
        <v>375674360570.84943</v>
      </c>
      <c r="AA24" s="73">
        <f t="shared" si="39"/>
        <v>3756743605.7084942</v>
      </c>
      <c r="AB24" s="73">
        <f t="shared" si="40"/>
        <v>3756.7436057084942</v>
      </c>
      <c r="AC24" s="73">
        <f>((B24*G24*(B24/(2*TAN(PI()/G24))))/2)+(E24/B24)^2*((B24*G24*(B24/(2*TAN(PI()/G24))))/2)+G24*(((B24+E24)/2)*(1-(E24/B24))*SQRT((C24+D24)^2+(B24/(2*TAN(PI()/G24)))^2))</f>
        <v>37567436.05708494</v>
      </c>
      <c r="AD24" s="73">
        <f t="shared" si="41"/>
        <v>37567436057084.937</v>
      </c>
      <c r="AE24" s="73">
        <f t="shared" si="42"/>
        <v>404372516.30393302</v>
      </c>
      <c r="AF24" s="81">
        <f t="shared" si="43"/>
        <v>58229642347.766357</v>
      </c>
      <c r="AG24" s="167">
        <v>98.137</v>
      </c>
      <c r="AH24" s="217">
        <v>79851495563191</v>
      </c>
      <c r="AI24" s="70">
        <v>7985149556319</v>
      </c>
      <c r="AJ24" s="70">
        <v>7985149556</v>
      </c>
      <c r="AK24" s="70">
        <v>798514955631911</v>
      </c>
      <c r="AL24" s="70">
        <v>798514956</v>
      </c>
      <c r="AM24" s="71">
        <v>798514955632</v>
      </c>
      <c r="AN24" s="115">
        <v>563335723222618</v>
      </c>
      <c r="AO24" s="72">
        <v>8215312630329850</v>
      </c>
      <c r="AP24" s="72">
        <v>255524785802</v>
      </c>
      <c r="AQ24" s="72">
        <v>255524785802211</v>
      </c>
      <c r="AR24" s="116">
        <v>2.5552478580221101E+17</v>
      </c>
      <c r="AS24" s="123">
        <v>375674</v>
      </c>
      <c r="AT24" s="123">
        <v>9283.1200000000008</v>
      </c>
      <c r="AU24" s="73">
        <v>375674360571</v>
      </c>
      <c r="AV24" s="73">
        <v>3756743606</v>
      </c>
      <c r="AW24" s="73">
        <v>3756.74</v>
      </c>
      <c r="AX24" s="73">
        <v>37567436</v>
      </c>
      <c r="AY24" s="73">
        <v>37567436057085</v>
      </c>
      <c r="AZ24" s="73">
        <v>404372516</v>
      </c>
      <c r="BA24" s="218">
        <v>58229642348</v>
      </c>
      <c r="BB24" s="247">
        <f t="shared" si="44"/>
        <v>2.5974025974291961E-6</v>
      </c>
      <c r="BC24" s="41">
        <f t="shared" si="45"/>
        <v>1.3697301375331817E-15</v>
      </c>
      <c r="BD24" s="42">
        <f t="shared" si="45"/>
        <v>1.3941896042748456E-14</v>
      </c>
      <c r="BE24" s="42">
        <f t="shared" si="45"/>
        <v>3.9963161839982427E-11</v>
      </c>
      <c r="BF24" s="42">
        <f t="shared" si="45"/>
        <v>1.5654058714664932E-16</v>
      </c>
      <c r="BG24" s="42">
        <f t="shared" si="45"/>
        <v>-4.6096674688704288E-10</v>
      </c>
      <c r="BH24" s="43">
        <f t="shared" si="45"/>
        <v>-1.11290573674571E-13</v>
      </c>
      <c r="BI24" s="107">
        <f t="shared" si="46"/>
        <v>8.8757019906300256E-16</v>
      </c>
      <c r="BJ24" s="44">
        <f t="shared" si="47"/>
        <v>3.6517173904306391E-16</v>
      </c>
      <c r="BK24" s="44">
        <f t="shared" si="47"/>
        <v>8.278956223301492E-13</v>
      </c>
      <c r="BL24" s="44">
        <f t="shared" si="47"/>
        <v>2.201352006749756E-15</v>
      </c>
      <c r="BM24" s="108">
        <f t="shared" si="47"/>
        <v>2.128951985194431E-15</v>
      </c>
      <c r="BN24" s="43">
        <f t="shared" si="47"/>
        <v>9.5979626833519711E-7</v>
      </c>
      <c r="BO24" s="42">
        <f t="shared" si="47"/>
        <v>-4.7207972690111355E-7</v>
      </c>
      <c r="BP24" s="42">
        <f t="shared" si="47"/>
        <v>-4.0080917483947619E-13</v>
      </c>
      <c r="BQ24" s="42">
        <f t="shared" si="47"/>
        <v>-7.7595344317796997E-11</v>
      </c>
      <c r="BR24" s="42">
        <f t="shared" si="47"/>
        <v>9.5979626849013871E-7</v>
      </c>
      <c r="BS24" s="42">
        <f t="shared" si="47"/>
        <v>1.5195325091431613E-9</v>
      </c>
      <c r="BT24" s="42">
        <f t="shared" si="47"/>
        <v>-1.663674888672978E-15</v>
      </c>
      <c r="BU24" s="42">
        <f t="shared" si="47"/>
        <v>7.5161642335255063E-10</v>
      </c>
      <c r="BV24" s="45">
        <f t="shared" si="47"/>
        <v>-4.0124336799049971E-12</v>
      </c>
    </row>
    <row r="25" spans="2:74" x14ac:dyDescent="0.25">
      <c r="B25" s="86">
        <v>456</v>
      </c>
      <c r="C25" s="87">
        <v>578</v>
      </c>
      <c r="D25" s="210">
        <f t="shared" si="25"/>
        <v>272.21935483870965</v>
      </c>
      <c r="E25" s="128">
        <v>146</v>
      </c>
      <c r="F25" s="156" t="s">
        <v>6</v>
      </c>
      <c r="G25" s="97">
        <v>344</v>
      </c>
      <c r="H25" s="59"/>
      <c r="I25" s="58"/>
      <c r="J25" s="58"/>
      <c r="K25" s="14">
        <v>777</v>
      </c>
      <c r="L25" s="167">
        <f t="shared" si="26"/>
        <v>272.21935483870965</v>
      </c>
      <c r="M25" s="69">
        <f t="shared" si="27"/>
        <v>2.2371106418609599E+26</v>
      </c>
      <c r="N25" s="70">
        <f t="shared" si="28"/>
        <v>2.2371106418609603E+25</v>
      </c>
      <c r="O25" s="70">
        <f t="shared" si="29"/>
        <v>2.2371106418609602E+22</v>
      </c>
      <c r="P25" s="70">
        <f t="shared" si="30"/>
        <v>2.2371106418609601E+27</v>
      </c>
      <c r="Q25" s="70">
        <f>(C25/3*(((B25*G25*(B25/(2*TAN(PI()/G25))))/2)+SQRT(((B25*G25*(B25/(2*TAN(PI()/G25))))/2)*(E25/B25)^2*((B25*G25*(B25/(2*TAN(PI()/G25))))/2))+(E25/B25)^2*((B25*G25*(B25/(2*TAN(PI()/G25))))/2)))*(63360*2.54/100)^3</f>
        <v>2.2371106418609601E+21</v>
      </c>
      <c r="R25" s="71">
        <f t="shared" si="31"/>
        <v>2.23711064186096E+24</v>
      </c>
      <c r="S25" s="115">
        <f t="shared" si="32"/>
        <v>3.8321521341418639E+27</v>
      </c>
      <c r="T25" s="72">
        <f t="shared" si="33"/>
        <v>5.5885551956235522E+28</v>
      </c>
      <c r="U25" s="72">
        <f t="shared" si="34"/>
        <v>1.7382349687259661E+24</v>
      </c>
      <c r="V25" s="72">
        <f>Q25*1000*K25</f>
        <v>1.7382349687259661E+27</v>
      </c>
      <c r="W25" s="116">
        <f t="shared" si="35"/>
        <v>1.7382349687259662E+30</v>
      </c>
      <c r="X25" s="81">
        <f t="shared" si="36"/>
        <v>101453111278221.42</v>
      </c>
      <c r="Y25" s="73">
        <f t="shared" si="37"/>
        <v>2506960976343.5679</v>
      </c>
      <c r="Z25" s="73">
        <f t="shared" si="38"/>
        <v>1.0145311127822143E+20</v>
      </c>
      <c r="AA25" s="73">
        <f t="shared" si="39"/>
        <v>1.0145311127822141E+18</v>
      </c>
      <c r="AB25" s="73">
        <f t="shared" si="40"/>
        <v>1014531112782.2142</v>
      </c>
      <c r="AC25" s="73">
        <f>(((B25*G25*(B25/(2*TAN(PI()/G25))))/2)+(E25/B25)^2*((B25*G25*(B25/(2*TAN(PI()/G25))))/2)+G25*(((B25+E25)/2)*(1-(E25/B25))*SQRT((C25+D25)^2+(B25/(2*TAN(PI()/G25)))^2)))*(63360*2.54/100)^2</f>
        <v>1.0145311127822142E+16</v>
      </c>
      <c r="AD25" s="73">
        <f t="shared" si="41"/>
        <v>1.0145311127822141E+22</v>
      </c>
      <c r="AE25" s="73">
        <f t="shared" si="42"/>
        <v>1.0920322012952582E+17</v>
      </c>
      <c r="AF25" s="81">
        <f t="shared" si="43"/>
        <v>1.5725263698651718E+19</v>
      </c>
      <c r="AG25" s="167">
        <v>272.22000000000003</v>
      </c>
      <c r="AH25" s="217">
        <v>2.2371106418609599E+26</v>
      </c>
      <c r="AI25" s="70">
        <v>2.2371106418609598E+25</v>
      </c>
      <c r="AJ25" s="70">
        <v>2.2371106418609598E+22</v>
      </c>
      <c r="AK25" s="70">
        <v>2.2371106418609601E+27</v>
      </c>
      <c r="AL25" s="70">
        <v>2.2371106418609601E+21</v>
      </c>
      <c r="AM25" s="71">
        <v>2.23711064186096E+24</v>
      </c>
      <c r="AN25" s="115">
        <v>3.8321521341418601E+27</v>
      </c>
      <c r="AO25" s="72">
        <v>5.5885551956235504E+28</v>
      </c>
      <c r="AP25" s="72">
        <v>1.7382349687259701E+24</v>
      </c>
      <c r="AQ25" s="72">
        <v>1.7382349687259699E+27</v>
      </c>
      <c r="AR25" s="116">
        <v>1.7382349687259701E+30</v>
      </c>
      <c r="AS25" s="123">
        <v>101453111278221</v>
      </c>
      <c r="AT25" s="123">
        <v>2506960976344</v>
      </c>
      <c r="AU25" s="73">
        <v>1.01453111278221E+20</v>
      </c>
      <c r="AV25" s="73">
        <v>1.01453111278221E+18</v>
      </c>
      <c r="AW25" s="73">
        <v>1014531112782</v>
      </c>
      <c r="AX25" s="73">
        <v>1.01453111278221E+16</v>
      </c>
      <c r="AY25" s="73">
        <v>1.01453111278221E+22</v>
      </c>
      <c r="AZ25" s="73">
        <v>1.09203220129526E+17</v>
      </c>
      <c r="BA25" s="218">
        <v>1.5725263698651699E+19</v>
      </c>
      <c r="BB25" s="247">
        <f t="shared" si="44"/>
        <v>-2.3700052142181303E-6</v>
      </c>
      <c r="BC25" s="41">
        <f t="shared" si="45"/>
        <v>0</v>
      </c>
      <c r="BD25" s="42">
        <f t="shared" si="45"/>
        <v>1.9198725425699971E-16</v>
      </c>
      <c r="BE25" s="42">
        <f t="shared" si="45"/>
        <v>1.8748755298535129E-16</v>
      </c>
      <c r="BF25" s="42">
        <f t="shared" si="45"/>
        <v>0</v>
      </c>
      <c r="BG25" s="42">
        <f t="shared" si="45"/>
        <v>0</v>
      </c>
      <c r="BH25" s="43">
        <f t="shared" si="45"/>
        <v>0</v>
      </c>
      <c r="BI25" s="107">
        <f t="shared" si="46"/>
        <v>1.0042113576155687E-15</v>
      </c>
      <c r="BJ25" s="44">
        <f t="shared" si="47"/>
        <v>3.1478951944847211E-16</v>
      </c>
      <c r="BK25" s="44">
        <f t="shared" si="47"/>
        <v>-2.3164485310931434E-15</v>
      </c>
      <c r="BL25" s="44">
        <f t="shared" si="47"/>
        <v>-2.2139070761167536E-15</v>
      </c>
      <c r="BM25" s="108">
        <f t="shared" si="47"/>
        <v>-2.2670408459435554E-15</v>
      </c>
      <c r="BN25" s="43">
        <f t="shared" si="47"/>
        <v>4.1583249117226671E-15</v>
      </c>
      <c r="BO25" s="42">
        <f t="shared" si="47"/>
        <v>-1.7237161261291952E-13</v>
      </c>
      <c r="BP25" s="42">
        <f t="shared" si="47"/>
        <v>4.1988263803147108E-15</v>
      </c>
      <c r="BQ25" s="42">
        <f t="shared" si="47"/>
        <v>4.0373330579949143E-15</v>
      </c>
      <c r="BR25" s="42">
        <f t="shared" si="47"/>
        <v>2.1116493692341667E-13</v>
      </c>
      <c r="BS25" s="42">
        <f t="shared" si="47"/>
        <v>4.1398434676705663E-15</v>
      </c>
      <c r="BT25" s="42">
        <f t="shared" si="47"/>
        <v>4.1342290513867925E-15</v>
      </c>
      <c r="BU25" s="42">
        <f t="shared" si="47"/>
        <v>-1.6116740860868991E-15</v>
      </c>
      <c r="BV25" s="45">
        <f t="shared" si="47"/>
        <v>1.1721266080631995E-15</v>
      </c>
    </row>
    <row r="26" spans="2:74" x14ac:dyDescent="0.25">
      <c r="B26" s="86">
        <v>455</v>
      </c>
      <c r="C26" s="87">
        <v>689</v>
      </c>
      <c r="D26" s="210">
        <f t="shared" si="25"/>
        <v>878.47499999999991</v>
      </c>
      <c r="E26" s="128">
        <v>255</v>
      </c>
      <c r="F26" s="156" t="s">
        <v>7</v>
      </c>
      <c r="G26" s="97">
        <v>555</v>
      </c>
      <c r="H26" s="59"/>
      <c r="I26" s="58"/>
      <c r="J26" s="58"/>
      <c r="K26" s="14">
        <v>890</v>
      </c>
      <c r="L26" s="167">
        <f t="shared" si="26"/>
        <v>878.47499999999991</v>
      </c>
      <c r="M26" s="69">
        <f t="shared" si="27"/>
        <v>218466623.76500362</v>
      </c>
      <c r="N26" s="70">
        <f t="shared" si="28"/>
        <v>21846662.376500361</v>
      </c>
      <c r="O26" s="70">
        <f t="shared" si="29"/>
        <v>21846.662376500361</v>
      </c>
      <c r="P26" s="70">
        <f t="shared" si="30"/>
        <v>2184666237.6500363</v>
      </c>
      <c r="Q26" s="70">
        <f>(C26/3*(((B26*G26*(B26/(2*TAN(PI()/G26))))/2)+SQRT(((B26*G26*(B26/(2*TAN(PI()/G26))))/2)*(E26/B26)^2*((B26*G26*(B26/(2*TAN(PI()/G26))))/2))+(E26/B26)^2*((B26*G26*(B26/(2*TAN(PI()/G26))))/2)))/1000^3</f>
        <v>2184.6662376500362</v>
      </c>
      <c r="R26" s="71">
        <f t="shared" si="31"/>
        <v>2184666.2376500363</v>
      </c>
      <c r="S26" s="115">
        <f t="shared" si="32"/>
        <v>4286564501.7541461</v>
      </c>
      <c r="T26" s="72">
        <f t="shared" si="33"/>
        <v>62512398983.914627</v>
      </c>
      <c r="U26" s="72">
        <f t="shared" si="34"/>
        <v>1944352.9515085323</v>
      </c>
      <c r="V26" s="72">
        <f>Q26*1000*K26</f>
        <v>1944352951.5085323</v>
      </c>
      <c r="W26" s="116">
        <f t="shared" si="35"/>
        <v>1944352951508.5322</v>
      </c>
      <c r="X26" s="81">
        <f t="shared" si="36"/>
        <v>101.51669594729343</v>
      </c>
      <c r="Y26" s="73">
        <f t="shared" si="37"/>
        <v>2.5085321877342182</v>
      </c>
      <c r="Z26" s="73">
        <f t="shared" si="38"/>
        <v>101516695.94729343</v>
      </c>
      <c r="AA26" s="73">
        <f t="shared" si="39"/>
        <v>1015166.9594729342</v>
      </c>
      <c r="AB26" s="73">
        <f t="shared" si="40"/>
        <v>1.0151669594729342</v>
      </c>
      <c r="AC26" s="73">
        <f>(((B26*G26*(B26/(2*TAN(PI()/G26))))/2)+(E26/B26)^2*((B26*G26*(B26/(2*TAN(PI()/G26))))/2)+G26*(((B26+E26)/2)*(1-(E26/B26))*SQRT((C26+D26)^2+(B26/(2*TAN(PI()/G26)))^2)))/1000^2</f>
        <v>10151.669594729343</v>
      </c>
      <c r="AD26" s="73">
        <f t="shared" si="41"/>
        <v>10151669594.729343</v>
      </c>
      <c r="AE26" s="73">
        <f t="shared" si="42"/>
        <v>109271.66209770254</v>
      </c>
      <c r="AF26" s="81">
        <f t="shared" si="43"/>
        <v>15735119.342069166</v>
      </c>
      <c r="AG26" s="167">
        <v>878.48</v>
      </c>
      <c r="AH26" s="217">
        <v>218466624</v>
      </c>
      <c r="AI26" s="70">
        <v>21846662</v>
      </c>
      <c r="AJ26" s="70">
        <v>21846.7</v>
      </c>
      <c r="AK26" s="70">
        <v>2184666238</v>
      </c>
      <c r="AL26" s="70">
        <v>2184.67</v>
      </c>
      <c r="AM26" s="71">
        <v>2184666</v>
      </c>
      <c r="AN26" s="115">
        <v>4286564502</v>
      </c>
      <c r="AO26" s="72">
        <v>62512398984</v>
      </c>
      <c r="AP26" s="72">
        <v>1944353</v>
      </c>
      <c r="AQ26" s="72">
        <v>1944352952</v>
      </c>
      <c r="AR26" s="116">
        <v>1944352951509</v>
      </c>
      <c r="AS26" s="123">
        <v>101.517</v>
      </c>
      <c r="AT26" s="123">
        <v>2.5085299999999999</v>
      </c>
      <c r="AU26" s="73">
        <v>101516696</v>
      </c>
      <c r="AV26" s="73">
        <v>1015167</v>
      </c>
      <c r="AW26" s="73">
        <v>1.0151699999999999</v>
      </c>
      <c r="AX26" s="73">
        <v>10151.700000000001</v>
      </c>
      <c r="AY26" s="73">
        <v>10151669595</v>
      </c>
      <c r="AZ26" s="73">
        <v>109272</v>
      </c>
      <c r="BA26" s="218">
        <v>15735119</v>
      </c>
      <c r="BB26" s="247">
        <f t="shared" si="44"/>
        <v>-5.6916816074551235E-6</v>
      </c>
      <c r="BC26" s="41">
        <f t="shared" si="45"/>
        <v>-1.0756626086489087E-9</v>
      </c>
      <c r="BD26" s="42">
        <f t="shared" si="45"/>
        <v>1.723377027479918E-8</v>
      </c>
      <c r="BE26" s="42">
        <f t="shared" si="45"/>
        <v>-1.7221623601711583E-6</v>
      </c>
      <c r="BF26" s="42">
        <f t="shared" si="45"/>
        <v>-1.601909064997442E-10</v>
      </c>
      <c r="BG26" s="42">
        <f t="shared" si="45"/>
        <v>-1.7221623600878964E-6</v>
      </c>
      <c r="BH26" s="43">
        <f t="shared" si="45"/>
        <v>1.0878093516096928E-7</v>
      </c>
      <c r="BI26" s="107">
        <f t="shared" si="46"/>
        <v>-5.7354532005482618E-11</v>
      </c>
      <c r="BJ26" s="44">
        <f t="shared" si="47"/>
        <v>-1.3656958650179979E-12</v>
      </c>
      <c r="BK26" s="44">
        <f t="shared" si="47"/>
        <v>-2.4939642611768618E-8</v>
      </c>
      <c r="BL26" s="44">
        <f t="shared" si="47"/>
        <v>-2.5276671806339773E-10</v>
      </c>
      <c r="BM26" s="108">
        <f t="shared" si="47"/>
        <v>-2.4058051658628981E-13</v>
      </c>
      <c r="BN26" s="43">
        <f t="shared" si="47"/>
        <v>-2.9951004978109251E-6</v>
      </c>
      <c r="BO26" s="42">
        <f t="shared" si="47"/>
        <v>8.7211726001595621E-7</v>
      </c>
      <c r="BP26" s="42">
        <f t="shared" si="47"/>
        <v>-5.1919114330294072E-10</v>
      </c>
      <c r="BQ26" s="42">
        <f t="shared" si="47"/>
        <v>-3.9921576812599154E-8</v>
      </c>
      <c r="BR26" s="42">
        <f t="shared" si="47"/>
        <v>-2.9951004978109251E-6</v>
      </c>
      <c r="BS26" s="42">
        <f t="shared" si="47"/>
        <v>-2.9951004979173142E-6</v>
      </c>
      <c r="BT26" s="42">
        <f t="shared" si="47"/>
        <v>-2.6661287896316272E-11</v>
      </c>
      <c r="BU26" s="42">
        <f t="shared" si="47"/>
        <v>-3.0923140635755647E-6</v>
      </c>
      <c r="BV26" s="45">
        <f t="shared" si="47"/>
        <v>2.1739216484147638E-8</v>
      </c>
    </row>
    <row r="27" spans="2:74" x14ac:dyDescent="0.25">
      <c r="B27" s="86">
        <v>344</v>
      </c>
      <c r="C27" s="87">
        <v>355</v>
      </c>
      <c r="D27" s="210">
        <f t="shared" si="25"/>
        <v>291.13756613756613</v>
      </c>
      <c r="E27" s="128">
        <v>155</v>
      </c>
      <c r="F27" s="156" t="s">
        <v>8</v>
      </c>
      <c r="G27" s="97">
        <v>160</v>
      </c>
      <c r="H27" s="11">
        <v>555</v>
      </c>
      <c r="I27" s="58"/>
      <c r="J27" s="58"/>
      <c r="K27" s="55"/>
      <c r="L27" s="167">
        <f t="shared" si="26"/>
        <v>291.13756613756613</v>
      </c>
      <c r="M27" s="69">
        <f t="shared" si="27"/>
        <v>3606107710434356</v>
      </c>
      <c r="N27" s="70">
        <f t="shared" si="28"/>
        <v>360610771043435.56</v>
      </c>
      <c r="O27" s="70">
        <f t="shared" si="29"/>
        <v>360610771043.43561</v>
      </c>
      <c r="P27" s="70">
        <f t="shared" si="30"/>
        <v>3.606107710434356E+16</v>
      </c>
      <c r="Q27" s="70">
        <f>(C27/3*(((B27*G27*(B27/(2*TAN(PI()/G27))))/2)+SQRT(((B27*G27*(B27/(2*TAN(PI()/G27))))/2)*(E27/B27)^2*((B27*G27*(B27/(2*TAN(PI()/G27))))/2))+(E27/B27)^2*((B27*G27*(B27/(2*TAN(PI()/G27))))/2)))*0.9144^3</f>
        <v>36061077104.343559</v>
      </c>
      <c r="R27" s="71">
        <f t="shared" si="31"/>
        <v>36061077104343.562</v>
      </c>
      <c r="S27" s="115">
        <f t="shared" si="32"/>
        <v>44123091825620.156</v>
      </c>
      <c r="T27" s="72">
        <f t="shared" si="33"/>
        <v>643461755790294</v>
      </c>
      <c r="U27" s="72">
        <f t="shared" si="34"/>
        <v>20013897792.910675</v>
      </c>
      <c r="V27" s="72">
        <f>Q27*H27</f>
        <v>20013897792910.676</v>
      </c>
      <c r="W27" s="116">
        <f t="shared" si="35"/>
        <v>2.0013897792910676E+16</v>
      </c>
      <c r="X27" s="81">
        <f t="shared" si="36"/>
        <v>4035186.5114319106</v>
      </c>
      <c r="Y27" s="73">
        <f t="shared" si="37"/>
        <v>99711.630219854225</v>
      </c>
      <c r="Z27" s="73">
        <f t="shared" si="38"/>
        <v>4035186511431.9102</v>
      </c>
      <c r="AA27" s="73">
        <f t="shared" si="39"/>
        <v>40351865114.319107</v>
      </c>
      <c r="AB27" s="73">
        <f t="shared" si="40"/>
        <v>40351.865114319102</v>
      </c>
      <c r="AC27" s="73">
        <f>(((B27*G27*(B27/(2*TAN(PI()/G27))))/2)+(E27/B27)^2*((B27*G27*(B27/(2*TAN(PI()/G27))))/2)+G27*(((B27+E27)/2)*(1-(E27/B27))*SQRT((C27+D27)^2+(B27/(2*TAN(PI()/G27)))^2)))*0.9144^2</f>
        <v>403518651.14319104</v>
      </c>
      <c r="AD27" s="73">
        <f t="shared" si="41"/>
        <v>403518651143191.06</v>
      </c>
      <c r="AE27" s="73">
        <f t="shared" si="42"/>
        <v>4343438612.3768501</v>
      </c>
      <c r="AF27" s="81">
        <f t="shared" si="43"/>
        <v>625455160182.26648</v>
      </c>
      <c r="AG27" s="167">
        <v>291.14</v>
      </c>
      <c r="AH27" s="217">
        <v>3606107710434360</v>
      </c>
      <c r="AI27" s="70">
        <v>360610771043436</v>
      </c>
      <c r="AJ27" s="70">
        <v>360610771043</v>
      </c>
      <c r="AK27" s="70">
        <v>3.60610771043436E+16</v>
      </c>
      <c r="AL27" s="70">
        <v>36061077104</v>
      </c>
      <c r="AM27" s="71">
        <v>36061077104344</v>
      </c>
      <c r="AN27" s="115">
        <v>44123091825620</v>
      </c>
      <c r="AO27" s="72">
        <v>643461755790294</v>
      </c>
      <c r="AP27" s="72">
        <v>20013897793</v>
      </c>
      <c r="AQ27" s="72">
        <v>20013897792911</v>
      </c>
      <c r="AR27" s="116">
        <v>2.00138977929107E+16</v>
      </c>
      <c r="AS27" s="123">
        <v>4035187</v>
      </c>
      <c r="AT27" s="123">
        <v>99711.6</v>
      </c>
      <c r="AU27" s="73">
        <v>4035186511432</v>
      </c>
      <c r="AV27" s="73">
        <v>40351865114</v>
      </c>
      <c r="AW27" s="73">
        <v>40351.9</v>
      </c>
      <c r="AX27" s="73">
        <v>403518651</v>
      </c>
      <c r="AY27" s="73">
        <v>403518651143191</v>
      </c>
      <c r="AZ27" s="73">
        <v>4343438612</v>
      </c>
      <c r="BA27" s="218">
        <v>625455160182</v>
      </c>
      <c r="BB27" s="247">
        <f t="shared" si="44"/>
        <v>-8.3598364379782306E-6</v>
      </c>
      <c r="BC27" s="41">
        <f t="shared" si="45"/>
        <v>-1.1092292081087616E-15</v>
      </c>
      <c r="BD27" s="42">
        <f t="shared" si="45"/>
        <v>-1.2132194463689582E-15</v>
      </c>
      <c r="BE27" s="42">
        <f t="shared" si="45"/>
        <v>1.2079725430713244E-12</v>
      </c>
      <c r="BF27" s="42">
        <f t="shared" si="45"/>
        <v>-1.1092292081087616E-15</v>
      </c>
      <c r="BG27" s="42">
        <f t="shared" si="45"/>
        <v>9.5271492901507643E-12</v>
      </c>
      <c r="BH27" s="43">
        <f t="shared" si="45"/>
        <v>-1.2132194463689579E-14</v>
      </c>
      <c r="BI27" s="107">
        <f t="shared" si="46"/>
        <v>3.5412296268248623E-15</v>
      </c>
      <c r="BJ27" s="44">
        <f t="shared" si="47"/>
        <v>0</v>
      </c>
      <c r="BK27" s="44">
        <f t="shared" si="47"/>
        <v>-4.4631461645375088E-12</v>
      </c>
      <c r="BL27" s="44">
        <f t="shared" si="47"/>
        <v>-1.6199680509752817E-14</v>
      </c>
      <c r="BM27" s="108">
        <f t="shared" si="47"/>
        <v>-1.1991667114689315E-15</v>
      </c>
      <c r="BN27" s="43">
        <f t="shared" si="47"/>
        <v>-1.2107695345744214E-7</v>
      </c>
      <c r="BO27" s="42">
        <f t="shared" si="47"/>
        <v>3.0307251173043312E-7</v>
      </c>
      <c r="BP27" s="42">
        <f t="shared" si="47"/>
        <v>-2.2265079878084348E-14</v>
      </c>
      <c r="BQ27" s="42">
        <f t="shared" si="47"/>
        <v>7.9081116761273418E-12</v>
      </c>
      <c r="BR27" s="42">
        <f t="shared" si="47"/>
        <v>-8.6453701212504033E-7</v>
      </c>
      <c r="BS27" s="42">
        <f t="shared" si="47"/>
        <v>3.5485606218338875E-10</v>
      </c>
      <c r="BT27" s="42">
        <f t="shared" si="47"/>
        <v>1.5488751219536935E-16</v>
      </c>
      <c r="BU27" s="42">
        <f t="shared" si="47"/>
        <v>8.6763083769613878E-11</v>
      </c>
      <c r="BV27" s="45">
        <f t="shared" si="47"/>
        <v>4.2605690887552052E-13</v>
      </c>
    </row>
    <row r="28" spans="2:74" ht="15.75" thickBot="1" x14ac:dyDescent="0.3">
      <c r="B28" s="88">
        <v>1289</v>
      </c>
      <c r="C28" s="89">
        <v>2555</v>
      </c>
      <c r="D28" s="212">
        <f t="shared" si="25"/>
        <v>1446.6950182260023</v>
      </c>
      <c r="E28" s="142">
        <v>466</v>
      </c>
      <c r="F28" s="157" t="s">
        <v>43</v>
      </c>
      <c r="G28" s="98">
        <v>2500</v>
      </c>
      <c r="H28" s="12">
        <v>120</v>
      </c>
      <c r="I28" s="60"/>
      <c r="J28" s="60"/>
      <c r="K28" s="61"/>
      <c r="L28" s="168">
        <f t="shared" si="26"/>
        <v>1446.6950182260023</v>
      </c>
      <c r="M28" s="79">
        <f t="shared" si="27"/>
        <v>105.02134799775843</v>
      </c>
      <c r="N28" s="74">
        <f t="shared" si="28"/>
        <v>10.502134799775844</v>
      </c>
      <c r="O28" s="74">
        <f t="shared" si="29"/>
        <v>1.0502134799775843E-2</v>
      </c>
      <c r="P28" s="74">
        <f t="shared" si="30"/>
        <v>1050.2134799775843</v>
      </c>
      <c r="Q28" s="74">
        <f>(C28/3*(((B28*G28*(B28/(2*TAN(PI()/G28))))/2)+SQRT(((B28*G28*(B28/(2*TAN(PI()/G28))))/2)*(E28/B28)^2*((B28*G28*(B28/(2*TAN(PI()/G28))))/2))+(E28/B28)^2*((B28*G28*(B28/(2*TAN(PI()/G28))))/2)))/1000000^3</f>
        <v>1.0502134799775843E-3</v>
      </c>
      <c r="R28" s="75">
        <f t="shared" si="31"/>
        <v>1.0502134799775844</v>
      </c>
      <c r="S28" s="117">
        <f t="shared" si="32"/>
        <v>0.27783892748749306</v>
      </c>
      <c r="T28" s="76">
        <f t="shared" si="33"/>
        <v>4.0518176925259413</v>
      </c>
      <c r="U28" s="76">
        <f t="shared" si="34"/>
        <v>1.2602561759731011E-4</v>
      </c>
      <c r="V28" s="76">
        <f>Q28*H28</f>
        <v>0.12602561759731012</v>
      </c>
      <c r="W28" s="118">
        <f t="shared" si="35"/>
        <v>126.02561759731013</v>
      </c>
      <c r="X28" s="82">
        <f t="shared" si="36"/>
        <v>1.6527664974491988E-2</v>
      </c>
      <c r="Y28" s="77">
        <f t="shared" si="37"/>
        <v>4.08407495828335E-4</v>
      </c>
      <c r="Z28" s="77">
        <f t="shared" si="38"/>
        <v>16527.664974491985</v>
      </c>
      <c r="AA28" s="77">
        <f t="shared" si="39"/>
        <v>165.27664974491987</v>
      </c>
      <c r="AB28" s="77">
        <f t="shared" si="40"/>
        <v>1.6527664974491988E-4</v>
      </c>
      <c r="AC28" s="77">
        <f>(((B28*G28*(B28/(2*TAN(PI()/G28))))/2)+(E28/B28)^2*((B28*G28*(B28/(2*TAN(PI()/G28))))/2)+G28*(((B28+E28)/2)*(1-(E28/B28))*SQRT((C28+D28)^2+(B28/(2*TAN(PI()/G28)))^2)))/1000000^2</f>
        <v>1.6527664974491987</v>
      </c>
      <c r="AD28" s="77">
        <f t="shared" si="41"/>
        <v>1652766.4974491987</v>
      </c>
      <c r="AE28" s="77">
        <f t="shared" si="42"/>
        <v>17.790230518282272</v>
      </c>
      <c r="AF28" s="82">
        <f t="shared" si="43"/>
        <v>2561.7931946326471</v>
      </c>
      <c r="AG28" s="168">
        <v>1446.7</v>
      </c>
      <c r="AH28" s="219">
        <v>105.021</v>
      </c>
      <c r="AI28" s="74">
        <v>10.5021</v>
      </c>
      <c r="AJ28" s="74">
        <v>1.05021E-2</v>
      </c>
      <c r="AK28" s="74">
        <v>1050.21</v>
      </c>
      <c r="AL28" s="74">
        <v>1.05021E-3</v>
      </c>
      <c r="AM28" s="75">
        <v>1.0502100000000001</v>
      </c>
      <c r="AN28" s="117">
        <v>0.277839</v>
      </c>
      <c r="AO28" s="76">
        <v>4.0518200000000002</v>
      </c>
      <c r="AP28" s="76">
        <v>1.26026E-4</v>
      </c>
      <c r="AQ28" s="76">
        <v>0.126026</v>
      </c>
      <c r="AR28" s="118">
        <v>126.026</v>
      </c>
      <c r="AS28" s="125">
        <v>1.6527699999999999E-2</v>
      </c>
      <c r="AT28" s="125">
        <v>4.0840700000000001E-4</v>
      </c>
      <c r="AU28" s="77">
        <v>16527.7</v>
      </c>
      <c r="AV28" s="77">
        <v>165.27699999999999</v>
      </c>
      <c r="AW28" s="77">
        <v>1.65277E-4</v>
      </c>
      <c r="AX28" s="77">
        <v>1.6527700000000001</v>
      </c>
      <c r="AY28" s="77">
        <v>1652766</v>
      </c>
      <c r="AZ28" s="77">
        <v>17.790199999999999</v>
      </c>
      <c r="BA28" s="220">
        <v>2561.79</v>
      </c>
      <c r="BB28" s="248">
        <f t="shared" si="44"/>
        <v>-3.4435550928202113E-6</v>
      </c>
      <c r="BC28" s="46">
        <f t="shared" si="45"/>
        <v>3.3135906657025095E-6</v>
      </c>
      <c r="BD28" s="47">
        <f t="shared" si="45"/>
        <v>3.3135906657701662E-6</v>
      </c>
      <c r="BE28" s="47">
        <f t="shared" si="45"/>
        <v>3.3135906656776664E-6</v>
      </c>
      <c r="BF28" s="47">
        <f t="shared" si="45"/>
        <v>3.3135906656754468E-6</v>
      </c>
      <c r="BG28" s="47">
        <f t="shared" si="45"/>
        <v>3.3135906657602555E-6</v>
      </c>
      <c r="BH28" s="48">
        <f t="shared" si="45"/>
        <v>3.3135906657701658E-6</v>
      </c>
      <c r="BI28" s="109">
        <f t="shared" si="46"/>
        <v>-2.6098757146499884E-7</v>
      </c>
      <c r="BJ28" s="49">
        <f t="shared" si="47"/>
        <v>-5.6949108623380351E-7</v>
      </c>
      <c r="BK28" s="49">
        <f t="shared" si="47"/>
        <v>-3.0343250616866562E-6</v>
      </c>
      <c r="BL28" s="49">
        <f t="shared" si="47"/>
        <v>-3.0343250615644929E-6</v>
      </c>
      <c r="BM28" s="110">
        <f t="shared" si="47"/>
        <v>-3.034325061492255E-6</v>
      </c>
      <c r="BN28" s="48">
        <f t="shared" si="47"/>
        <v>-2.1192048644107007E-6</v>
      </c>
      <c r="BO28" s="47">
        <f t="shared" si="47"/>
        <v>1.2140529741782213E-6</v>
      </c>
      <c r="BP28" s="47">
        <f t="shared" si="47"/>
        <v>-2.1192048646759965E-6</v>
      </c>
      <c r="BQ28" s="47">
        <f t="shared" si="47"/>
        <v>-2.1192048644627606E-6</v>
      </c>
      <c r="BR28" s="47">
        <f t="shared" si="47"/>
        <v>-2.1192048644566205E-6</v>
      </c>
      <c r="BS28" s="47">
        <f t="shared" si="47"/>
        <v>-2.1192048645702385E-6</v>
      </c>
      <c r="BT28" s="47">
        <f t="shared" si="47"/>
        <v>3.0097972067166169E-7</v>
      </c>
      <c r="BU28" s="47">
        <f t="shared" si="47"/>
        <v>1.7154517610937521E-6</v>
      </c>
      <c r="BV28" s="50">
        <f t="shared" si="47"/>
        <v>1.247029874944742E-6</v>
      </c>
    </row>
    <row r="29" spans="2:74" ht="15.75" thickTop="1" x14ac:dyDescent="0.25"/>
    <row r="31" spans="2:74" x14ac:dyDescent="0.25">
      <c r="B31" s="317" t="s">
        <v>14</v>
      </c>
      <c r="C31" s="318"/>
      <c r="D31" s="349" t="s">
        <v>15</v>
      </c>
      <c r="E31" s="318"/>
      <c r="F31" s="350"/>
      <c r="H31" s="207"/>
      <c r="I31" s="206"/>
      <c r="J31" s="208"/>
      <c r="K31" s="206"/>
    </row>
    <row r="32" spans="2:74" x14ac:dyDescent="0.25">
      <c r="B32" s="264"/>
      <c r="C32" s="265" t="s">
        <v>16</v>
      </c>
      <c r="D32" s="351">
        <v>41031</v>
      </c>
      <c r="E32" s="352"/>
      <c r="F32" s="353"/>
      <c r="H32" s="206"/>
      <c r="I32" s="207"/>
      <c r="J32" s="205"/>
      <c r="K32" s="206"/>
    </row>
  </sheetData>
  <mergeCells count="51">
    <mergeCell ref="B3:E3"/>
    <mergeCell ref="B17:E17"/>
    <mergeCell ref="F3:K3"/>
    <mergeCell ref="B4:G4"/>
    <mergeCell ref="H4:K5"/>
    <mergeCell ref="E5:E6"/>
    <mergeCell ref="F17:K17"/>
    <mergeCell ref="BN4:BV5"/>
    <mergeCell ref="B5:B6"/>
    <mergeCell ref="C5:C6"/>
    <mergeCell ref="D5:D6"/>
    <mergeCell ref="F5:F6"/>
    <mergeCell ref="G5:G6"/>
    <mergeCell ref="S4:W5"/>
    <mergeCell ref="X4:AF5"/>
    <mergeCell ref="AH4:AM5"/>
    <mergeCell ref="AN4:AR5"/>
    <mergeCell ref="AS4:BA5"/>
    <mergeCell ref="BC4:BH5"/>
    <mergeCell ref="M4:R5"/>
    <mergeCell ref="L5:L6"/>
    <mergeCell ref="AG5:AG6"/>
    <mergeCell ref="BB5:BB6"/>
    <mergeCell ref="BI18:BM19"/>
    <mergeCell ref="S18:W19"/>
    <mergeCell ref="AG19:AG20"/>
    <mergeCell ref="D32:F32"/>
    <mergeCell ref="BI4:BM5"/>
    <mergeCell ref="BB19:BB20"/>
    <mergeCell ref="B18:G18"/>
    <mergeCell ref="H18:K19"/>
    <mergeCell ref="M18:R19"/>
    <mergeCell ref="E19:E20"/>
    <mergeCell ref="L19:L20"/>
    <mergeCell ref="AS18:BA19"/>
    <mergeCell ref="L1:AF1"/>
    <mergeCell ref="AG1:BA1"/>
    <mergeCell ref="BB1:BV1"/>
    <mergeCell ref="B1:K1"/>
    <mergeCell ref="B31:C31"/>
    <mergeCell ref="D31:F31"/>
    <mergeCell ref="BN18:BV19"/>
    <mergeCell ref="B19:B20"/>
    <mergeCell ref="C19:C20"/>
    <mergeCell ref="D19:D20"/>
    <mergeCell ref="F19:F20"/>
    <mergeCell ref="G19:G20"/>
    <mergeCell ref="X18:AF19"/>
    <mergeCell ref="AH18:AM19"/>
    <mergeCell ref="AN18:AR19"/>
    <mergeCell ref="BC18:BH19"/>
  </mergeCells>
  <conditionalFormatting sqref="BC7:BH14 BN7:BV14">
    <cfRule type="cellIs" dxfId="31" priority="7" operator="notBetween">
      <formula>0.0001</formula>
      <formula>-0.0001</formula>
    </cfRule>
  </conditionalFormatting>
  <conditionalFormatting sqref="BI7:BM14">
    <cfRule type="cellIs" dxfId="30" priority="6" operator="notBetween">
      <formula>0.0001</formula>
      <formula>-0.0001</formula>
    </cfRule>
  </conditionalFormatting>
  <conditionalFormatting sqref="BC21:BH28 BN21:BV28">
    <cfRule type="cellIs" dxfId="29" priority="5" operator="notBetween">
      <formula>0.0001</formula>
      <formula>-0.0001</formula>
    </cfRule>
  </conditionalFormatting>
  <conditionalFormatting sqref="BI21:BM28">
    <cfRule type="cellIs" dxfId="28" priority="4" operator="notBetween">
      <formula>0.0001</formula>
      <formula>-0.0001</formula>
    </cfRule>
  </conditionalFormatting>
  <conditionalFormatting sqref="BB7:BB14">
    <cfRule type="cellIs" dxfId="27" priority="3" operator="notBetween">
      <formula>0.0001</formula>
      <formula>-0.0001</formula>
    </cfRule>
  </conditionalFormatting>
  <conditionalFormatting sqref="BB21:BB28">
    <cfRule type="cellIs" dxfId="26" priority="2" operator="notBetween">
      <formula>0.0001</formula>
      <formula>-0.0001</formula>
    </cfRule>
  </conditionalFormatting>
  <conditionalFormatting sqref="BB21:BB28">
    <cfRule type="cellIs" dxfId="25" priority="1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S32"/>
  <sheetViews>
    <sheetView zoomScaleNormal="100" workbookViewId="0">
      <pane ySplit="1" topLeftCell="A2" activePane="bottomLeft" state="frozen"/>
      <selection activeCell="W1" sqref="W1"/>
      <selection pane="bottomLeft"/>
    </sheetView>
  </sheetViews>
  <sheetFormatPr defaultRowHeight="15" x14ac:dyDescent="0.25"/>
  <cols>
    <col min="1" max="1" width="3.7109375" customWidth="1"/>
    <col min="2" max="2" width="9.28515625" bestFit="1" customWidth="1"/>
    <col min="3" max="3" width="9.28515625" customWidth="1"/>
    <col min="5" max="8" width="9.140625" customWidth="1"/>
    <col min="9" max="9" width="8.5703125" bestFit="1" customWidth="1"/>
    <col min="10" max="28" width="12" customWidth="1"/>
    <col min="29" max="29" width="12" bestFit="1" customWidth="1"/>
    <col min="30" max="30" width="8.5703125" bestFit="1" customWidth="1"/>
    <col min="31" max="31" width="12" bestFit="1" customWidth="1"/>
    <col min="32" max="49" width="12" customWidth="1"/>
    <col min="50" max="50" width="12" bestFit="1" customWidth="1"/>
    <col min="51" max="51" width="14.140625" customWidth="1"/>
    <col min="52" max="71" width="15" bestFit="1" customWidth="1"/>
  </cols>
  <sheetData>
    <row r="1" spans="2:71" ht="21.95" customHeight="1" thickBot="1" x14ac:dyDescent="0.4">
      <c r="B1" s="415" t="s">
        <v>98</v>
      </c>
      <c r="C1" s="416"/>
      <c r="D1" s="416"/>
      <c r="E1" s="416"/>
      <c r="F1" s="416"/>
      <c r="G1" s="416"/>
      <c r="H1" s="417"/>
      <c r="I1" s="319" t="s">
        <v>99</v>
      </c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1"/>
      <c r="AD1" s="319" t="s">
        <v>100</v>
      </c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1"/>
      <c r="AY1" s="319" t="s">
        <v>101</v>
      </c>
      <c r="AZ1" s="320"/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1"/>
    </row>
    <row r="2" spans="2:71" ht="15" customHeight="1" thickBot="1" x14ac:dyDescent="0.3"/>
    <row r="3" spans="2:71" ht="30.75" customHeight="1" thickTop="1" thickBot="1" x14ac:dyDescent="0.3">
      <c r="B3" s="343" t="s">
        <v>46</v>
      </c>
      <c r="C3" s="420"/>
      <c r="D3" s="346" t="s">
        <v>58</v>
      </c>
      <c r="E3" s="347"/>
      <c r="F3" s="347"/>
      <c r="G3" s="347"/>
      <c r="H3" s="348"/>
    </row>
    <row r="4" spans="2:71" ht="16.5" customHeight="1" thickTop="1" thickBot="1" x14ac:dyDescent="0.3">
      <c r="B4" s="337" t="s">
        <v>59</v>
      </c>
      <c r="C4" s="338"/>
      <c r="D4" s="339"/>
      <c r="E4" s="311" t="s">
        <v>31</v>
      </c>
      <c r="F4" s="312"/>
      <c r="G4" s="312"/>
      <c r="H4" s="313"/>
      <c r="I4" s="165" t="s">
        <v>89</v>
      </c>
      <c r="J4" s="340" t="s">
        <v>21</v>
      </c>
      <c r="K4" s="341"/>
      <c r="L4" s="341"/>
      <c r="M4" s="341"/>
      <c r="N4" s="341"/>
      <c r="O4" s="341"/>
      <c r="P4" s="294" t="s">
        <v>22</v>
      </c>
      <c r="Q4" s="295"/>
      <c r="R4" s="295"/>
      <c r="S4" s="295"/>
      <c r="T4" s="296"/>
      <c r="U4" s="304" t="s">
        <v>44</v>
      </c>
      <c r="V4" s="305"/>
      <c r="W4" s="305"/>
      <c r="X4" s="305"/>
      <c r="Y4" s="305"/>
      <c r="Z4" s="305"/>
      <c r="AA4" s="305"/>
      <c r="AB4" s="305"/>
      <c r="AC4" s="305"/>
      <c r="AD4" s="165" t="s">
        <v>89</v>
      </c>
      <c r="AE4" s="300" t="s">
        <v>21</v>
      </c>
      <c r="AF4" s="301"/>
      <c r="AG4" s="301"/>
      <c r="AH4" s="301"/>
      <c r="AI4" s="301"/>
      <c r="AJ4" s="301"/>
      <c r="AK4" s="294" t="s">
        <v>22</v>
      </c>
      <c r="AL4" s="295"/>
      <c r="AM4" s="295"/>
      <c r="AN4" s="295"/>
      <c r="AO4" s="296"/>
      <c r="AP4" s="304" t="s">
        <v>45</v>
      </c>
      <c r="AQ4" s="305"/>
      <c r="AR4" s="305"/>
      <c r="AS4" s="305"/>
      <c r="AT4" s="305"/>
      <c r="AU4" s="305"/>
      <c r="AV4" s="305"/>
      <c r="AW4" s="305"/>
      <c r="AX4" s="306"/>
      <c r="AY4" s="245" t="s">
        <v>89</v>
      </c>
      <c r="AZ4" s="328" t="s">
        <v>21</v>
      </c>
      <c r="BA4" s="323"/>
      <c r="BB4" s="323"/>
      <c r="BC4" s="323"/>
      <c r="BD4" s="323"/>
      <c r="BE4" s="323"/>
      <c r="BF4" s="322" t="s">
        <v>22</v>
      </c>
      <c r="BG4" s="323"/>
      <c r="BH4" s="323"/>
      <c r="BI4" s="323"/>
      <c r="BJ4" s="324"/>
      <c r="BK4" s="328" t="s">
        <v>45</v>
      </c>
      <c r="BL4" s="323"/>
      <c r="BM4" s="323"/>
      <c r="BN4" s="323"/>
      <c r="BO4" s="323"/>
      <c r="BP4" s="323"/>
      <c r="BQ4" s="323"/>
      <c r="BR4" s="323"/>
      <c r="BS4" s="329"/>
    </row>
    <row r="5" spans="2:71" s="18" customFormat="1" ht="15" customHeight="1" thickBot="1" x14ac:dyDescent="0.3">
      <c r="B5" s="418" t="s">
        <v>80</v>
      </c>
      <c r="C5" s="373" t="s">
        <v>81</v>
      </c>
      <c r="D5" s="335" t="s">
        <v>1</v>
      </c>
      <c r="E5" s="314"/>
      <c r="F5" s="315"/>
      <c r="G5" s="315"/>
      <c r="H5" s="316"/>
      <c r="I5" s="399" t="s">
        <v>81</v>
      </c>
      <c r="J5" s="342"/>
      <c r="K5" s="342"/>
      <c r="L5" s="342"/>
      <c r="M5" s="342"/>
      <c r="N5" s="342"/>
      <c r="O5" s="342"/>
      <c r="P5" s="297"/>
      <c r="Q5" s="298"/>
      <c r="R5" s="298"/>
      <c r="S5" s="298"/>
      <c r="T5" s="299"/>
      <c r="U5" s="307"/>
      <c r="V5" s="307"/>
      <c r="W5" s="307"/>
      <c r="X5" s="307"/>
      <c r="Y5" s="307"/>
      <c r="Z5" s="307"/>
      <c r="AA5" s="307"/>
      <c r="AB5" s="307"/>
      <c r="AC5" s="307"/>
      <c r="AD5" s="399" t="s">
        <v>81</v>
      </c>
      <c r="AE5" s="302"/>
      <c r="AF5" s="303"/>
      <c r="AG5" s="303"/>
      <c r="AH5" s="303"/>
      <c r="AI5" s="303"/>
      <c r="AJ5" s="303"/>
      <c r="AK5" s="297"/>
      <c r="AL5" s="298"/>
      <c r="AM5" s="298"/>
      <c r="AN5" s="298"/>
      <c r="AO5" s="299"/>
      <c r="AP5" s="307"/>
      <c r="AQ5" s="307"/>
      <c r="AR5" s="307"/>
      <c r="AS5" s="307"/>
      <c r="AT5" s="307"/>
      <c r="AU5" s="307"/>
      <c r="AV5" s="307"/>
      <c r="AW5" s="307"/>
      <c r="AX5" s="308"/>
      <c r="AY5" s="401" t="s">
        <v>81</v>
      </c>
      <c r="AZ5" s="326"/>
      <c r="BA5" s="326"/>
      <c r="BB5" s="326"/>
      <c r="BC5" s="326"/>
      <c r="BD5" s="326"/>
      <c r="BE5" s="326"/>
      <c r="BF5" s="325"/>
      <c r="BG5" s="326"/>
      <c r="BH5" s="326"/>
      <c r="BI5" s="326"/>
      <c r="BJ5" s="327"/>
      <c r="BK5" s="326"/>
      <c r="BL5" s="326"/>
      <c r="BM5" s="326"/>
      <c r="BN5" s="326"/>
      <c r="BO5" s="326"/>
      <c r="BP5" s="326"/>
      <c r="BQ5" s="326"/>
      <c r="BR5" s="326"/>
      <c r="BS5" s="330"/>
    </row>
    <row r="6" spans="2:71" s="18" customFormat="1" ht="18" thickBot="1" x14ac:dyDescent="0.3">
      <c r="B6" s="419"/>
      <c r="C6" s="421"/>
      <c r="D6" s="398"/>
      <c r="E6" s="19" t="s">
        <v>29</v>
      </c>
      <c r="F6" s="20" t="s">
        <v>28</v>
      </c>
      <c r="G6" s="20" t="s">
        <v>30</v>
      </c>
      <c r="H6" s="21" t="s">
        <v>27</v>
      </c>
      <c r="I6" s="400"/>
      <c r="J6" s="29" t="s">
        <v>32</v>
      </c>
      <c r="K6" s="24" t="s">
        <v>34</v>
      </c>
      <c r="L6" s="24" t="s">
        <v>33</v>
      </c>
      <c r="M6" s="24" t="s">
        <v>35</v>
      </c>
      <c r="N6" s="24" t="s">
        <v>37</v>
      </c>
      <c r="O6" s="30" t="s">
        <v>36</v>
      </c>
      <c r="P6" s="111" t="s">
        <v>38</v>
      </c>
      <c r="Q6" s="22" t="s">
        <v>39</v>
      </c>
      <c r="R6" s="22" t="s">
        <v>40</v>
      </c>
      <c r="S6" s="22" t="s">
        <v>41</v>
      </c>
      <c r="T6" s="112" t="s">
        <v>42</v>
      </c>
      <c r="U6" s="25" t="s">
        <v>11</v>
      </c>
      <c r="V6" s="23" t="s">
        <v>13</v>
      </c>
      <c r="W6" s="23" t="s">
        <v>23</v>
      </c>
      <c r="X6" s="23" t="s">
        <v>24</v>
      </c>
      <c r="Y6" s="23" t="s">
        <v>12</v>
      </c>
      <c r="Z6" s="23" t="s">
        <v>25</v>
      </c>
      <c r="AA6" s="23" t="s">
        <v>26</v>
      </c>
      <c r="AB6" s="23" t="s">
        <v>10</v>
      </c>
      <c r="AC6" s="25" t="s">
        <v>9</v>
      </c>
      <c r="AD6" s="400"/>
      <c r="AE6" s="119" t="s">
        <v>32</v>
      </c>
      <c r="AF6" s="24" t="s">
        <v>34</v>
      </c>
      <c r="AG6" s="24" t="s">
        <v>33</v>
      </c>
      <c r="AH6" s="24" t="s">
        <v>35</v>
      </c>
      <c r="AI6" s="24" t="s">
        <v>37</v>
      </c>
      <c r="AJ6" s="30" t="s">
        <v>36</v>
      </c>
      <c r="AK6" s="111" t="s">
        <v>38</v>
      </c>
      <c r="AL6" s="22" t="s">
        <v>39</v>
      </c>
      <c r="AM6" s="22" t="s">
        <v>40</v>
      </c>
      <c r="AN6" s="22" t="s">
        <v>41</v>
      </c>
      <c r="AO6" s="112" t="s">
        <v>42</v>
      </c>
      <c r="AP6" s="26" t="s">
        <v>11</v>
      </c>
      <c r="AQ6" s="27" t="s">
        <v>13</v>
      </c>
      <c r="AR6" s="27" t="s">
        <v>23</v>
      </c>
      <c r="AS6" s="27" t="s">
        <v>24</v>
      </c>
      <c r="AT6" s="27" t="s">
        <v>12</v>
      </c>
      <c r="AU6" s="27" t="s">
        <v>25</v>
      </c>
      <c r="AV6" s="27" t="s">
        <v>26</v>
      </c>
      <c r="AW6" s="27" t="s">
        <v>10</v>
      </c>
      <c r="AX6" s="120" t="s">
        <v>9</v>
      </c>
      <c r="AY6" s="402"/>
      <c r="AZ6" s="34" t="s">
        <v>32</v>
      </c>
      <c r="BA6" s="33" t="s">
        <v>34</v>
      </c>
      <c r="BB6" s="33" t="s">
        <v>33</v>
      </c>
      <c r="BC6" s="33" t="s">
        <v>35</v>
      </c>
      <c r="BD6" s="33" t="s">
        <v>37</v>
      </c>
      <c r="BE6" s="34" t="s">
        <v>36</v>
      </c>
      <c r="BF6" s="103" t="s">
        <v>38</v>
      </c>
      <c r="BG6" s="33" t="s">
        <v>39</v>
      </c>
      <c r="BH6" s="33" t="s">
        <v>40</v>
      </c>
      <c r="BI6" s="33" t="s">
        <v>41</v>
      </c>
      <c r="BJ6" s="104" t="s">
        <v>42</v>
      </c>
      <c r="BK6" s="34" t="s">
        <v>11</v>
      </c>
      <c r="BL6" s="33" t="s">
        <v>13</v>
      </c>
      <c r="BM6" s="33" t="s">
        <v>23</v>
      </c>
      <c r="BN6" s="33" t="s">
        <v>24</v>
      </c>
      <c r="BO6" s="33" t="s">
        <v>12</v>
      </c>
      <c r="BP6" s="33" t="s">
        <v>25</v>
      </c>
      <c r="BQ6" s="33" t="s">
        <v>26</v>
      </c>
      <c r="BR6" s="33" t="s">
        <v>10</v>
      </c>
      <c r="BS6" s="35" t="s">
        <v>9</v>
      </c>
    </row>
    <row r="7" spans="2:71" x14ac:dyDescent="0.25">
      <c r="B7" s="158">
        <v>540</v>
      </c>
      <c r="C7" s="162">
        <f>B7*2</f>
        <v>1080</v>
      </c>
      <c r="D7" s="96" t="s">
        <v>2</v>
      </c>
      <c r="E7" s="62"/>
      <c r="F7" s="53"/>
      <c r="G7" s="53"/>
      <c r="H7" s="13">
        <v>388</v>
      </c>
      <c r="I7" s="166">
        <f>B7*2</f>
        <v>1080</v>
      </c>
      <c r="J7" s="78">
        <f>N7*100000</f>
        <v>65958366.080648422</v>
      </c>
      <c r="K7" s="65">
        <f>N7*10000</f>
        <v>6595836.6080648424</v>
      </c>
      <c r="L7" s="65">
        <f>N7*10</f>
        <v>6595.836608064842</v>
      </c>
      <c r="M7" s="65">
        <f>N7*1000000</f>
        <v>659583660.80648422</v>
      </c>
      <c r="N7" s="65">
        <f>((4/3)*PI()*B7^3)/100^3</f>
        <v>659.5836608064842</v>
      </c>
      <c r="O7" s="66">
        <f>N7*1000</f>
        <v>659583.66080648417</v>
      </c>
      <c r="P7" s="113">
        <f>S7/0.45359237</f>
        <v>564203627.13093221</v>
      </c>
      <c r="Q7" s="67">
        <f>S7*1000/31.1034768</f>
        <v>8227969562.3260946</v>
      </c>
      <c r="R7" s="67">
        <f>S7/1000</f>
        <v>255918.46039291585</v>
      </c>
      <c r="S7" s="67">
        <f>N7*1000*H7</f>
        <v>255918460.39291584</v>
      </c>
      <c r="T7" s="114">
        <f>S7*1000</f>
        <v>255918460392.91583</v>
      </c>
      <c r="U7" s="80">
        <f>Z7/100</f>
        <v>3.6643536711471345</v>
      </c>
      <c r="V7" s="68">
        <f>Z7/4046.8564224</f>
        <v>9.0548151173942049E-2</v>
      </c>
      <c r="W7" s="68">
        <f>Z7*10000</f>
        <v>3664353.6711471346</v>
      </c>
      <c r="X7" s="68">
        <f>Z7*100</f>
        <v>36643.536711471344</v>
      </c>
      <c r="Y7" s="68">
        <f>Z7/10000</f>
        <v>3.6643536711471345E-2</v>
      </c>
      <c r="Z7" s="68">
        <f>(4*PI()*B7^2)/100^2</f>
        <v>366.43536711471347</v>
      </c>
      <c r="AA7" s="68">
        <f>Z7*1000000</f>
        <v>366435367.11471349</v>
      </c>
      <c r="AB7" s="68">
        <f>Z7/144*10000/(2.54*2.54)</f>
        <v>3944.2774651369155</v>
      </c>
      <c r="AC7" s="80">
        <f>Z7*10000/(2.54 *2.54)</f>
        <v>567975.95497971587</v>
      </c>
      <c r="AD7" s="166">
        <v>1080</v>
      </c>
      <c r="AE7" s="78">
        <v>65958366</v>
      </c>
      <c r="AF7" s="65">
        <v>6595837</v>
      </c>
      <c r="AG7" s="65">
        <v>6595.84</v>
      </c>
      <c r="AH7" s="65">
        <v>659583661</v>
      </c>
      <c r="AI7" s="65">
        <v>659.58399999999995</v>
      </c>
      <c r="AJ7" s="66">
        <v>659584</v>
      </c>
      <c r="AK7" s="113">
        <v>564203627</v>
      </c>
      <c r="AL7" s="67">
        <v>8227969562</v>
      </c>
      <c r="AM7" s="67">
        <v>255918</v>
      </c>
      <c r="AN7" s="67">
        <v>255918460</v>
      </c>
      <c r="AO7" s="114">
        <v>255918460393</v>
      </c>
      <c r="AP7" s="121">
        <v>3.6643500000000002</v>
      </c>
      <c r="AQ7" s="121">
        <v>9.0548199999999995E-2</v>
      </c>
      <c r="AR7" s="68">
        <v>3664354</v>
      </c>
      <c r="AS7" s="68">
        <v>36643.5</v>
      </c>
      <c r="AT7" s="68">
        <v>3.6643500000000002E-2</v>
      </c>
      <c r="AU7" s="68">
        <v>366.435</v>
      </c>
      <c r="AV7" s="68">
        <v>366435367</v>
      </c>
      <c r="AW7" s="68">
        <v>3944.28</v>
      </c>
      <c r="AX7" s="122">
        <v>567976</v>
      </c>
      <c r="AY7" s="246">
        <f>(I7-AD7)/I7</f>
        <v>0</v>
      </c>
      <c r="AZ7" s="38">
        <f t="shared" ref="AZ7:BS7" si="0">(J7-AE7)/J7</f>
        <v>1.2227171022187046E-9</v>
      </c>
      <c r="BA7" s="37">
        <f t="shared" si="0"/>
        <v>-5.9421598938698474E-8</v>
      </c>
      <c r="BB7" s="37">
        <f t="shared" si="0"/>
        <v>-5.1425396953569623E-7</v>
      </c>
      <c r="BC7" s="37">
        <f t="shared" si="0"/>
        <v>-2.9339079951021768E-10</v>
      </c>
      <c r="BD7" s="37">
        <f t="shared" si="0"/>
        <v>-5.1425396943227933E-7</v>
      </c>
      <c r="BE7" s="38">
        <f t="shared" si="0"/>
        <v>-5.1425396956327414E-7</v>
      </c>
      <c r="BF7" s="105">
        <f t="shared" si="0"/>
        <v>2.3206552666406499E-10</v>
      </c>
      <c r="BG7" s="39">
        <f t="shared" si="0"/>
        <v>3.9632454265932193E-11</v>
      </c>
      <c r="BH7" s="39">
        <f t="shared" si="0"/>
        <v>1.7989828289081983E-6</v>
      </c>
      <c r="BI7" s="39">
        <f t="shared" si="0"/>
        <v>1.5353165391587897E-9</v>
      </c>
      <c r="BJ7" s="106">
        <f t="shared" si="0"/>
        <v>-3.2888397476104803E-13</v>
      </c>
      <c r="BK7" s="38">
        <f t="shared" si="0"/>
        <v>1.0018539321665316E-6</v>
      </c>
      <c r="BL7" s="37">
        <f t="shared" si="0"/>
        <v>-5.3922755256444683E-7</v>
      </c>
      <c r="BM7" s="37">
        <f t="shared" si="0"/>
        <v>-8.9743756987396776E-8</v>
      </c>
      <c r="BN7" s="37">
        <f t="shared" si="0"/>
        <v>1.0018539322097729E-6</v>
      </c>
      <c r="BO7" s="37">
        <f t="shared" si="0"/>
        <v>1.0018539321438083E-6</v>
      </c>
      <c r="BP7" s="37">
        <f t="shared" si="0"/>
        <v>1.0018539322780278E-6</v>
      </c>
      <c r="BQ7" s="37">
        <f t="shared" si="0"/>
        <v>3.1305245154842413E-10</v>
      </c>
      <c r="BR7" s="37">
        <f t="shared" si="0"/>
        <v>-6.4266855137674602E-7</v>
      </c>
      <c r="BS7" s="40">
        <f t="shared" si="0"/>
        <v>-7.9264419094602568E-8</v>
      </c>
    </row>
    <row r="8" spans="2:71" x14ac:dyDescent="0.25">
      <c r="B8" s="159">
        <v>340</v>
      </c>
      <c r="C8" s="163">
        <f t="shared" ref="C8:C14" si="1">B8*2</f>
        <v>680</v>
      </c>
      <c r="D8" s="97" t="s">
        <v>3</v>
      </c>
      <c r="E8" s="59"/>
      <c r="F8" s="58"/>
      <c r="G8" s="4">
        <v>980</v>
      </c>
      <c r="H8" s="55"/>
      <c r="I8" s="167">
        <f t="shared" ref="I8:I14" si="2">B8*2</f>
        <v>680</v>
      </c>
      <c r="J8" s="69">
        <f t="shared" ref="J8:J14" si="3">N8*100000</f>
        <v>466197830797.43738</v>
      </c>
      <c r="K8" s="70">
        <f t="shared" ref="K8:K14" si="4">N8*10000</f>
        <v>46619783079.743736</v>
      </c>
      <c r="L8" s="70">
        <f t="shared" ref="L8:L14" si="5">N8*10</f>
        <v>46619783.079743743</v>
      </c>
      <c r="M8" s="70">
        <f t="shared" ref="M8:M14" si="6">N8*1000000</f>
        <v>4661978307974.374</v>
      </c>
      <c r="N8" s="70">
        <f>((4/3)*PI()*B8^3)*0.3048^3</f>
        <v>4661978.3079743739</v>
      </c>
      <c r="O8" s="71">
        <f t="shared" ref="O8:O14" si="7">N8*1000</f>
        <v>4661978307.9743738</v>
      </c>
      <c r="P8" s="115">
        <f t="shared" ref="P8:P14" si="8">S8/0.45359237</f>
        <v>161343486004.74579</v>
      </c>
      <c r="Q8" s="72">
        <f t="shared" ref="Q8:Q14" si="9">S8*1000/31.1034768</f>
        <v>2352925837569.21</v>
      </c>
      <c r="R8" s="72">
        <f t="shared" ref="R8:R14" si="10">S8/1000</f>
        <v>73184174.200954482</v>
      </c>
      <c r="S8" s="72">
        <f>N8*(0.45359237/0.3048^3)*G8</f>
        <v>73184174200.954483</v>
      </c>
      <c r="T8" s="116">
        <f t="shared" ref="T8:T14" si="11">S8*1000</f>
        <v>73184174200954.484</v>
      </c>
      <c r="U8" s="81">
        <f t="shared" ref="U8:U14" si="12">Z8/100</f>
        <v>1349.5768608077738</v>
      </c>
      <c r="V8" s="73">
        <f t="shared" ref="V8:V14" si="13">Z8/4046.8564224</f>
        <v>33.348770500916444</v>
      </c>
      <c r="W8" s="73">
        <f t="shared" ref="W8:W14" si="14">Z8*10000</f>
        <v>1349576860.8077738</v>
      </c>
      <c r="X8" s="73">
        <f t="shared" ref="X8:X14" si="15">Z8*100</f>
        <v>13495768.608077738</v>
      </c>
      <c r="Y8" s="73">
        <f t="shared" ref="Y8:Y14" si="16">Z8/10000</f>
        <v>13.495768608077737</v>
      </c>
      <c r="Z8" s="73">
        <f>(4*PI()*B8^2)*0.3048^2</f>
        <v>134957.68608077738</v>
      </c>
      <c r="AA8" s="73">
        <f t="shared" ref="AA8:AA14" si="17">Z8*1000000</f>
        <v>134957686080.77737</v>
      </c>
      <c r="AB8" s="73">
        <f t="shared" ref="AB8:AB14" si="18">Z8/144*10000/(2.54*2.54)</f>
        <v>1452672.4430199203</v>
      </c>
      <c r="AC8" s="81">
        <f t="shared" ref="AC8:AC14" si="19">Z8*10000/(2.54 *2.54)</f>
        <v>209184831.79486853</v>
      </c>
      <c r="AD8" s="167">
        <v>680</v>
      </c>
      <c r="AE8" s="69">
        <v>466197830797</v>
      </c>
      <c r="AF8" s="69">
        <v>46619783080</v>
      </c>
      <c r="AG8" s="70">
        <v>46619783</v>
      </c>
      <c r="AH8" s="70">
        <v>4661978307974</v>
      </c>
      <c r="AI8" s="70">
        <v>4661978</v>
      </c>
      <c r="AJ8" s="71">
        <v>4661978308</v>
      </c>
      <c r="AK8" s="115">
        <v>161343486005</v>
      </c>
      <c r="AL8" s="72">
        <v>2352925837569</v>
      </c>
      <c r="AM8" s="72">
        <v>73184174</v>
      </c>
      <c r="AN8" s="72">
        <v>73184174201</v>
      </c>
      <c r="AO8" s="116">
        <v>73184174200954</v>
      </c>
      <c r="AP8" s="123">
        <v>1349.58</v>
      </c>
      <c r="AQ8" s="123">
        <v>33.348799999999997</v>
      </c>
      <c r="AR8" s="73">
        <v>1349576861</v>
      </c>
      <c r="AS8" s="73">
        <v>13495769</v>
      </c>
      <c r="AT8" s="73">
        <v>13.495799999999999</v>
      </c>
      <c r="AU8" s="73">
        <v>134958</v>
      </c>
      <c r="AV8" s="73">
        <v>134957686081</v>
      </c>
      <c r="AW8" s="73">
        <v>1452672</v>
      </c>
      <c r="AX8" s="124">
        <v>209184832</v>
      </c>
      <c r="AY8" s="247">
        <f t="shared" ref="AY8:AY14" si="20">(I8-AD8)/I8</f>
        <v>0</v>
      </c>
      <c r="AZ8" s="43">
        <f t="shared" ref="AZ8:BE14" si="21">(J8-AE8)/J8</f>
        <v>9.3818096265990647E-13</v>
      </c>
      <c r="BA8" s="42">
        <f t="shared" si="21"/>
        <v>-5.496888144498953E-12</v>
      </c>
      <c r="BB8" s="42">
        <f t="shared" si="21"/>
        <v>1.7105129555495219E-9</v>
      </c>
      <c r="BC8" s="42">
        <f t="shared" si="21"/>
        <v>8.0228480870498276E-14</v>
      </c>
      <c r="BD8" s="42">
        <f t="shared" si="21"/>
        <v>6.6060876644354571E-8</v>
      </c>
      <c r="BE8" s="43">
        <f t="shared" si="21"/>
        <v>-5.4968472316395013E-12</v>
      </c>
      <c r="BF8" s="107">
        <f t="shared" ref="BF8:BF14" si="22">(P8-AK8)/P8</f>
        <v>-1.5755915040398506E-12</v>
      </c>
      <c r="BG8" s="44">
        <f t="shared" ref="BG8:BS14" si="23">(Q8-AL8)/Q8</f>
        <v>8.923398015676902E-14</v>
      </c>
      <c r="BH8" s="44">
        <f t="shared" si="23"/>
        <v>2.7458734644944874E-9</v>
      </c>
      <c r="BI8" s="44">
        <f t="shared" si="23"/>
        <v>-6.2195096508780248E-13</v>
      </c>
      <c r="BJ8" s="108">
        <f t="shared" si="23"/>
        <v>6.6185757411153881E-15</v>
      </c>
      <c r="BK8" s="43">
        <f t="shared" si="23"/>
        <v>-2.3260566458533859E-6</v>
      </c>
      <c r="BL8" s="42">
        <f t="shared" si="23"/>
        <v>-8.8456285223329458E-7</v>
      </c>
      <c r="BM8" s="42">
        <f t="shared" si="23"/>
        <v>-1.4243440079320528E-10</v>
      </c>
      <c r="BN8" s="42">
        <f t="shared" si="23"/>
        <v>-2.9040380948095323E-8</v>
      </c>
      <c r="BO8" s="42">
        <f t="shared" si="23"/>
        <v>-2.3260566458481208E-6</v>
      </c>
      <c r="BP8" s="42">
        <f t="shared" si="23"/>
        <v>-2.3260566458938203E-6</v>
      </c>
      <c r="BQ8" s="42">
        <f t="shared" si="23"/>
        <v>-1.6495965430870305E-12</v>
      </c>
      <c r="BR8" s="42">
        <f t="shared" si="23"/>
        <v>3.0496890223965082E-7</v>
      </c>
      <c r="BS8" s="45">
        <f t="shared" si="23"/>
        <v>-9.806230661993248E-10</v>
      </c>
    </row>
    <row r="9" spans="2:71" x14ac:dyDescent="0.25">
      <c r="B9" s="159">
        <v>220</v>
      </c>
      <c r="C9" s="163">
        <f t="shared" si="1"/>
        <v>440</v>
      </c>
      <c r="D9" s="97" t="s">
        <v>4</v>
      </c>
      <c r="E9" s="59"/>
      <c r="F9" s="5">
        <v>638</v>
      </c>
      <c r="G9" s="56"/>
      <c r="H9" s="55"/>
      <c r="I9" s="167">
        <f t="shared" si="2"/>
        <v>440</v>
      </c>
      <c r="J9" s="69">
        <f t="shared" si="3"/>
        <v>73089973.0297205</v>
      </c>
      <c r="K9" s="70">
        <f t="shared" si="4"/>
        <v>7308997.3029720504</v>
      </c>
      <c r="L9" s="70">
        <f t="shared" si="5"/>
        <v>7308.9973029720495</v>
      </c>
      <c r="M9" s="70">
        <f t="shared" si="6"/>
        <v>730899730.29720497</v>
      </c>
      <c r="N9" s="70">
        <f>((4/3)*PI()*B9^3)*(2.54/100)^3</f>
        <v>730.899730297205</v>
      </c>
      <c r="O9" s="71">
        <f t="shared" si="7"/>
        <v>730899.73029720504</v>
      </c>
      <c r="P9" s="115">
        <f t="shared" si="8"/>
        <v>1028046454.859055</v>
      </c>
      <c r="Q9" s="72">
        <f t="shared" si="9"/>
        <v>14992344133.361221</v>
      </c>
      <c r="R9" s="72">
        <f t="shared" si="10"/>
        <v>466314.0279296168</v>
      </c>
      <c r="S9" s="72">
        <f>N9*1000*F9</f>
        <v>466314027.92961681</v>
      </c>
      <c r="T9" s="116">
        <f t="shared" si="11"/>
        <v>466314027929.61682</v>
      </c>
      <c r="U9" s="81">
        <f t="shared" si="12"/>
        <v>3.9239427181310225</v>
      </c>
      <c r="V9" s="73">
        <f t="shared" si="13"/>
        <v>9.6962736221907195E-2</v>
      </c>
      <c r="W9" s="73">
        <f t="shared" si="14"/>
        <v>3923942.7181310225</v>
      </c>
      <c r="X9" s="73">
        <f t="shared" si="15"/>
        <v>39239.427181310224</v>
      </c>
      <c r="Y9" s="73">
        <f t="shared" si="16"/>
        <v>3.9239427181310224E-2</v>
      </c>
      <c r="Z9" s="73">
        <f>(4*PI()*B9^2)*(2.54/100)^2</f>
        <v>392.39427181310225</v>
      </c>
      <c r="AA9" s="73">
        <f t="shared" si="17"/>
        <v>392394271.81310225</v>
      </c>
      <c r="AB9" s="73">
        <f t="shared" si="18"/>
        <v>4223.6967898262774</v>
      </c>
      <c r="AC9" s="81">
        <f t="shared" si="19"/>
        <v>608212.337734984</v>
      </c>
      <c r="AD9" s="167">
        <v>440</v>
      </c>
      <c r="AE9" s="69">
        <v>73089973</v>
      </c>
      <c r="AF9" s="70">
        <v>7308997</v>
      </c>
      <c r="AG9" s="70">
        <v>7309</v>
      </c>
      <c r="AH9" s="70">
        <v>730899730</v>
      </c>
      <c r="AI9" s="70">
        <v>730.9</v>
      </c>
      <c r="AJ9" s="71">
        <v>730900</v>
      </c>
      <c r="AK9" s="115">
        <v>1028046455</v>
      </c>
      <c r="AL9" s="72">
        <v>14992344133</v>
      </c>
      <c r="AM9" s="72">
        <v>466314</v>
      </c>
      <c r="AN9" s="72">
        <v>466314028</v>
      </c>
      <c r="AO9" s="116">
        <v>466314027930</v>
      </c>
      <c r="AP9" s="123">
        <v>3.92394</v>
      </c>
      <c r="AQ9" s="123">
        <v>9.6962699999999999E-2</v>
      </c>
      <c r="AR9" s="73">
        <v>3923943</v>
      </c>
      <c r="AS9" s="73">
        <v>39239.4</v>
      </c>
      <c r="AT9" s="73">
        <v>3.9239400000000001E-2</v>
      </c>
      <c r="AU9" s="73">
        <v>392.39400000000001</v>
      </c>
      <c r="AV9" s="73">
        <v>392394272</v>
      </c>
      <c r="AW9" s="73">
        <v>4223.7</v>
      </c>
      <c r="AX9" s="124">
        <v>608212</v>
      </c>
      <c r="AY9" s="247">
        <f t="shared" si="20"/>
        <v>0</v>
      </c>
      <c r="AZ9" s="43">
        <f t="shared" si="21"/>
        <v>4.066289653643008E-10</v>
      </c>
      <c r="BA9" s="42">
        <f t="shared" si="21"/>
        <v>4.1451930795006559E-8</v>
      </c>
      <c r="BB9" s="42">
        <f t="shared" si="21"/>
        <v>-3.6900108711118806E-7</v>
      </c>
      <c r="BC9" s="42">
        <f t="shared" si="21"/>
        <v>4.0662892458945691E-10</v>
      </c>
      <c r="BD9" s="42">
        <f t="shared" si="21"/>
        <v>-3.6900108701786182E-7</v>
      </c>
      <c r="BE9" s="43">
        <f t="shared" si="21"/>
        <v>-3.6900108699173048E-7</v>
      </c>
      <c r="BF9" s="107">
        <f t="shared" si="22"/>
        <v>-1.3709979453455518E-10</v>
      </c>
      <c r="BG9" s="44">
        <f t="shared" si="23"/>
        <v>2.4093718117953724E-11</v>
      </c>
      <c r="BH9" s="44">
        <f t="shared" si="23"/>
        <v>5.9894438357300752E-8</v>
      </c>
      <c r="BI9" s="44">
        <f t="shared" si="23"/>
        <v>-1.5093517864173478E-10</v>
      </c>
      <c r="BJ9" s="108">
        <f t="shared" si="23"/>
        <v>-8.2171817270600129E-13</v>
      </c>
      <c r="BK9" s="43">
        <f t="shared" si="23"/>
        <v>6.9270405246332282E-7</v>
      </c>
      <c r="BL9" s="42">
        <f t="shared" si="23"/>
        <v>3.7356523348289295E-7</v>
      </c>
      <c r="BM9" s="42">
        <f t="shared" si="23"/>
        <v>-7.1833101989429788E-8</v>
      </c>
      <c r="BN9" s="42">
        <f t="shared" si="23"/>
        <v>6.9270405240791279E-7</v>
      </c>
      <c r="BO9" s="42">
        <f t="shared" si="23"/>
        <v>6.9270405242795592E-7</v>
      </c>
      <c r="BP9" s="42">
        <f t="shared" si="23"/>
        <v>6.9270405245426889E-7</v>
      </c>
      <c r="BQ9" s="42">
        <f t="shared" si="23"/>
        <v>-4.7630092510170236E-10</v>
      </c>
      <c r="BR9" s="42">
        <f t="shared" si="23"/>
        <v>-7.6003886693974291E-7</v>
      </c>
      <c r="BS9" s="45">
        <f t="shared" si="23"/>
        <v>5.5529124131037573E-7</v>
      </c>
    </row>
    <row r="10" spans="2:71" x14ac:dyDescent="0.25">
      <c r="B10" s="159">
        <v>780</v>
      </c>
      <c r="C10" s="163">
        <f t="shared" si="1"/>
        <v>1560</v>
      </c>
      <c r="D10" s="97" t="s">
        <v>5</v>
      </c>
      <c r="E10" s="11">
        <v>344</v>
      </c>
      <c r="F10" s="56"/>
      <c r="G10" s="56"/>
      <c r="H10" s="57"/>
      <c r="I10" s="167">
        <f t="shared" si="2"/>
        <v>1560</v>
      </c>
      <c r="J10" s="69">
        <f t="shared" si="3"/>
        <v>198779876926179.12</v>
      </c>
      <c r="K10" s="70">
        <f t="shared" si="4"/>
        <v>19877987692617.914</v>
      </c>
      <c r="L10" s="70">
        <f t="shared" si="5"/>
        <v>19877987692.617912</v>
      </c>
      <c r="M10" s="70">
        <f t="shared" si="6"/>
        <v>1987798769261791.2</v>
      </c>
      <c r="N10" s="70">
        <f>((4/3)*PI()*B10^3)</f>
        <v>1987798769.2617912</v>
      </c>
      <c r="O10" s="71">
        <f t="shared" si="7"/>
        <v>1987798769261.7913</v>
      </c>
      <c r="P10" s="115">
        <f t="shared" si="8"/>
        <v>1507527070232.8086</v>
      </c>
      <c r="Q10" s="72">
        <f t="shared" si="9"/>
        <v>21984769774228.461</v>
      </c>
      <c r="R10" s="72">
        <f t="shared" si="10"/>
        <v>683802776.62605619</v>
      </c>
      <c r="S10" s="72">
        <f>N10*E10</f>
        <v>683802776626.05615</v>
      </c>
      <c r="T10" s="116">
        <f t="shared" si="11"/>
        <v>683802776626056.12</v>
      </c>
      <c r="U10" s="81">
        <f t="shared" si="12"/>
        <v>76453.798817761199</v>
      </c>
      <c r="V10" s="73">
        <f t="shared" si="13"/>
        <v>1889.2145121476797</v>
      </c>
      <c r="W10" s="73">
        <f t="shared" si="14"/>
        <v>76453798817.7612</v>
      </c>
      <c r="X10" s="73">
        <f t="shared" si="15"/>
        <v>764537988.17761207</v>
      </c>
      <c r="Y10" s="73">
        <f t="shared" si="16"/>
        <v>764.53798817761208</v>
      </c>
      <c r="Z10" s="73">
        <f>4*PI()*B10^2</f>
        <v>7645379.8817761205</v>
      </c>
      <c r="AA10" s="73">
        <f t="shared" si="17"/>
        <v>7645379881776.1201</v>
      </c>
      <c r="AB10" s="73">
        <f t="shared" si="18"/>
        <v>82294184.149152935</v>
      </c>
      <c r="AC10" s="81">
        <f t="shared" si="19"/>
        <v>11850362517.478022</v>
      </c>
      <c r="AD10" s="167">
        <v>1560</v>
      </c>
      <c r="AE10" s="69">
        <v>198779876926179</v>
      </c>
      <c r="AF10" s="70">
        <v>19877987692618</v>
      </c>
      <c r="AG10" s="70">
        <v>19877987693</v>
      </c>
      <c r="AH10" s="70">
        <v>1987798769261790</v>
      </c>
      <c r="AI10" s="70">
        <v>1987798769</v>
      </c>
      <c r="AJ10" s="71">
        <v>1987798769262</v>
      </c>
      <c r="AK10" s="115">
        <v>1507527070233</v>
      </c>
      <c r="AL10" s="72">
        <v>21984769774228</v>
      </c>
      <c r="AM10" s="72">
        <v>683802777</v>
      </c>
      <c r="AN10" s="72">
        <v>683802776626</v>
      </c>
      <c r="AO10" s="116">
        <v>683802776626056</v>
      </c>
      <c r="AP10" s="123">
        <v>76453.8</v>
      </c>
      <c r="AQ10" s="123">
        <v>1889.21</v>
      </c>
      <c r="AR10" s="73">
        <v>76453798818</v>
      </c>
      <c r="AS10" s="73">
        <v>764537988</v>
      </c>
      <c r="AT10" s="73">
        <v>764.53800000000001</v>
      </c>
      <c r="AU10" s="73">
        <v>7645380</v>
      </c>
      <c r="AV10" s="73">
        <v>7645379881776</v>
      </c>
      <c r="AW10" s="73">
        <v>82294184</v>
      </c>
      <c r="AX10" s="124">
        <v>11850362517</v>
      </c>
      <c r="AY10" s="247">
        <f t="shared" si="20"/>
        <v>0</v>
      </c>
      <c r="AZ10" s="43">
        <f t="shared" si="21"/>
        <v>6.2883628832520733E-16</v>
      </c>
      <c r="BA10" s="42">
        <f t="shared" si="21"/>
        <v>-4.3232494822358001E-15</v>
      </c>
      <c r="BB10" s="42">
        <f t="shared" si="21"/>
        <v>-1.9221649264901555E-11</v>
      </c>
      <c r="BC10" s="42">
        <f t="shared" si="21"/>
        <v>6.2883628832520733E-16</v>
      </c>
      <c r="BD10" s="42">
        <f t="shared" si="21"/>
        <v>1.3169905993314819E-10</v>
      </c>
      <c r="BE10" s="43">
        <f t="shared" si="21"/>
        <v>-1.0501074736680708E-13</v>
      </c>
      <c r="BF10" s="107">
        <f t="shared" si="22"/>
        <v>-1.2696704011453737E-13</v>
      </c>
      <c r="BG10" s="44">
        <f t="shared" si="23"/>
        <v>2.0966219102295614E-14</v>
      </c>
      <c r="BH10" s="44">
        <f t="shared" si="23"/>
        <v>-5.4685915073298196E-10</v>
      </c>
      <c r="BI10" s="44">
        <f t="shared" si="23"/>
        <v>8.2117747498863156E-14</v>
      </c>
      <c r="BJ10" s="108">
        <f t="shared" si="23"/>
        <v>1.8280124660616493E-16</v>
      </c>
      <c r="BK10" s="43">
        <f t="shared" si="23"/>
        <v>-1.5463440959872885E-8</v>
      </c>
      <c r="BL10" s="42">
        <f t="shared" si="23"/>
        <v>2.3883723370854629E-6</v>
      </c>
      <c r="BM10" s="42">
        <f t="shared" si="23"/>
        <v>-3.1234556362246931E-12</v>
      </c>
      <c r="BN10" s="42">
        <f t="shared" si="23"/>
        <v>2.3231293802978344E-10</v>
      </c>
      <c r="BO10" s="42">
        <f t="shared" si="23"/>
        <v>-1.5463440817120835E-8</v>
      </c>
      <c r="BP10" s="42">
        <f t="shared" si="23"/>
        <v>-1.5463440838057805E-8</v>
      </c>
      <c r="BQ10" s="42">
        <f t="shared" si="23"/>
        <v>1.5711081641125103E-14</v>
      </c>
      <c r="BR10" s="42">
        <f t="shared" si="23"/>
        <v>1.8124359101842346E-9</v>
      </c>
      <c r="BS10" s="45">
        <f t="shared" si="23"/>
        <v>4.0338143326760731E-11</v>
      </c>
    </row>
    <row r="11" spans="2:71" x14ac:dyDescent="0.25">
      <c r="B11" s="160">
        <v>0.67</v>
      </c>
      <c r="C11" s="164">
        <f t="shared" si="1"/>
        <v>1.34</v>
      </c>
      <c r="D11" s="97" t="s">
        <v>6</v>
      </c>
      <c r="E11" s="11">
        <v>976</v>
      </c>
      <c r="F11" s="58"/>
      <c r="G11" s="58"/>
      <c r="H11" s="55"/>
      <c r="I11" s="167">
        <f t="shared" si="2"/>
        <v>1.34</v>
      </c>
      <c r="J11" s="69">
        <f t="shared" si="3"/>
        <v>525121346536350.75</v>
      </c>
      <c r="K11" s="70">
        <f t="shared" si="4"/>
        <v>52512134653635.07</v>
      </c>
      <c r="L11" s="70">
        <f t="shared" si="5"/>
        <v>52512134653.635071</v>
      </c>
      <c r="M11" s="70">
        <f t="shared" si="6"/>
        <v>5251213465363507</v>
      </c>
      <c r="N11" s="70">
        <f>((4/3)*PI()*B11^3)*(63360*2.54/100)^3</f>
        <v>5251213465.3635073</v>
      </c>
      <c r="O11" s="71">
        <f t="shared" si="7"/>
        <v>5251213465363.5068</v>
      </c>
      <c r="P11" s="115">
        <f t="shared" si="8"/>
        <v>11299097341947.756</v>
      </c>
      <c r="Q11" s="72">
        <f t="shared" si="9"/>
        <v>164778502903404.78</v>
      </c>
      <c r="R11" s="72">
        <f t="shared" si="10"/>
        <v>5125184342.1947832</v>
      </c>
      <c r="S11" s="72">
        <f>N11*E11</f>
        <v>5125184342194.7832</v>
      </c>
      <c r="T11" s="116">
        <f t="shared" si="11"/>
        <v>5125184342194783</v>
      </c>
      <c r="U11" s="81">
        <f t="shared" si="12"/>
        <v>146102.36291040291</v>
      </c>
      <c r="V11" s="73">
        <f t="shared" si="13"/>
        <v>3610.2680120229338</v>
      </c>
      <c r="W11" s="73">
        <f t="shared" si="14"/>
        <v>146102362910.40289</v>
      </c>
      <c r="X11" s="73">
        <f t="shared" si="15"/>
        <v>1461023629.1040289</v>
      </c>
      <c r="Y11" s="73">
        <f t="shared" si="16"/>
        <v>1461.0236291040289</v>
      </c>
      <c r="Z11" s="73">
        <f>(4*PI()*B11^2)*(63360*2.54/100)^2</f>
        <v>14610236.29104029</v>
      </c>
      <c r="AA11" s="73">
        <f t="shared" si="17"/>
        <v>14610236291040.291</v>
      </c>
      <c r="AB11" s="73">
        <f t="shared" si="18"/>
        <v>157263274.603719</v>
      </c>
      <c r="AC11" s="81">
        <f t="shared" si="19"/>
        <v>22645911542.935535</v>
      </c>
      <c r="AD11" s="167">
        <v>1.34</v>
      </c>
      <c r="AE11" s="69">
        <v>525121346536351</v>
      </c>
      <c r="AF11" s="70">
        <v>52512134653635</v>
      </c>
      <c r="AG11" s="70">
        <v>52512134654</v>
      </c>
      <c r="AH11" s="70">
        <v>5251213465363510</v>
      </c>
      <c r="AI11" s="70">
        <v>5251213465</v>
      </c>
      <c r="AJ11" s="71">
        <v>5251213465364</v>
      </c>
      <c r="AK11" s="115">
        <v>11299097341948</v>
      </c>
      <c r="AL11" s="72">
        <v>164778502903405</v>
      </c>
      <c r="AM11" s="72">
        <v>5125184342</v>
      </c>
      <c r="AN11" s="72">
        <v>5125184342195</v>
      </c>
      <c r="AO11" s="116">
        <v>5125184342194780</v>
      </c>
      <c r="AP11" s="123">
        <v>146102</v>
      </c>
      <c r="AQ11" s="123">
        <v>3610.27</v>
      </c>
      <c r="AR11" s="73">
        <v>146102362910</v>
      </c>
      <c r="AS11" s="73">
        <v>1461023629</v>
      </c>
      <c r="AT11" s="73">
        <v>1461.02</v>
      </c>
      <c r="AU11" s="73">
        <v>14610236</v>
      </c>
      <c r="AV11" s="73">
        <v>14610236291040</v>
      </c>
      <c r="AW11" s="73">
        <v>157263275</v>
      </c>
      <c r="AX11" s="124">
        <v>22645911543</v>
      </c>
      <c r="AY11" s="247">
        <f t="shared" si="20"/>
        <v>0</v>
      </c>
      <c r="AZ11" s="43">
        <f t="shared" si="21"/>
        <v>-4.7608043673900448E-16</v>
      </c>
      <c r="BA11" s="42">
        <f t="shared" si="21"/>
        <v>1.3389762283284503E-15</v>
      </c>
      <c r="BB11" s="42">
        <f t="shared" si="21"/>
        <v>-6.9494261017151081E-12</v>
      </c>
      <c r="BC11" s="42">
        <f t="shared" si="21"/>
        <v>-5.7129652408680551E-16</v>
      </c>
      <c r="BD11" s="42">
        <f t="shared" si="21"/>
        <v>6.9223480098580426E-11</v>
      </c>
      <c r="BE11" s="43">
        <f t="shared" si="21"/>
        <v>-9.3914304903592705E-14</v>
      </c>
      <c r="BF11" s="107">
        <f t="shared" si="22"/>
        <v>-2.1607091045550251E-14</v>
      </c>
      <c r="BG11" s="44">
        <f t="shared" si="23"/>
        <v>-1.3275396738386074E-15</v>
      </c>
      <c r="BH11" s="44">
        <f t="shared" si="23"/>
        <v>3.8005113133351521E-11</v>
      </c>
      <c r="BI11" s="44">
        <f t="shared" si="23"/>
        <v>-4.2300307759693185E-14</v>
      </c>
      <c r="BJ11" s="108">
        <f t="shared" si="23"/>
        <v>5.8534479926926787E-16</v>
      </c>
      <c r="BK11" s="43">
        <f t="shared" si="23"/>
        <v>2.4839461572033168E-6</v>
      </c>
      <c r="BL11" s="42">
        <f t="shared" si="23"/>
        <v>-5.5064528714882986E-7</v>
      </c>
      <c r="BM11" s="42">
        <f t="shared" si="23"/>
        <v>2.7576081480169057E-12</v>
      </c>
      <c r="BN11" s="42">
        <f t="shared" si="23"/>
        <v>7.1202777373697431E-11</v>
      </c>
      <c r="BO11" s="42">
        <f t="shared" si="23"/>
        <v>2.4839461571099416E-6</v>
      </c>
      <c r="BP11" s="42">
        <f t="shared" si="23"/>
        <v>1.9920300010859252E-8</v>
      </c>
      <c r="BQ11" s="42">
        <f t="shared" si="23"/>
        <v>1.9918611800855333E-14</v>
      </c>
      <c r="BR11" s="42">
        <f t="shared" si="23"/>
        <v>-2.5198572581589563E-9</v>
      </c>
      <c r="BS11" s="45">
        <f t="shared" si="23"/>
        <v>-2.8466316743123905E-12</v>
      </c>
    </row>
    <row r="12" spans="2:71" x14ac:dyDescent="0.25">
      <c r="B12" s="159">
        <v>58</v>
      </c>
      <c r="C12" s="163">
        <f t="shared" si="1"/>
        <v>116</v>
      </c>
      <c r="D12" s="97" t="s">
        <v>7</v>
      </c>
      <c r="E12" s="59"/>
      <c r="F12" s="4">
        <v>866</v>
      </c>
      <c r="G12" s="58"/>
      <c r="H12" s="55"/>
      <c r="I12" s="167">
        <f t="shared" si="2"/>
        <v>116</v>
      </c>
      <c r="J12" s="69">
        <f t="shared" si="3"/>
        <v>81.728323443628213</v>
      </c>
      <c r="K12" s="70">
        <f t="shared" si="4"/>
        <v>8.1728323443628224</v>
      </c>
      <c r="L12" s="70">
        <f t="shared" si="5"/>
        <v>8.1728323443628209E-3</v>
      </c>
      <c r="M12" s="70">
        <f t="shared" si="6"/>
        <v>817.2832344362821</v>
      </c>
      <c r="N12" s="70">
        <f>((4/3)*PI()*B12^3)/1000^3</f>
        <v>8.1728323443628216E-4</v>
      </c>
      <c r="O12" s="71">
        <f t="shared" si="7"/>
        <v>0.81728323443628215</v>
      </c>
      <c r="P12" s="115">
        <f t="shared" si="8"/>
        <v>1560.359758745105</v>
      </c>
      <c r="Q12" s="72">
        <f t="shared" si="9"/>
        <v>22755.246481699447</v>
      </c>
      <c r="R12" s="72">
        <f t="shared" si="10"/>
        <v>0.7077672810218204</v>
      </c>
      <c r="S12" s="72">
        <f>N12*1000*F12</f>
        <v>707.76728102182039</v>
      </c>
      <c r="T12" s="116">
        <f t="shared" si="11"/>
        <v>707767.28102182038</v>
      </c>
      <c r="U12" s="81">
        <f t="shared" si="12"/>
        <v>4.2273270746704257E-4</v>
      </c>
      <c r="V12" s="73">
        <f t="shared" si="13"/>
        <v>1.0445952693729116E-5</v>
      </c>
      <c r="W12" s="73">
        <f t="shared" si="14"/>
        <v>422.73270746704253</v>
      </c>
      <c r="X12" s="73">
        <f t="shared" si="15"/>
        <v>4.2273270746704252</v>
      </c>
      <c r="Y12" s="73">
        <f t="shared" si="16"/>
        <v>4.2273270746704256E-6</v>
      </c>
      <c r="Z12" s="73">
        <f>(4*PI()*B12^2)/1000^2</f>
        <v>4.2273270746704256E-2</v>
      </c>
      <c r="AA12" s="73">
        <f t="shared" si="17"/>
        <v>42273.270746704256</v>
      </c>
      <c r="AB12" s="73">
        <f t="shared" si="18"/>
        <v>0.45502569933884029</v>
      </c>
      <c r="AC12" s="81">
        <f t="shared" si="19"/>
        <v>65.523700704793001</v>
      </c>
      <c r="AD12" s="167">
        <v>116</v>
      </c>
      <c r="AE12" s="69">
        <v>81.728300000000004</v>
      </c>
      <c r="AF12" s="70">
        <v>8.1728299999999994</v>
      </c>
      <c r="AG12" s="70">
        <v>8.1728300000000007E-3</v>
      </c>
      <c r="AH12" s="70">
        <v>817.28300000000002</v>
      </c>
      <c r="AI12" s="70">
        <v>8.1728300000000003E-4</v>
      </c>
      <c r="AJ12" s="71">
        <v>0.81728299999999998</v>
      </c>
      <c r="AK12" s="115">
        <v>1560.36</v>
      </c>
      <c r="AL12" s="72">
        <v>22755.200000000001</v>
      </c>
      <c r="AM12" s="72">
        <v>0.70776700000000003</v>
      </c>
      <c r="AN12" s="72">
        <v>707.76700000000005</v>
      </c>
      <c r="AO12" s="116">
        <v>707767</v>
      </c>
      <c r="AP12" s="123">
        <v>4.2273300000000001E-4</v>
      </c>
      <c r="AQ12" s="123">
        <v>1.04459526937291E-5</v>
      </c>
      <c r="AR12" s="73">
        <v>422.733</v>
      </c>
      <c r="AS12" s="73">
        <v>4.2273300000000003</v>
      </c>
      <c r="AT12" s="73">
        <v>4.2273270746704299E-6</v>
      </c>
      <c r="AU12" s="73">
        <v>4.22733E-2</v>
      </c>
      <c r="AV12" s="73">
        <v>42273.3</v>
      </c>
      <c r="AW12" s="73">
        <v>0.45502599999999999</v>
      </c>
      <c r="AX12" s="124">
        <v>65.523700000000005</v>
      </c>
      <c r="AY12" s="247">
        <f t="shared" si="20"/>
        <v>0</v>
      </c>
      <c r="AZ12" s="43">
        <f t="shared" si="21"/>
        <v>2.8684827022870782E-7</v>
      </c>
      <c r="BA12" s="42">
        <f t="shared" si="21"/>
        <v>2.8684827048952657E-7</v>
      </c>
      <c r="BB12" s="42">
        <f t="shared" si="21"/>
        <v>2.8684827014822079E-7</v>
      </c>
      <c r="BC12" s="42">
        <f t="shared" si="21"/>
        <v>2.8684827022870782E-7</v>
      </c>
      <c r="BD12" s="42">
        <f t="shared" si="21"/>
        <v>2.8684827028088007E-7</v>
      </c>
      <c r="BE12" s="43">
        <f t="shared" si="21"/>
        <v>2.8684827032651487E-7</v>
      </c>
      <c r="BF12" s="107">
        <f t="shared" si="22"/>
        <v>-1.5461491722851919E-7</v>
      </c>
      <c r="BG12" s="44">
        <f t="shared" si="23"/>
        <v>2.0426805520953472E-6</v>
      </c>
      <c r="BH12" s="44">
        <f t="shared" si="23"/>
        <v>3.9705398639506356E-7</v>
      </c>
      <c r="BI12" s="44">
        <f t="shared" si="23"/>
        <v>3.9705398635616161E-7</v>
      </c>
      <c r="BJ12" s="108">
        <f t="shared" si="23"/>
        <v>3.9705398641141749E-7</v>
      </c>
      <c r="BK12" s="43">
        <f t="shared" si="23"/>
        <v>-6.9200455103575262E-7</v>
      </c>
      <c r="BL12" s="42">
        <f t="shared" si="23"/>
        <v>1.6217437931971273E-15</v>
      </c>
      <c r="BM12" s="42">
        <f t="shared" si="23"/>
        <v>-6.9200455111809545E-7</v>
      </c>
      <c r="BN12" s="42">
        <f t="shared" si="23"/>
        <v>-6.9200455118532879E-7</v>
      </c>
      <c r="BO12" s="42">
        <f t="shared" si="23"/>
        <v>-1.0018540466499595E-15</v>
      </c>
      <c r="BP12" s="42">
        <f t="shared" si="23"/>
        <v>-6.9200455104088215E-7</v>
      </c>
      <c r="BQ12" s="42">
        <f t="shared" si="23"/>
        <v>-6.920045510965807E-7</v>
      </c>
      <c r="BR12" s="42">
        <f t="shared" si="23"/>
        <v>-6.6075643667610449E-7</v>
      </c>
      <c r="BS12" s="45">
        <f t="shared" si="23"/>
        <v>1.0756306312672371E-8</v>
      </c>
    </row>
    <row r="13" spans="2:71" x14ac:dyDescent="0.25">
      <c r="B13" s="159">
        <v>234</v>
      </c>
      <c r="C13" s="163">
        <f t="shared" si="1"/>
        <v>468</v>
      </c>
      <c r="D13" s="97" t="s">
        <v>8</v>
      </c>
      <c r="E13" s="59"/>
      <c r="F13" s="58"/>
      <c r="G13" s="4">
        <v>466</v>
      </c>
      <c r="H13" s="55"/>
      <c r="I13" s="167">
        <f t="shared" si="2"/>
        <v>468</v>
      </c>
      <c r="J13" s="69">
        <f t="shared" si="3"/>
        <v>4103409255481.0405</v>
      </c>
      <c r="K13" s="70">
        <f t="shared" si="4"/>
        <v>410340925548.10406</v>
      </c>
      <c r="L13" s="70">
        <f t="shared" si="5"/>
        <v>410340925.54810405</v>
      </c>
      <c r="M13" s="70">
        <f t="shared" si="6"/>
        <v>41034092554810.406</v>
      </c>
      <c r="N13" s="70">
        <f>((4/3)*PI()*B13^3)*0.9144^3</f>
        <v>41034092.554810405</v>
      </c>
      <c r="O13" s="71">
        <f t="shared" si="7"/>
        <v>41034092554.810402</v>
      </c>
      <c r="P13" s="115">
        <f t="shared" si="8"/>
        <v>675283071101</v>
      </c>
      <c r="Q13" s="72">
        <f t="shared" si="9"/>
        <v>9847878120222.918</v>
      </c>
      <c r="R13" s="72">
        <f t="shared" si="10"/>
        <v>306303248.64158112</v>
      </c>
      <c r="S13" s="72">
        <f>N13*(0.45359237/0.3048^3)*G13</f>
        <v>306303248641.58112</v>
      </c>
      <c r="T13" s="116">
        <f t="shared" si="11"/>
        <v>306303248641581.12</v>
      </c>
      <c r="U13" s="81">
        <f t="shared" si="12"/>
        <v>5753.2601670719214</v>
      </c>
      <c r="V13" s="73">
        <f t="shared" si="13"/>
        <v>142.16615482641546</v>
      </c>
      <c r="W13" s="73">
        <f t="shared" si="14"/>
        <v>5753260167.0719213</v>
      </c>
      <c r="X13" s="73">
        <f t="shared" si="15"/>
        <v>57532601.670719221</v>
      </c>
      <c r="Y13" s="73">
        <f t="shared" si="16"/>
        <v>57.532601670719217</v>
      </c>
      <c r="Z13" s="73">
        <f>(4*PI()*B13^2)*0.9144^2</f>
        <v>575326.01670719218</v>
      </c>
      <c r="AA13" s="73">
        <f t="shared" si="17"/>
        <v>575326016707.19214</v>
      </c>
      <c r="AB13" s="73">
        <f t="shared" si="18"/>
        <v>6192757.7042386588</v>
      </c>
      <c r="AC13" s="81">
        <f t="shared" si="19"/>
        <v>891757109.41036665</v>
      </c>
      <c r="AD13" s="167">
        <v>468</v>
      </c>
      <c r="AE13" s="69">
        <v>4103409255481</v>
      </c>
      <c r="AF13" s="70">
        <v>410340925548</v>
      </c>
      <c r="AG13" s="70">
        <v>410340926</v>
      </c>
      <c r="AH13" s="70">
        <v>41034092554810</v>
      </c>
      <c r="AI13" s="70">
        <v>41034093</v>
      </c>
      <c r="AJ13" s="71">
        <v>41034092555</v>
      </c>
      <c r="AK13" s="115">
        <v>675283071101</v>
      </c>
      <c r="AL13" s="72">
        <v>9847878120223</v>
      </c>
      <c r="AM13" s="72">
        <v>306303249</v>
      </c>
      <c r="AN13" s="72">
        <v>306303248642</v>
      </c>
      <c r="AO13" s="116">
        <v>306303248641581</v>
      </c>
      <c r="AP13" s="123">
        <v>5753.26</v>
      </c>
      <c r="AQ13" s="123">
        <v>142.166</v>
      </c>
      <c r="AR13" s="73">
        <v>5753260167</v>
      </c>
      <c r="AS13" s="73">
        <v>57532602</v>
      </c>
      <c r="AT13" s="73">
        <v>57.532600000000002</v>
      </c>
      <c r="AU13" s="73">
        <v>575326</v>
      </c>
      <c r="AV13" s="73">
        <v>575326016707</v>
      </c>
      <c r="AW13" s="73">
        <v>6192758</v>
      </c>
      <c r="AX13" s="124">
        <v>891757109</v>
      </c>
      <c r="AY13" s="247">
        <f t="shared" si="20"/>
        <v>0</v>
      </c>
      <c r="AZ13" s="43">
        <f t="shared" si="21"/>
        <v>9.8765054194549264E-15</v>
      </c>
      <c r="BA13" s="42">
        <f t="shared" si="21"/>
        <v>2.5360605030377482E-13</v>
      </c>
      <c r="BB13" s="42">
        <f t="shared" si="21"/>
        <v>-1.1012695153941109E-9</v>
      </c>
      <c r="BC13" s="42">
        <f t="shared" si="21"/>
        <v>9.9003042276945757E-15</v>
      </c>
      <c r="BD13" s="42">
        <f t="shared" si="21"/>
        <v>-1.0849261370354925E-8</v>
      </c>
      <c r="BE13" s="43">
        <f t="shared" si="21"/>
        <v>-4.6205014340902557E-12</v>
      </c>
      <c r="BF13" s="107">
        <f t="shared" si="22"/>
        <v>0</v>
      </c>
      <c r="BG13" s="44">
        <f t="shared" si="23"/>
        <v>-8.3298400933238935E-15</v>
      </c>
      <c r="BH13" s="44">
        <f t="shared" si="23"/>
        <v>-1.1701439128794863E-9</v>
      </c>
      <c r="BI13" s="44">
        <f t="shared" si="23"/>
        <v>-1.3675476156438187E-12</v>
      </c>
      <c r="BJ13" s="108">
        <f t="shared" si="23"/>
        <v>4.0809230902499501E-16</v>
      </c>
      <c r="BK13" s="43">
        <f t="shared" si="23"/>
        <v>2.9039521300469281E-8</v>
      </c>
      <c r="BL13" s="42">
        <f t="shared" si="23"/>
        <v>1.0890525642820283E-6</v>
      </c>
      <c r="BM13" s="42">
        <f t="shared" si="23"/>
        <v>1.2500972749921923E-11</v>
      </c>
      <c r="BN13" s="42">
        <f t="shared" si="23"/>
        <v>-5.7233771670934769E-9</v>
      </c>
      <c r="BO13" s="42">
        <f t="shared" si="23"/>
        <v>2.9039521349870331E-8</v>
      </c>
      <c r="BP13" s="42">
        <f t="shared" si="23"/>
        <v>2.9039521401642632E-8</v>
      </c>
      <c r="BQ13" s="42">
        <f t="shared" si="23"/>
        <v>3.3396485869817274E-13</v>
      </c>
      <c r="BR13" s="42">
        <f t="shared" si="23"/>
        <v>-4.7759230274203377E-8</v>
      </c>
      <c r="BS13" s="45">
        <f t="shared" si="23"/>
        <v>4.6017760897627513E-10</v>
      </c>
    </row>
    <row r="14" spans="2:71" ht="15.75" thickBot="1" x14ac:dyDescent="0.3">
      <c r="B14" s="161">
        <v>125</v>
      </c>
      <c r="C14" s="170">
        <f t="shared" si="1"/>
        <v>250</v>
      </c>
      <c r="D14" s="98" t="s">
        <v>43</v>
      </c>
      <c r="E14" s="63"/>
      <c r="F14" s="60"/>
      <c r="G14" s="60"/>
      <c r="H14" s="15">
        <v>900</v>
      </c>
      <c r="I14" s="168">
        <f t="shared" si="2"/>
        <v>250</v>
      </c>
      <c r="J14" s="79">
        <f t="shared" si="3"/>
        <v>8.1812308687234181E-7</v>
      </c>
      <c r="K14" s="74">
        <f t="shared" si="4"/>
        <v>8.1812308687234184E-8</v>
      </c>
      <c r="L14" s="74">
        <f t="shared" si="5"/>
        <v>8.1812308687234178E-11</v>
      </c>
      <c r="M14" s="74">
        <f t="shared" si="6"/>
        <v>8.1812308687234189E-6</v>
      </c>
      <c r="N14" s="74">
        <f>((4/3)*PI()*B14^3)/1000000^3</f>
        <v>8.1812308687234181E-12</v>
      </c>
      <c r="O14" s="75">
        <f t="shared" si="7"/>
        <v>8.1812308687234174E-9</v>
      </c>
      <c r="P14" s="117">
        <f t="shared" si="8"/>
        <v>1.6232873982979643E-5</v>
      </c>
      <c r="Q14" s="76">
        <f t="shared" si="9"/>
        <v>2.3672941225178648E-4</v>
      </c>
      <c r="R14" s="76">
        <f t="shared" si="10"/>
        <v>7.3631077818510758E-9</v>
      </c>
      <c r="S14" s="76">
        <f>N14*1000*H14</f>
        <v>7.3631077818510759E-6</v>
      </c>
      <c r="T14" s="118">
        <f t="shared" si="11"/>
        <v>7.3631077818510759E-3</v>
      </c>
      <c r="U14" s="82">
        <f t="shared" si="12"/>
        <v>1.9634954084936207E-9</v>
      </c>
      <c r="V14" s="77">
        <f t="shared" si="13"/>
        <v>4.8519028192484372E-11</v>
      </c>
      <c r="W14" s="77">
        <f t="shared" si="14"/>
        <v>1.9634954084936204E-3</v>
      </c>
      <c r="X14" s="77">
        <f t="shared" si="15"/>
        <v>1.9634954084936207E-5</v>
      </c>
      <c r="Y14" s="77">
        <f t="shared" si="16"/>
        <v>1.9634954084936205E-11</v>
      </c>
      <c r="Z14" s="77">
        <f>(4*PI()*B14^2)/1000000^2</f>
        <v>1.9634954084936206E-7</v>
      </c>
      <c r="AA14" s="77">
        <f t="shared" si="17"/>
        <v>0.19634954084936207</v>
      </c>
      <c r="AB14" s="77">
        <f t="shared" si="18"/>
        <v>2.1134888680646193E-6</v>
      </c>
      <c r="AC14" s="82">
        <f t="shared" si="19"/>
        <v>3.0434239700130518E-4</v>
      </c>
      <c r="AD14" s="168">
        <v>250</v>
      </c>
      <c r="AE14" s="79">
        <v>8.1812308687234202E-7</v>
      </c>
      <c r="AF14" s="74">
        <v>8.1812308687234197E-8</v>
      </c>
      <c r="AG14" s="74">
        <v>8.1812308687234204E-11</v>
      </c>
      <c r="AH14" s="74">
        <v>8.1812308687234206E-6</v>
      </c>
      <c r="AI14" s="74">
        <v>8.1812308687234197E-12</v>
      </c>
      <c r="AJ14" s="75">
        <v>8.1812308687234207E-9</v>
      </c>
      <c r="AK14" s="117">
        <v>1.6232873982979599E-5</v>
      </c>
      <c r="AL14" s="76">
        <v>2.36729E-4</v>
      </c>
      <c r="AM14" s="76">
        <v>7.3631077818510799E-9</v>
      </c>
      <c r="AN14" s="76">
        <v>7.3631077818510801E-6</v>
      </c>
      <c r="AO14" s="118">
        <v>7.36311E-3</v>
      </c>
      <c r="AP14" s="125">
        <v>1.9634954084936199E-9</v>
      </c>
      <c r="AQ14" s="125">
        <v>4.8519028192484397E-11</v>
      </c>
      <c r="AR14" s="77">
        <v>1.9635E-3</v>
      </c>
      <c r="AS14" s="77">
        <v>1.96349540849362E-5</v>
      </c>
      <c r="AT14" s="77">
        <v>1.9634954084936199E-11</v>
      </c>
      <c r="AU14" s="77">
        <v>1.96349540849362E-7</v>
      </c>
      <c r="AV14" s="77">
        <v>0.19635</v>
      </c>
      <c r="AW14" s="77">
        <v>2.1134888680646202E-6</v>
      </c>
      <c r="AX14" s="126">
        <v>3.0434199999999998E-4</v>
      </c>
      <c r="AY14" s="248">
        <f t="shared" si="20"/>
        <v>0</v>
      </c>
      <c r="AZ14" s="48">
        <f t="shared" si="21"/>
        <v>-2.5883420259305969E-16</v>
      </c>
      <c r="BA14" s="47">
        <f t="shared" si="21"/>
        <v>-1.6177137662066228E-16</v>
      </c>
      <c r="BB14" s="47">
        <f t="shared" si="21"/>
        <v>-3.1595971996223108E-16</v>
      </c>
      <c r="BC14" s="47">
        <f t="shared" si="21"/>
        <v>-2.0706736207444771E-16</v>
      </c>
      <c r="BD14" s="47">
        <f t="shared" si="21"/>
        <v>-1.974748249763944E-16</v>
      </c>
      <c r="BE14" s="48">
        <f t="shared" si="21"/>
        <v>-4.0442844155165581E-16</v>
      </c>
      <c r="BF14" s="109">
        <f t="shared" si="22"/>
        <v>2.7133650703754653E-15</v>
      </c>
      <c r="BG14" s="49">
        <f t="shared" si="23"/>
        <v>1.741447260616228E-6</v>
      </c>
      <c r="BH14" s="49">
        <f t="shared" si="23"/>
        <v>-5.6170616882174415E-16</v>
      </c>
      <c r="BI14" s="49">
        <f t="shared" si="23"/>
        <v>-5.7518711687346597E-16</v>
      </c>
      <c r="BJ14" s="110">
        <f t="shared" si="23"/>
        <v>-3.0125172546760902E-7</v>
      </c>
      <c r="BK14" s="48">
        <f t="shared" si="23"/>
        <v>4.2127962661630799E-16</v>
      </c>
      <c r="BL14" s="47">
        <f t="shared" si="23"/>
        <v>-5.3276817581202503E-16</v>
      </c>
      <c r="BM14" s="47">
        <f t="shared" si="23"/>
        <v>-2.3384349969286977E-6</v>
      </c>
      <c r="BN14" s="47">
        <f t="shared" si="23"/>
        <v>3.4511227012407952E-16</v>
      </c>
      <c r="BO14" s="47">
        <f t="shared" si="23"/>
        <v>3.2912470829399067E-16</v>
      </c>
      <c r="BP14" s="47">
        <f t="shared" si="23"/>
        <v>2.6961896103443712E-16</v>
      </c>
      <c r="BQ14" s="47">
        <f t="shared" si="23"/>
        <v>-2.3384349967961744E-6</v>
      </c>
      <c r="BR14" s="47">
        <f t="shared" si="23"/>
        <v>-4.007747379478521E-16</v>
      </c>
      <c r="BS14" s="50">
        <f t="shared" si="23"/>
        <v>1.3044561293931132E-6</v>
      </c>
    </row>
    <row r="15" spans="2:71" ht="15.75" thickTop="1" x14ac:dyDescent="0.25"/>
    <row r="16" spans="2:71" ht="15.75" thickBot="1" x14ac:dyDescent="0.3"/>
    <row r="17" spans="2:71" ht="30.75" customHeight="1" thickTop="1" thickBot="1" x14ac:dyDescent="0.3">
      <c r="B17" s="343" t="s">
        <v>46</v>
      </c>
      <c r="C17" s="420"/>
      <c r="D17" s="346" t="s">
        <v>58</v>
      </c>
      <c r="E17" s="347"/>
      <c r="F17" s="347"/>
      <c r="G17" s="347"/>
      <c r="H17" s="348"/>
    </row>
    <row r="18" spans="2:71" ht="16.5" customHeight="1" thickTop="1" thickBot="1" x14ac:dyDescent="0.3">
      <c r="B18" s="337" t="s">
        <v>60</v>
      </c>
      <c r="C18" s="338"/>
      <c r="D18" s="339"/>
      <c r="E18" s="311" t="s">
        <v>31</v>
      </c>
      <c r="F18" s="312"/>
      <c r="G18" s="312"/>
      <c r="H18" s="313"/>
      <c r="I18" s="165" t="s">
        <v>89</v>
      </c>
      <c r="J18" s="340" t="s">
        <v>21</v>
      </c>
      <c r="K18" s="341"/>
      <c r="L18" s="341"/>
      <c r="M18" s="341"/>
      <c r="N18" s="341"/>
      <c r="O18" s="341"/>
      <c r="P18" s="294" t="s">
        <v>22</v>
      </c>
      <c r="Q18" s="295"/>
      <c r="R18" s="295"/>
      <c r="S18" s="295"/>
      <c r="T18" s="296"/>
      <c r="U18" s="304" t="s">
        <v>44</v>
      </c>
      <c r="V18" s="305"/>
      <c r="W18" s="305"/>
      <c r="X18" s="305"/>
      <c r="Y18" s="305"/>
      <c r="Z18" s="305"/>
      <c r="AA18" s="305"/>
      <c r="AB18" s="305"/>
      <c r="AC18" s="305"/>
      <c r="AD18" s="165" t="s">
        <v>89</v>
      </c>
      <c r="AE18" s="300" t="s">
        <v>21</v>
      </c>
      <c r="AF18" s="301"/>
      <c r="AG18" s="301"/>
      <c r="AH18" s="301"/>
      <c r="AI18" s="301"/>
      <c r="AJ18" s="301"/>
      <c r="AK18" s="294" t="s">
        <v>22</v>
      </c>
      <c r="AL18" s="295"/>
      <c r="AM18" s="295"/>
      <c r="AN18" s="295"/>
      <c r="AO18" s="296"/>
      <c r="AP18" s="304" t="s">
        <v>45</v>
      </c>
      <c r="AQ18" s="305"/>
      <c r="AR18" s="305"/>
      <c r="AS18" s="305"/>
      <c r="AT18" s="305"/>
      <c r="AU18" s="305"/>
      <c r="AV18" s="305"/>
      <c r="AW18" s="305"/>
      <c r="AX18" s="306"/>
      <c r="AY18" s="245" t="s">
        <v>89</v>
      </c>
      <c r="AZ18" s="328" t="s">
        <v>21</v>
      </c>
      <c r="BA18" s="323"/>
      <c r="BB18" s="323"/>
      <c r="BC18" s="323"/>
      <c r="BD18" s="323"/>
      <c r="BE18" s="323"/>
      <c r="BF18" s="322" t="s">
        <v>22</v>
      </c>
      <c r="BG18" s="323"/>
      <c r="BH18" s="323"/>
      <c r="BI18" s="323"/>
      <c r="BJ18" s="324"/>
      <c r="BK18" s="328" t="s">
        <v>45</v>
      </c>
      <c r="BL18" s="323"/>
      <c r="BM18" s="323"/>
      <c r="BN18" s="323"/>
      <c r="BO18" s="323"/>
      <c r="BP18" s="323"/>
      <c r="BQ18" s="323"/>
      <c r="BR18" s="323"/>
      <c r="BS18" s="329"/>
    </row>
    <row r="19" spans="2:71" s="18" customFormat="1" ht="15" customHeight="1" thickBot="1" x14ac:dyDescent="0.3">
      <c r="B19" s="418" t="s">
        <v>81</v>
      </c>
      <c r="C19" s="373" t="s">
        <v>80</v>
      </c>
      <c r="D19" s="335" t="s">
        <v>1</v>
      </c>
      <c r="E19" s="314"/>
      <c r="F19" s="315"/>
      <c r="G19" s="315"/>
      <c r="H19" s="316"/>
      <c r="I19" s="399" t="s">
        <v>80</v>
      </c>
      <c r="J19" s="342"/>
      <c r="K19" s="342"/>
      <c r="L19" s="342"/>
      <c r="M19" s="342"/>
      <c r="N19" s="342"/>
      <c r="O19" s="342"/>
      <c r="P19" s="297"/>
      <c r="Q19" s="298"/>
      <c r="R19" s="298"/>
      <c r="S19" s="298"/>
      <c r="T19" s="299"/>
      <c r="U19" s="307"/>
      <c r="V19" s="307"/>
      <c r="W19" s="307"/>
      <c r="X19" s="307"/>
      <c r="Y19" s="307"/>
      <c r="Z19" s="307"/>
      <c r="AA19" s="307"/>
      <c r="AB19" s="307"/>
      <c r="AC19" s="307"/>
      <c r="AD19" s="399" t="s">
        <v>80</v>
      </c>
      <c r="AE19" s="302"/>
      <c r="AF19" s="303"/>
      <c r="AG19" s="303"/>
      <c r="AH19" s="303"/>
      <c r="AI19" s="303"/>
      <c r="AJ19" s="303"/>
      <c r="AK19" s="297"/>
      <c r="AL19" s="298"/>
      <c r="AM19" s="298"/>
      <c r="AN19" s="298"/>
      <c r="AO19" s="299"/>
      <c r="AP19" s="307"/>
      <c r="AQ19" s="307"/>
      <c r="AR19" s="307"/>
      <c r="AS19" s="307"/>
      <c r="AT19" s="307"/>
      <c r="AU19" s="307"/>
      <c r="AV19" s="307"/>
      <c r="AW19" s="307"/>
      <c r="AX19" s="308"/>
      <c r="AY19" s="401" t="s">
        <v>80</v>
      </c>
      <c r="AZ19" s="326"/>
      <c r="BA19" s="326"/>
      <c r="BB19" s="326"/>
      <c r="BC19" s="326"/>
      <c r="BD19" s="326"/>
      <c r="BE19" s="326"/>
      <c r="BF19" s="325"/>
      <c r="BG19" s="326"/>
      <c r="BH19" s="326"/>
      <c r="BI19" s="326"/>
      <c r="BJ19" s="327"/>
      <c r="BK19" s="326"/>
      <c r="BL19" s="326"/>
      <c r="BM19" s="326"/>
      <c r="BN19" s="326"/>
      <c r="BO19" s="326"/>
      <c r="BP19" s="326"/>
      <c r="BQ19" s="326"/>
      <c r="BR19" s="326"/>
      <c r="BS19" s="330"/>
    </row>
    <row r="20" spans="2:71" s="18" customFormat="1" ht="18" thickBot="1" x14ac:dyDescent="0.3">
      <c r="B20" s="419"/>
      <c r="C20" s="421"/>
      <c r="D20" s="398"/>
      <c r="E20" s="19" t="s">
        <v>29</v>
      </c>
      <c r="F20" s="20" t="s">
        <v>28</v>
      </c>
      <c r="G20" s="20" t="s">
        <v>30</v>
      </c>
      <c r="H20" s="21" t="s">
        <v>27</v>
      </c>
      <c r="I20" s="400"/>
      <c r="J20" s="29" t="s">
        <v>32</v>
      </c>
      <c r="K20" s="24" t="s">
        <v>34</v>
      </c>
      <c r="L20" s="24" t="s">
        <v>33</v>
      </c>
      <c r="M20" s="24" t="s">
        <v>35</v>
      </c>
      <c r="N20" s="24" t="s">
        <v>37</v>
      </c>
      <c r="O20" s="30" t="s">
        <v>36</v>
      </c>
      <c r="P20" s="111" t="s">
        <v>38</v>
      </c>
      <c r="Q20" s="22" t="s">
        <v>39</v>
      </c>
      <c r="R20" s="22" t="s">
        <v>40</v>
      </c>
      <c r="S20" s="22" t="s">
        <v>41</v>
      </c>
      <c r="T20" s="112" t="s">
        <v>42</v>
      </c>
      <c r="U20" s="25" t="s">
        <v>11</v>
      </c>
      <c r="V20" s="23" t="s">
        <v>13</v>
      </c>
      <c r="W20" s="23" t="s">
        <v>23</v>
      </c>
      <c r="X20" s="23" t="s">
        <v>24</v>
      </c>
      <c r="Y20" s="23" t="s">
        <v>12</v>
      </c>
      <c r="Z20" s="23" t="s">
        <v>25</v>
      </c>
      <c r="AA20" s="23" t="s">
        <v>26</v>
      </c>
      <c r="AB20" s="23" t="s">
        <v>10</v>
      </c>
      <c r="AC20" s="25" t="s">
        <v>9</v>
      </c>
      <c r="AD20" s="400"/>
      <c r="AE20" s="119" t="s">
        <v>32</v>
      </c>
      <c r="AF20" s="24" t="s">
        <v>34</v>
      </c>
      <c r="AG20" s="24" t="s">
        <v>33</v>
      </c>
      <c r="AH20" s="24" t="s">
        <v>35</v>
      </c>
      <c r="AI20" s="24" t="s">
        <v>37</v>
      </c>
      <c r="AJ20" s="30" t="s">
        <v>36</v>
      </c>
      <c r="AK20" s="111" t="s">
        <v>38</v>
      </c>
      <c r="AL20" s="22" t="s">
        <v>39</v>
      </c>
      <c r="AM20" s="22" t="s">
        <v>40</v>
      </c>
      <c r="AN20" s="22" t="s">
        <v>41</v>
      </c>
      <c r="AO20" s="112" t="s">
        <v>42</v>
      </c>
      <c r="AP20" s="26" t="s">
        <v>11</v>
      </c>
      <c r="AQ20" s="27" t="s">
        <v>13</v>
      </c>
      <c r="AR20" s="27" t="s">
        <v>23</v>
      </c>
      <c r="AS20" s="27" t="s">
        <v>24</v>
      </c>
      <c r="AT20" s="27" t="s">
        <v>12</v>
      </c>
      <c r="AU20" s="27" t="s">
        <v>25</v>
      </c>
      <c r="AV20" s="27" t="s">
        <v>26</v>
      </c>
      <c r="AW20" s="27" t="s">
        <v>10</v>
      </c>
      <c r="AX20" s="120" t="s">
        <v>9</v>
      </c>
      <c r="AY20" s="402"/>
      <c r="AZ20" s="34" t="s">
        <v>32</v>
      </c>
      <c r="BA20" s="33" t="s">
        <v>34</v>
      </c>
      <c r="BB20" s="33" t="s">
        <v>33</v>
      </c>
      <c r="BC20" s="33" t="s">
        <v>35</v>
      </c>
      <c r="BD20" s="33" t="s">
        <v>37</v>
      </c>
      <c r="BE20" s="34" t="s">
        <v>36</v>
      </c>
      <c r="BF20" s="103" t="s">
        <v>38</v>
      </c>
      <c r="BG20" s="33" t="s">
        <v>39</v>
      </c>
      <c r="BH20" s="33" t="s">
        <v>40</v>
      </c>
      <c r="BI20" s="33" t="s">
        <v>41</v>
      </c>
      <c r="BJ20" s="104" t="s">
        <v>42</v>
      </c>
      <c r="BK20" s="34" t="s">
        <v>11</v>
      </c>
      <c r="BL20" s="33" t="s">
        <v>13</v>
      </c>
      <c r="BM20" s="33" t="s">
        <v>23</v>
      </c>
      <c r="BN20" s="33" t="s">
        <v>24</v>
      </c>
      <c r="BO20" s="33" t="s">
        <v>12</v>
      </c>
      <c r="BP20" s="33" t="s">
        <v>25</v>
      </c>
      <c r="BQ20" s="33" t="s">
        <v>26</v>
      </c>
      <c r="BR20" s="33" t="s">
        <v>10</v>
      </c>
      <c r="BS20" s="35" t="s">
        <v>9</v>
      </c>
    </row>
    <row r="21" spans="2:71" x14ac:dyDescent="0.25">
      <c r="B21" s="158">
        <v>766</v>
      </c>
      <c r="C21" s="162">
        <f>B21/2</f>
        <v>383</v>
      </c>
      <c r="D21" s="96" t="s">
        <v>2</v>
      </c>
      <c r="E21" s="10">
        <v>667</v>
      </c>
      <c r="F21" s="53"/>
      <c r="G21" s="53"/>
      <c r="H21" s="54"/>
      <c r="I21" s="169">
        <f>B21/2</f>
        <v>383</v>
      </c>
      <c r="J21" s="78">
        <f>N21*100000</f>
        <v>23533413.795201585</v>
      </c>
      <c r="K21" s="65">
        <f>N21*10000</f>
        <v>2353341.3795201583</v>
      </c>
      <c r="L21" s="65">
        <f>N21*10</f>
        <v>2353.3413795201586</v>
      </c>
      <c r="M21" s="65">
        <f>N21*1000000</f>
        <v>235334137.95201585</v>
      </c>
      <c r="N21" s="65">
        <f>(((4/3)*PI()*C21^3))/100^3</f>
        <v>235.33413795201585</v>
      </c>
      <c r="O21" s="66">
        <f>N21*1000</f>
        <v>235334.13795201585</v>
      </c>
      <c r="P21" s="113">
        <f>S21/0.45359237</f>
        <v>346054.91713627055</v>
      </c>
      <c r="Q21" s="67">
        <f>S21*1000/31.1034768</f>
        <v>5046634.2082372792</v>
      </c>
      <c r="R21" s="67">
        <f>S21/1000</f>
        <v>156.96787001399457</v>
      </c>
      <c r="S21" s="67">
        <f>N21*E21</f>
        <v>156967.87001399457</v>
      </c>
      <c r="T21" s="114">
        <f>S21*1000</f>
        <v>156967870.01399457</v>
      </c>
      <c r="U21" s="80">
        <f>Z21/100</f>
        <v>1.8433483390497327</v>
      </c>
      <c r="V21" s="68">
        <f>Z21/4046.8564224</f>
        <v>4.5550129449774983E-2</v>
      </c>
      <c r="W21" s="68">
        <f>Z21*10000</f>
        <v>1843348.3390497325</v>
      </c>
      <c r="X21" s="68">
        <f>Z21*100</f>
        <v>18433.483390497327</v>
      </c>
      <c r="Y21" s="68">
        <f>Z21/10000</f>
        <v>1.8433483390497326E-2</v>
      </c>
      <c r="Z21" s="68">
        <f>(4*PI()*C21^2)/100^2</f>
        <v>184.33483390497327</v>
      </c>
      <c r="AA21" s="68">
        <f>Z21*1000000</f>
        <v>184334833.90497327</v>
      </c>
      <c r="AB21" s="68">
        <f>Z21/144*10000/(2.54*2.54)</f>
        <v>1984.1636388321983</v>
      </c>
      <c r="AC21" s="80">
        <f>Z21*10000/(2.54 *2.54)</f>
        <v>285719.56399183651</v>
      </c>
      <c r="AD21" s="166">
        <v>383</v>
      </c>
      <c r="AE21" s="78">
        <v>23533414</v>
      </c>
      <c r="AF21" s="65">
        <v>2353341</v>
      </c>
      <c r="AG21" s="65">
        <v>2353.34</v>
      </c>
      <c r="AH21" s="65">
        <v>235334138</v>
      </c>
      <c r="AI21" s="65">
        <v>235.334</v>
      </c>
      <c r="AJ21" s="66">
        <v>235334</v>
      </c>
      <c r="AK21" s="113">
        <v>346055</v>
      </c>
      <c r="AL21" s="67">
        <v>5046634</v>
      </c>
      <c r="AM21" s="67">
        <v>156.96799999999999</v>
      </c>
      <c r="AN21" s="67">
        <v>156968</v>
      </c>
      <c r="AO21" s="114">
        <v>156967870</v>
      </c>
      <c r="AP21" s="121">
        <v>1.84335</v>
      </c>
      <c r="AQ21" s="121">
        <v>4.5550100000000003E-2</v>
      </c>
      <c r="AR21" s="68">
        <v>1843348</v>
      </c>
      <c r="AS21" s="68">
        <v>18433.5</v>
      </c>
      <c r="AT21" s="68">
        <v>1.8433499999999998E-2</v>
      </c>
      <c r="AU21" s="68">
        <v>184.33500000000001</v>
      </c>
      <c r="AV21" s="68">
        <v>184334834</v>
      </c>
      <c r="AW21" s="68">
        <v>1984.16</v>
      </c>
      <c r="AX21" s="122">
        <v>285720</v>
      </c>
      <c r="AY21" s="246">
        <f>(I21-AD21)/I21</f>
        <v>0</v>
      </c>
      <c r="AZ21" s="38">
        <f t="shared" ref="AZ21:BS21" si="24">(J21-AE21)/J21</f>
        <v>-8.7024524824778408E-9</v>
      </c>
      <c r="BA21" s="37">
        <f t="shared" si="24"/>
        <v>1.6126863768519462E-7</v>
      </c>
      <c r="BB21" s="37">
        <f t="shared" si="24"/>
        <v>5.8619636338572539E-7</v>
      </c>
      <c r="BC21" s="37">
        <f t="shared" si="24"/>
        <v>-2.0389797013677092E-10</v>
      </c>
      <c r="BD21" s="37">
        <f t="shared" si="24"/>
        <v>5.861963633857255E-7</v>
      </c>
      <c r="BE21" s="38">
        <f t="shared" si="24"/>
        <v>5.8619636340118427E-7</v>
      </c>
      <c r="BF21" s="105">
        <f t="shared" si="24"/>
        <v>-2.3945254161638185E-7</v>
      </c>
      <c r="BG21" s="39">
        <f t="shared" si="24"/>
        <v>4.1262606048725058E-8</v>
      </c>
      <c r="BH21" s="39">
        <f t="shared" si="24"/>
        <v>-8.2810581176469379E-7</v>
      </c>
      <c r="BI21" s="39">
        <f t="shared" si="24"/>
        <v>-8.2810581182118676E-7</v>
      </c>
      <c r="BJ21" s="106">
        <f t="shared" si="24"/>
        <v>8.9155663165756593E-11</v>
      </c>
      <c r="BK21" s="38">
        <f t="shared" si="24"/>
        <v>-9.0105067617331189E-7</v>
      </c>
      <c r="BL21" s="37">
        <f t="shared" si="24"/>
        <v>6.4653548377363039E-7</v>
      </c>
      <c r="BM21" s="37">
        <f t="shared" si="24"/>
        <v>1.8393144983122117E-7</v>
      </c>
      <c r="BN21" s="37">
        <f t="shared" si="24"/>
        <v>-9.0105067613380193E-7</v>
      </c>
      <c r="BO21" s="37">
        <f t="shared" si="24"/>
        <v>-9.0105067613566911E-7</v>
      </c>
      <c r="BP21" s="37">
        <f t="shared" si="24"/>
        <v>-9.0105067622631307E-7</v>
      </c>
      <c r="BQ21" s="37">
        <f t="shared" si="24"/>
        <v>-5.1551152583605676E-10</v>
      </c>
      <c r="BR21" s="37">
        <f t="shared" si="24"/>
        <v>1.8339375478074179E-6</v>
      </c>
      <c r="BS21" s="40">
        <f t="shared" si="24"/>
        <v>-1.5260003809450262E-6</v>
      </c>
    </row>
    <row r="22" spans="2:71" x14ac:dyDescent="0.25">
      <c r="B22" s="159">
        <v>87</v>
      </c>
      <c r="C22" s="171">
        <f t="shared" ref="C22:C28" si="25">B22/2</f>
        <v>43.5</v>
      </c>
      <c r="D22" s="97" t="s">
        <v>3</v>
      </c>
      <c r="E22" s="59"/>
      <c r="F22" s="4">
        <v>1333</v>
      </c>
      <c r="G22" s="58"/>
      <c r="H22" s="55"/>
      <c r="I22" s="167">
        <f t="shared" ref="I22:I28" si="26">B22/2</f>
        <v>43.5</v>
      </c>
      <c r="J22" s="69">
        <f t="shared" ref="J22:J28" si="27">N22*100000</f>
        <v>976340417.55802524</v>
      </c>
      <c r="K22" s="70">
        <f t="shared" ref="K22:K28" si="28">N22*10000</f>
        <v>97634041.755802512</v>
      </c>
      <c r="L22" s="70">
        <f t="shared" ref="L22:L28" si="29">N22*10</f>
        <v>97634.041755802522</v>
      </c>
      <c r="M22" s="70">
        <f t="shared" ref="M22:M28" si="30">N22*1000000</f>
        <v>9763404175.5802517</v>
      </c>
      <c r="N22" s="70">
        <f>((4/3)*PI()*C22^3)*0.3048^3</f>
        <v>9763.4041755802518</v>
      </c>
      <c r="O22" s="71">
        <f t="shared" ref="O22:O28" si="31">N22*1000</f>
        <v>9763404.175580252</v>
      </c>
      <c r="P22" s="115">
        <f t="shared" ref="P22:P28" si="32">S22/0.45359237</f>
        <v>28692320741.745445</v>
      </c>
      <c r="Q22" s="72">
        <f t="shared" ref="Q22:Q28" si="33">S22*1000/31.1034768</f>
        <v>418429677483.78778</v>
      </c>
      <c r="R22" s="72">
        <f t="shared" ref="R22:R28" si="34">S22/1000</f>
        <v>13014617.766048476</v>
      </c>
      <c r="S22" s="72">
        <f>N22*1000*F22</f>
        <v>13014617766.048475</v>
      </c>
      <c r="T22" s="116">
        <f t="shared" ref="T22:T28" si="35">S22*1000</f>
        <v>13014617766048.475</v>
      </c>
      <c r="U22" s="81">
        <f t="shared" ref="U22:U28" si="36">Z22/100</f>
        <v>22.091148917504412</v>
      </c>
      <c r="V22" s="73">
        <f t="shared" ref="V22:V28" si="37">Z22/4046.8564224</f>
        <v>0.54588417803078837</v>
      </c>
      <c r="W22" s="73">
        <f t="shared" ref="W22:W28" si="38">Z22*10000</f>
        <v>22091148.917504411</v>
      </c>
      <c r="X22" s="73">
        <f t="shared" ref="X22:X28" si="39">Z22*100</f>
        <v>220911.48917504412</v>
      </c>
      <c r="Y22" s="73">
        <f t="shared" ref="Y22:Y28" si="40">Z22/10000</f>
        <v>0.22091148917504411</v>
      </c>
      <c r="Z22" s="73">
        <f>(4*PI()*C22^2)*0.3048^2</f>
        <v>2209.1148917504411</v>
      </c>
      <c r="AA22" s="73">
        <f t="shared" ref="AA22:AA28" si="41">Z22*1000000</f>
        <v>2209114891.7504411</v>
      </c>
      <c r="AB22" s="73">
        <f t="shared" ref="AB22:AB28" si="42">Z22/144*10000/(2.54*2.54)</f>
        <v>23778.714795021144</v>
      </c>
      <c r="AC22" s="81">
        <f t="shared" ref="AC22:AC28" si="43">Z22*10000/(2.54 *2.54)</f>
        <v>3424134.9304830446</v>
      </c>
      <c r="AD22" s="167">
        <v>43.5</v>
      </c>
      <c r="AE22" s="69">
        <v>976340418</v>
      </c>
      <c r="AF22" s="69">
        <v>97634042</v>
      </c>
      <c r="AG22" s="70">
        <v>97634</v>
      </c>
      <c r="AH22" s="70">
        <v>9763404176</v>
      </c>
      <c r="AI22" s="70">
        <v>9763.4</v>
      </c>
      <c r="AJ22" s="71">
        <v>9763404</v>
      </c>
      <c r="AK22" s="115">
        <v>28692320742</v>
      </c>
      <c r="AL22" s="72">
        <v>418429677484</v>
      </c>
      <c r="AM22" s="72">
        <v>13014618</v>
      </c>
      <c r="AN22" s="72">
        <v>13014617766</v>
      </c>
      <c r="AO22" s="116">
        <v>13014617766048</v>
      </c>
      <c r="AP22" s="123">
        <v>22.091100000000001</v>
      </c>
      <c r="AQ22" s="123">
        <v>0.54588400000000004</v>
      </c>
      <c r="AR22" s="73">
        <v>22091149</v>
      </c>
      <c r="AS22" s="73">
        <v>220911</v>
      </c>
      <c r="AT22" s="73">
        <v>0.220911</v>
      </c>
      <c r="AU22" s="73">
        <v>2209.11</v>
      </c>
      <c r="AV22" s="73">
        <v>2209114892</v>
      </c>
      <c r="AW22" s="73">
        <v>23778.7</v>
      </c>
      <c r="AX22" s="124">
        <v>3424135</v>
      </c>
      <c r="AY22" s="247">
        <f t="shared" ref="AY22:AY28" si="44">(I22-AD22)/I22</f>
        <v>0</v>
      </c>
      <c r="AZ22" s="43">
        <f t="shared" ref="AZ22:BE28" si="45">(J22-AE22)/J22</f>
        <v>-4.5268509953455912E-10</v>
      </c>
      <c r="BA22" s="42">
        <f t="shared" si="45"/>
        <v>-2.5011510682092886E-9</v>
      </c>
      <c r="BB22" s="42">
        <f t="shared" si="45"/>
        <v>4.2767667681304579E-7</v>
      </c>
      <c r="BC22" s="42">
        <f t="shared" si="45"/>
        <v>-4.2992003478076626E-11</v>
      </c>
      <c r="BD22" s="42">
        <f t="shared" si="45"/>
        <v>4.2767667681304579E-7</v>
      </c>
      <c r="BE22" s="43">
        <f t="shared" si="45"/>
        <v>1.7983507473868512E-8</v>
      </c>
      <c r="BF22" s="107">
        <f t="shared" ref="BF22:BF28" si="46">(P22-AK22)/P22</f>
        <v>-8.8718772812544156E-12</v>
      </c>
      <c r="BG22" s="44">
        <f t="shared" ref="BG22:BS28" si="47">(Q22-AL22)/Q22</f>
        <v>-5.0718017793915322E-13</v>
      </c>
      <c r="BH22" s="44">
        <f t="shared" si="47"/>
        <v>-1.7976058006893343E-8</v>
      </c>
      <c r="BI22" s="44">
        <f t="shared" si="47"/>
        <v>3.7246783865899003E-12</v>
      </c>
      <c r="BJ22" s="108">
        <f t="shared" si="47"/>
        <v>3.646740792020217E-14</v>
      </c>
      <c r="BK22" s="43">
        <f t="shared" si="47"/>
        <v>2.214348587947111E-6</v>
      </c>
      <c r="BL22" s="42">
        <f t="shared" si="47"/>
        <v>3.2613289686448965E-7</v>
      </c>
      <c r="BM22" s="42">
        <f t="shared" si="47"/>
        <v>-3.7343276765421909E-9</v>
      </c>
      <c r="BN22" s="42">
        <f t="shared" si="47"/>
        <v>2.2143485879494272E-6</v>
      </c>
      <c r="BO22" s="42">
        <f t="shared" si="47"/>
        <v>2.2143485879219834E-6</v>
      </c>
      <c r="BP22" s="42">
        <f t="shared" si="47"/>
        <v>2.2143485878506192E-6</v>
      </c>
      <c r="BQ22" s="42">
        <f t="shared" si="47"/>
        <v>-1.1296783456605037E-10</v>
      </c>
      <c r="BR22" s="42">
        <f t="shared" si="47"/>
        <v>6.221959963189576E-7</v>
      </c>
      <c r="BS22" s="45">
        <f t="shared" si="47"/>
        <v>-2.0302049078244766E-8</v>
      </c>
    </row>
    <row r="23" spans="2:71" x14ac:dyDescent="0.25">
      <c r="B23" s="159">
        <v>35</v>
      </c>
      <c r="C23" s="171">
        <f t="shared" si="25"/>
        <v>17.5</v>
      </c>
      <c r="D23" s="97" t="s">
        <v>4</v>
      </c>
      <c r="E23" s="59"/>
      <c r="F23" s="56"/>
      <c r="G23" s="5">
        <v>266</v>
      </c>
      <c r="H23" s="55"/>
      <c r="I23" s="167">
        <f t="shared" si="26"/>
        <v>17.5</v>
      </c>
      <c r="J23" s="69">
        <f t="shared" si="27"/>
        <v>36787.807494943496</v>
      </c>
      <c r="K23" s="70">
        <f t="shared" si="28"/>
        <v>3678.7807494943499</v>
      </c>
      <c r="L23" s="70">
        <f t="shared" si="29"/>
        <v>3.6787807494943499</v>
      </c>
      <c r="M23" s="70">
        <f t="shared" si="30"/>
        <v>367878.07494943496</v>
      </c>
      <c r="N23" s="70">
        <f>((4/3)*PI()*C23^3)*(2.54/100)^3</f>
        <v>0.36787807494943497</v>
      </c>
      <c r="O23" s="71">
        <f t="shared" si="31"/>
        <v>367.87807494943496</v>
      </c>
      <c r="P23" s="115">
        <f t="shared" si="32"/>
        <v>3455.7367685212371</v>
      </c>
      <c r="Q23" s="72">
        <f t="shared" si="33"/>
        <v>50396.161207601377</v>
      </c>
      <c r="R23" s="72">
        <f t="shared" si="34"/>
        <v>1.5674958309296894</v>
      </c>
      <c r="S23" s="72">
        <f>N23*(0.45359237/0.3048^3)*G23</f>
        <v>1567.4958309296894</v>
      </c>
      <c r="T23" s="116">
        <f t="shared" si="35"/>
        <v>1567495.8309296893</v>
      </c>
      <c r="U23" s="81">
        <f t="shared" si="36"/>
        <v>2.4828666475777389E-2</v>
      </c>
      <c r="V23" s="73">
        <f t="shared" si="37"/>
        <v>6.1352971008179916E-4</v>
      </c>
      <c r="W23" s="73">
        <f t="shared" si="38"/>
        <v>24828.666475777391</v>
      </c>
      <c r="X23" s="73">
        <f t="shared" si="39"/>
        <v>248.28666475777391</v>
      </c>
      <c r="Y23" s="73">
        <f t="shared" si="40"/>
        <v>2.4828666475777391E-4</v>
      </c>
      <c r="Z23" s="73">
        <f>(4*PI()*C23^2)*(2.54/100)^2</f>
        <v>2.482866647577739</v>
      </c>
      <c r="AA23" s="73">
        <f t="shared" si="41"/>
        <v>2482866.6475777389</v>
      </c>
      <c r="AB23" s="73">
        <f t="shared" si="42"/>
        <v>26.725354171163172</v>
      </c>
      <c r="AC23" s="81">
        <f t="shared" si="43"/>
        <v>3848.451000647497</v>
      </c>
      <c r="AD23" s="167">
        <v>17.5</v>
      </c>
      <c r="AE23" s="69">
        <v>36787.800000000003</v>
      </c>
      <c r="AF23" s="70">
        <v>3678.78</v>
      </c>
      <c r="AG23" s="70">
        <v>3.6787800000000002</v>
      </c>
      <c r="AH23" s="70">
        <v>367878</v>
      </c>
      <c r="AI23" s="70">
        <v>0.36787799999999998</v>
      </c>
      <c r="AJ23" s="71">
        <v>367.87799999999999</v>
      </c>
      <c r="AK23" s="115">
        <v>3455.74</v>
      </c>
      <c r="AL23" s="72">
        <v>50396.2</v>
      </c>
      <c r="AM23" s="72">
        <v>1.5674999999999999</v>
      </c>
      <c r="AN23" s="72">
        <v>1567.5</v>
      </c>
      <c r="AO23" s="116">
        <v>1567496</v>
      </c>
      <c r="AP23" s="123">
        <v>2.4828699999999999E-2</v>
      </c>
      <c r="AQ23" s="123">
        <v>6.1353000000000004E-4</v>
      </c>
      <c r="AR23" s="73">
        <v>24828.7</v>
      </c>
      <c r="AS23" s="73">
        <v>248.28700000000001</v>
      </c>
      <c r="AT23" s="73">
        <v>2.4828699999999998E-4</v>
      </c>
      <c r="AU23" s="73">
        <v>2.4828700000000001</v>
      </c>
      <c r="AV23" s="73">
        <v>2482867</v>
      </c>
      <c r="AW23" s="73">
        <v>26.7254</v>
      </c>
      <c r="AX23" s="124">
        <v>3848.45</v>
      </c>
      <c r="AY23" s="247">
        <f t="shared" si="44"/>
        <v>0</v>
      </c>
      <c r="AZ23" s="43">
        <f t="shared" si="45"/>
        <v>2.0373444364575506E-7</v>
      </c>
      <c r="BA23" s="42">
        <f t="shared" si="45"/>
        <v>2.0373444376936864E-7</v>
      </c>
      <c r="BB23" s="42">
        <f t="shared" si="45"/>
        <v>2.0373444375488268E-7</v>
      </c>
      <c r="BC23" s="42">
        <f t="shared" si="45"/>
        <v>2.0373444372486778E-7</v>
      </c>
      <c r="BD23" s="42">
        <f t="shared" si="45"/>
        <v>2.037344438152409E-7</v>
      </c>
      <c r="BE23" s="43">
        <f t="shared" si="45"/>
        <v>2.0373444376936866E-7</v>
      </c>
      <c r="BF23" s="107">
        <f t="shared" si="46"/>
        <v>-9.3510558794179645E-7</v>
      </c>
      <c r="BG23" s="44">
        <f t="shared" si="47"/>
        <v>-7.6974907791465366E-7</v>
      </c>
      <c r="BH23" s="44">
        <f t="shared" si="47"/>
        <v>-2.6597010520026641E-6</v>
      </c>
      <c r="BI23" s="44">
        <f t="shared" si="47"/>
        <v>-2.6597010520332614E-6</v>
      </c>
      <c r="BJ23" s="108">
        <f t="shared" si="47"/>
        <v>-1.0786013418457868E-7</v>
      </c>
      <c r="BK23" s="43">
        <f t="shared" si="47"/>
        <v>-1.3502224391490822E-6</v>
      </c>
      <c r="BL23" s="42">
        <f t="shared" si="47"/>
        <v>-4.7254142076412222E-7</v>
      </c>
      <c r="BM23" s="42">
        <f t="shared" si="47"/>
        <v>-1.3502224391650634E-6</v>
      </c>
      <c r="BN23" s="42">
        <f t="shared" si="47"/>
        <v>-1.3502224391604846E-6</v>
      </c>
      <c r="BO23" s="42">
        <f t="shared" si="47"/>
        <v>-1.350222439035547E-6</v>
      </c>
      <c r="BP23" s="42">
        <f t="shared" si="47"/>
        <v>-1.3502224392105658E-6</v>
      </c>
      <c r="BQ23" s="42">
        <f t="shared" si="47"/>
        <v>-1.4194167918312716E-7</v>
      </c>
      <c r="BR23" s="42">
        <f t="shared" si="47"/>
        <v>-1.7148074646668676E-6</v>
      </c>
      <c r="BS23" s="45">
        <f t="shared" si="47"/>
        <v>2.6001305383728404E-7</v>
      </c>
    </row>
    <row r="24" spans="2:71" x14ac:dyDescent="0.25">
      <c r="B24" s="159">
        <v>86</v>
      </c>
      <c r="C24" s="163">
        <f t="shared" si="25"/>
        <v>43</v>
      </c>
      <c r="D24" s="97" t="s">
        <v>5</v>
      </c>
      <c r="E24" s="59"/>
      <c r="F24" s="56"/>
      <c r="G24" s="56"/>
      <c r="H24" s="17">
        <v>386</v>
      </c>
      <c r="I24" s="167">
        <f t="shared" si="26"/>
        <v>43</v>
      </c>
      <c r="J24" s="69">
        <f t="shared" si="27"/>
        <v>33303814281.195156</v>
      </c>
      <c r="K24" s="70">
        <f t="shared" si="28"/>
        <v>3330381428.1195159</v>
      </c>
      <c r="L24" s="70">
        <f t="shared" si="29"/>
        <v>3330381.428119516</v>
      </c>
      <c r="M24" s="70">
        <f t="shared" si="30"/>
        <v>333038142811.9516</v>
      </c>
      <c r="N24" s="70">
        <f>((4/3)*PI()*C24^3)</f>
        <v>333038.14281195158</v>
      </c>
      <c r="O24" s="71">
        <f t="shared" si="31"/>
        <v>333038142.81195158</v>
      </c>
      <c r="P24" s="115">
        <f t="shared" si="32"/>
        <v>283410241502.54846</v>
      </c>
      <c r="Q24" s="72">
        <f t="shared" si="33"/>
        <v>4133066021912.165</v>
      </c>
      <c r="R24" s="72">
        <f t="shared" si="34"/>
        <v>128552723.12541331</v>
      </c>
      <c r="S24" s="72">
        <f>N24*1000*H24</f>
        <v>128552723125.41331</v>
      </c>
      <c r="T24" s="116">
        <f t="shared" si="35"/>
        <v>128552723125413.31</v>
      </c>
      <c r="U24" s="81">
        <f t="shared" si="36"/>
        <v>232.3521926595011</v>
      </c>
      <c r="V24" s="73">
        <f t="shared" si="37"/>
        <v>5.7415477201858307</v>
      </c>
      <c r="W24" s="73">
        <f t="shared" si="38"/>
        <v>232352192.65950108</v>
      </c>
      <c r="X24" s="73">
        <f t="shared" si="39"/>
        <v>2323521.9265950108</v>
      </c>
      <c r="Y24" s="73">
        <f t="shared" si="40"/>
        <v>2.3235219265950109</v>
      </c>
      <c r="Z24" s="73">
        <f>4*PI()*C24^2</f>
        <v>23235.219265950109</v>
      </c>
      <c r="AA24" s="73">
        <f t="shared" si="41"/>
        <v>23235219265.950108</v>
      </c>
      <c r="AB24" s="73">
        <f t="shared" si="42"/>
        <v>250101.81869129479</v>
      </c>
      <c r="AC24" s="81">
        <f t="shared" si="43"/>
        <v>36014661.891546451</v>
      </c>
      <c r="AD24" s="167">
        <v>43</v>
      </c>
      <c r="AE24" s="69">
        <v>33303814281</v>
      </c>
      <c r="AF24" s="70">
        <v>3330381428</v>
      </c>
      <c r="AG24" s="70">
        <v>3330381</v>
      </c>
      <c r="AH24" s="70">
        <v>333038142812</v>
      </c>
      <c r="AI24" s="70">
        <v>333038</v>
      </c>
      <c r="AJ24" s="71">
        <v>333038143</v>
      </c>
      <c r="AK24" s="115">
        <v>283410241503</v>
      </c>
      <c r="AL24" s="72">
        <v>4133066021912</v>
      </c>
      <c r="AM24" s="72">
        <v>128552723</v>
      </c>
      <c r="AN24" s="72">
        <v>128552723125</v>
      </c>
      <c r="AO24" s="116">
        <v>128552723125413</v>
      </c>
      <c r="AP24" s="123">
        <v>232.352</v>
      </c>
      <c r="AQ24" s="123">
        <v>5.7415500000000002</v>
      </c>
      <c r="AR24" s="73">
        <v>232352193</v>
      </c>
      <c r="AS24" s="73">
        <v>2323522</v>
      </c>
      <c r="AT24" s="73">
        <v>2.3235199999999998</v>
      </c>
      <c r="AU24" s="73">
        <v>23235.200000000001</v>
      </c>
      <c r="AV24" s="73">
        <v>23235219266</v>
      </c>
      <c r="AW24" s="73">
        <v>250102</v>
      </c>
      <c r="AX24" s="124">
        <v>36014662</v>
      </c>
      <c r="AY24" s="247">
        <f t="shared" si="44"/>
        <v>0</v>
      </c>
      <c r="AZ24" s="43">
        <f t="shared" si="45"/>
        <v>5.8598722586050261E-12</v>
      </c>
      <c r="BA24" s="42">
        <f t="shared" si="45"/>
        <v>3.5886548860257713E-11</v>
      </c>
      <c r="BB24" s="42">
        <f t="shared" si="45"/>
        <v>1.2854969475429943E-7</v>
      </c>
      <c r="BC24" s="42">
        <f t="shared" si="45"/>
        <v>-1.4533133801907887E-13</v>
      </c>
      <c r="BD24" s="42">
        <f t="shared" si="45"/>
        <v>4.2881560163326457E-7</v>
      </c>
      <c r="BE24" s="43">
        <f t="shared" si="45"/>
        <v>-5.6464530083198018E-10</v>
      </c>
      <c r="BF24" s="107">
        <f t="shared" si="46"/>
        <v>-1.5932313650473344E-12</v>
      </c>
      <c r="BG24" s="44">
        <f t="shared" si="47"/>
        <v>3.9931387890978958E-14</v>
      </c>
      <c r="BH24" s="44">
        <f t="shared" si="47"/>
        <v>9.7557881668273316E-10</v>
      </c>
      <c r="BI24" s="44">
        <f t="shared" si="47"/>
        <v>3.215138577287984E-12</v>
      </c>
      <c r="BJ24" s="108">
        <f t="shared" si="47"/>
        <v>2.4309092207648658E-15</v>
      </c>
      <c r="BK24" s="43">
        <f t="shared" si="47"/>
        <v>8.2917014421308231E-7</v>
      </c>
      <c r="BL24" s="42">
        <f t="shared" si="47"/>
        <v>-3.9707310302982448E-7</v>
      </c>
      <c r="BM24" s="42">
        <f t="shared" si="47"/>
        <v>-1.4654431290620652E-9</v>
      </c>
      <c r="BN24" s="42">
        <f t="shared" si="47"/>
        <v>-3.1592122443566367E-8</v>
      </c>
      <c r="BO24" s="42">
        <f t="shared" si="47"/>
        <v>8.2917014426659806E-7</v>
      </c>
      <c r="BP24" s="42">
        <f t="shared" si="47"/>
        <v>8.29170144149475E-7</v>
      </c>
      <c r="BQ24" s="42">
        <f t="shared" si="47"/>
        <v>-2.147275864541717E-12</v>
      </c>
      <c r="BR24" s="42">
        <f t="shared" si="47"/>
        <v>-7.2493957126305753E-7</v>
      </c>
      <c r="BS24" s="45">
        <f t="shared" si="47"/>
        <v>-3.0113721398043231E-9</v>
      </c>
    </row>
    <row r="25" spans="2:71" x14ac:dyDescent="0.25">
      <c r="B25" s="159">
        <v>123</v>
      </c>
      <c r="C25" s="171">
        <f t="shared" si="25"/>
        <v>61.5</v>
      </c>
      <c r="D25" s="97" t="s">
        <v>6</v>
      </c>
      <c r="E25" s="59"/>
      <c r="F25" s="58"/>
      <c r="G25" s="58"/>
      <c r="H25" s="14">
        <v>486</v>
      </c>
      <c r="I25" s="167">
        <f t="shared" si="26"/>
        <v>61.5</v>
      </c>
      <c r="J25" s="69">
        <f t="shared" si="27"/>
        <v>4.0612583029040277E+20</v>
      </c>
      <c r="K25" s="70">
        <f t="shared" si="28"/>
        <v>4.0612583029040275E+19</v>
      </c>
      <c r="L25" s="70">
        <f t="shared" si="29"/>
        <v>4.0612583029040272E+16</v>
      </c>
      <c r="M25" s="70">
        <f t="shared" si="30"/>
        <v>4.0612583029040276E+21</v>
      </c>
      <c r="N25" s="70">
        <f>((4/3)*PI()*C25^3)*(63360*2.54/100)^3</f>
        <v>4061258302904027.5</v>
      </c>
      <c r="O25" s="71">
        <f t="shared" si="31"/>
        <v>4.0612583029040276E+18</v>
      </c>
      <c r="P25" s="115">
        <f t="shared" si="32"/>
        <v>4.3514213768881462E+21</v>
      </c>
      <c r="Q25" s="72">
        <f t="shared" si="33"/>
        <v>6.3458228412952129E+22</v>
      </c>
      <c r="R25" s="72">
        <f t="shared" si="34"/>
        <v>1.9737715352113574E+18</v>
      </c>
      <c r="S25" s="72">
        <f>N25*1000*H25</f>
        <v>1.9737715352113575E+21</v>
      </c>
      <c r="T25" s="116">
        <f t="shared" si="35"/>
        <v>1.9737715352113574E+24</v>
      </c>
      <c r="U25" s="81">
        <f t="shared" si="36"/>
        <v>1230999470.0776815</v>
      </c>
      <c r="V25" s="73">
        <f t="shared" si="37"/>
        <v>30418659.363942388</v>
      </c>
      <c r="W25" s="73">
        <f t="shared" si="38"/>
        <v>1230999470077681.5</v>
      </c>
      <c r="X25" s="73">
        <f t="shared" si="39"/>
        <v>12309994700776.816</v>
      </c>
      <c r="Y25" s="73">
        <f t="shared" si="40"/>
        <v>12309994.700776815</v>
      </c>
      <c r="Z25" s="73">
        <f>(4*PI()*C25^2)*(63360*2.54/100)^2</f>
        <v>123099947007.76816</v>
      </c>
      <c r="AA25" s="73">
        <f t="shared" si="41"/>
        <v>1.2309994700776816E+17</v>
      </c>
      <c r="AB25" s="73">
        <f t="shared" si="42"/>
        <v>1325036801893.3306</v>
      </c>
      <c r="AC25" s="81">
        <f t="shared" si="43"/>
        <v>190805299472639.56</v>
      </c>
      <c r="AD25" s="167">
        <v>61.5</v>
      </c>
      <c r="AE25" s="69">
        <v>4.0612583029040297E+20</v>
      </c>
      <c r="AF25" s="70">
        <v>4.06125830290403E+19</v>
      </c>
      <c r="AG25" s="70">
        <v>4.0612583029040304E+16</v>
      </c>
      <c r="AH25" s="70">
        <v>4.0612583029040302E+21</v>
      </c>
      <c r="AI25" s="70">
        <v>4061258302904030</v>
      </c>
      <c r="AJ25" s="71">
        <v>4.0612583029040302E+18</v>
      </c>
      <c r="AK25" s="115">
        <v>4.3514213768881499E+21</v>
      </c>
      <c r="AL25" s="72">
        <v>6.3458228412952103E+22</v>
      </c>
      <c r="AM25" s="72">
        <v>1.97377153521136E+18</v>
      </c>
      <c r="AN25" s="72">
        <v>1.9737715352113599E+21</v>
      </c>
      <c r="AO25" s="116">
        <v>1.9737715352113601E+24</v>
      </c>
      <c r="AP25" s="123">
        <v>1230999470</v>
      </c>
      <c r="AQ25" s="123">
        <v>30418659</v>
      </c>
      <c r="AR25" s="73">
        <v>1230999470077680</v>
      </c>
      <c r="AS25" s="73">
        <v>12309994700777</v>
      </c>
      <c r="AT25" s="73">
        <v>12309995</v>
      </c>
      <c r="AU25" s="73">
        <v>123099947008</v>
      </c>
      <c r="AV25" s="73">
        <v>1.23099947007768E+17</v>
      </c>
      <c r="AW25" s="73">
        <v>1325036801893</v>
      </c>
      <c r="AX25" s="124">
        <v>190805299472640</v>
      </c>
      <c r="AY25" s="247">
        <f t="shared" si="44"/>
        <v>0</v>
      </c>
      <c r="AZ25" s="43">
        <f t="shared" si="45"/>
        <v>-4.8410612016333523E-16</v>
      </c>
      <c r="BA25" s="42">
        <f t="shared" si="45"/>
        <v>-6.0513265020416899E-16</v>
      </c>
      <c r="BB25" s="42">
        <f t="shared" si="45"/>
        <v>-7.8793313828667851E-16</v>
      </c>
      <c r="BC25" s="42">
        <f t="shared" si="45"/>
        <v>-6.4547482688444694E-16</v>
      </c>
      <c r="BD25" s="42">
        <f t="shared" si="45"/>
        <v>-6.1557276428646748E-16</v>
      </c>
      <c r="BE25" s="43">
        <f t="shared" si="45"/>
        <v>-6.3034651062934269E-16</v>
      </c>
      <c r="BF25" s="107">
        <f t="shared" si="46"/>
        <v>-8.4340625329752754E-16</v>
      </c>
      <c r="BG25" s="44">
        <f t="shared" si="47"/>
        <v>3.9657306277500075E-16</v>
      </c>
      <c r="BH25" s="44">
        <f t="shared" si="47"/>
        <v>-1.2970092811303348E-15</v>
      </c>
      <c r="BI25" s="44">
        <f t="shared" si="47"/>
        <v>-1.1953237534897165E-15</v>
      </c>
      <c r="BJ25" s="108">
        <f t="shared" si="47"/>
        <v>-1.360012803970522E-15</v>
      </c>
      <c r="BK25" s="43">
        <f t="shared" si="47"/>
        <v>6.3104447508794654E-11</v>
      </c>
      <c r="BL25" s="42">
        <f t="shared" si="47"/>
        <v>1.1964445378435982E-8</v>
      </c>
      <c r="BM25" s="42">
        <f t="shared" si="47"/>
        <v>1.2185220517644442E-15</v>
      </c>
      <c r="BN25" s="42">
        <f t="shared" si="47"/>
        <v>-1.4914202196075228E-14</v>
      </c>
      <c r="BO25" s="42">
        <f t="shared" si="47"/>
        <v>-2.4307336587780089E-8</v>
      </c>
      <c r="BP25" s="42">
        <f t="shared" si="47"/>
        <v>-1.8833642633574387E-12</v>
      </c>
      <c r="BQ25" s="42">
        <f t="shared" si="47"/>
        <v>1.299756855215407E-15</v>
      </c>
      <c r="BR25" s="42">
        <f t="shared" si="47"/>
        <v>2.4947715095736006E-13</v>
      </c>
      <c r="BS25" s="45">
        <f t="shared" si="47"/>
        <v>-2.2929132535060176E-15</v>
      </c>
    </row>
    <row r="26" spans="2:71" x14ac:dyDescent="0.25">
      <c r="B26" s="159">
        <v>65</v>
      </c>
      <c r="C26" s="171">
        <f t="shared" si="25"/>
        <v>32.5</v>
      </c>
      <c r="D26" s="97" t="s">
        <v>7</v>
      </c>
      <c r="E26" s="59"/>
      <c r="F26" s="58"/>
      <c r="G26" s="4">
        <v>512</v>
      </c>
      <c r="H26" s="55"/>
      <c r="I26" s="167">
        <f t="shared" si="26"/>
        <v>32.5</v>
      </c>
      <c r="J26" s="69">
        <f t="shared" si="27"/>
        <v>14.379331374868283</v>
      </c>
      <c r="K26" s="70">
        <f t="shared" si="28"/>
        <v>1.4379331374868283</v>
      </c>
      <c r="L26" s="70">
        <f t="shared" si="29"/>
        <v>1.4379331374868281E-3</v>
      </c>
      <c r="M26" s="70">
        <f t="shared" si="30"/>
        <v>143.79331374868281</v>
      </c>
      <c r="N26" s="70">
        <f>((4/3)*PI()*C26^3)/1000^3</f>
        <v>1.4379331374868282E-4</v>
      </c>
      <c r="O26" s="71">
        <f t="shared" si="31"/>
        <v>0.14379331374868282</v>
      </c>
      <c r="P26" s="115">
        <f t="shared" si="32"/>
        <v>2.5999426313283465</v>
      </c>
      <c r="Q26" s="72">
        <f t="shared" si="33"/>
        <v>37.915830040205051</v>
      </c>
      <c r="R26" s="72">
        <f t="shared" si="34"/>
        <v>1.1793141400082609E-3</v>
      </c>
      <c r="S26" s="72">
        <f>N26*(0.45359237/0.3048^3)*G26</f>
        <v>1.179314140008261</v>
      </c>
      <c r="T26" s="116">
        <f t="shared" si="35"/>
        <v>1179.3141400082609</v>
      </c>
      <c r="U26" s="81">
        <f t="shared" si="36"/>
        <v>1.3273228961416876E-4</v>
      </c>
      <c r="V26" s="73">
        <f t="shared" si="37"/>
        <v>3.2798863058119441E-6</v>
      </c>
      <c r="W26" s="73">
        <f t="shared" si="38"/>
        <v>132.73228961416876</v>
      </c>
      <c r="X26" s="73">
        <f t="shared" si="39"/>
        <v>1.3273228961416876</v>
      </c>
      <c r="Y26" s="73">
        <f t="shared" si="40"/>
        <v>1.3273228961416877E-6</v>
      </c>
      <c r="Z26" s="73">
        <f>(4*PI()*C26^2)/1000^2</f>
        <v>1.3273228961416876E-2</v>
      </c>
      <c r="AA26" s="73">
        <f t="shared" si="41"/>
        <v>13273.228961416877</v>
      </c>
      <c r="AB26" s="73">
        <f t="shared" si="42"/>
        <v>0.1428718474811683</v>
      </c>
      <c r="AC26" s="81">
        <f t="shared" si="43"/>
        <v>20.573546037288232</v>
      </c>
      <c r="AD26" s="167">
        <v>32.5</v>
      </c>
      <c r="AE26" s="69">
        <v>14.379300000000001</v>
      </c>
      <c r="AF26" s="70">
        <v>1.4379299999999999</v>
      </c>
      <c r="AG26" s="70">
        <v>1.43793E-3</v>
      </c>
      <c r="AH26" s="70">
        <v>143.79300000000001</v>
      </c>
      <c r="AI26" s="70">
        <v>1.43793E-4</v>
      </c>
      <c r="AJ26" s="71">
        <v>0.143793</v>
      </c>
      <c r="AK26" s="115">
        <v>2.5999400000000001</v>
      </c>
      <c r="AL26" s="72">
        <v>37.915799999999997</v>
      </c>
      <c r="AM26" s="72">
        <v>1.17931E-3</v>
      </c>
      <c r="AN26" s="72">
        <v>1.1793100000000001</v>
      </c>
      <c r="AO26" s="116">
        <v>1179.31</v>
      </c>
      <c r="AP26" s="123">
        <v>1.3273199999999999E-4</v>
      </c>
      <c r="AQ26" s="123">
        <v>3.2798863058119399E-6</v>
      </c>
      <c r="AR26" s="73">
        <v>132.732</v>
      </c>
      <c r="AS26" s="73">
        <v>1.3273200000000001</v>
      </c>
      <c r="AT26" s="73">
        <v>1.32732289614169E-6</v>
      </c>
      <c r="AU26" s="73">
        <v>1.3273200000000001E-2</v>
      </c>
      <c r="AV26" s="73">
        <v>13273.2</v>
      </c>
      <c r="AW26" s="73">
        <v>0.142872</v>
      </c>
      <c r="AX26" s="124">
        <v>20.573499999999999</v>
      </c>
      <c r="AY26" s="247">
        <f t="shared" si="44"/>
        <v>0</v>
      </c>
      <c r="AZ26" s="43">
        <f t="shared" si="45"/>
        <v>2.1819420850764836E-6</v>
      </c>
      <c r="BA26" s="42">
        <f t="shared" si="45"/>
        <v>2.181942085169135E-6</v>
      </c>
      <c r="BB26" s="42">
        <f t="shared" si="45"/>
        <v>2.1819420849785242E-6</v>
      </c>
      <c r="BC26" s="42">
        <f t="shared" si="45"/>
        <v>2.1819420849282414E-6</v>
      </c>
      <c r="BD26" s="42">
        <f t="shared" si="45"/>
        <v>2.1819420850916239E-6</v>
      </c>
      <c r="BE26" s="43">
        <f t="shared" si="45"/>
        <v>2.1819420850147158E-6</v>
      </c>
      <c r="BF26" s="107">
        <f t="shared" si="46"/>
        <v>1.0120716952054086E-6</v>
      </c>
      <c r="BG26" s="44">
        <f t="shared" si="47"/>
        <v>7.9228662598960267E-7</v>
      </c>
      <c r="BH26" s="44">
        <f t="shared" si="47"/>
        <v>3.5105220233162661E-6</v>
      </c>
      <c r="BI26" s="44">
        <f t="shared" si="47"/>
        <v>3.5105220232912595E-6</v>
      </c>
      <c r="BJ26" s="108">
        <f t="shared" si="47"/>
        <v>3.5105220233500042E-6</v>
      </c>
      <c r="BK26" s="43">
        <f t="shared" si="47"/>
        <v>2.1819420852015823E-6</v>
      </c>
      <c r="BL26" s="42">
        <f t="shared" si="47"/>
        <v>1.2912535196012156E-15</v>
      </c>
      <c r="BM26" s="42">
        <f t="shared" si="47"/>
        <v>2.1819420851258978E-6</v>
      </c>
      <c r="BN26" s="42">
        <f t="shared" si="47"/>
        <v>2.1819420850790573E-6</v>
      </c>
      <c r="BO26" s="42">
        <f t="shared" si="47"/>
        <v>-1.7549163144253302E-15</v>
      </c>
      <c r="BP26" s="42">
        <f t="shared" si="47"/>
        <v>2.1819420850790573E-6</v>
      </c>
      <c r="BQ26" s="42">
        <f t="shared" si="47"/>
        <v>2.181942085091637E-6</v>
      </c>
      <c r="BR26" s="42">
        <f t="shared" si="47"/>
        <v>-1.0675219393602992E-6</v>
      </c>
      <c r="BS26" s="45">
        <f t="shared" si="47"/>
        <v>2.2376934024319641E-6</v>
      </c>
    </row>
    <row r="27" spans="2:71" x14ac:dyDescent="0.25">
      <c r="B27" s="159">
        <v>865</v>
      </c>
      <c r="C27" s="171">
        <f t="shared" si="25"/>
        <v>432.5</v>
      </c>
      <c r="D27" s="97" t="s">
        <v>8</v>
      </c>
      <c r="E27" s="59"/>
      <c r="F27" s="4">
        <v>1024</v>
      </c>
      <c r="G27" s="58"/>
      <c r="H27" s="55"/>
      <c r="I27" s="167">
        <f t="shared" si="26"/>
        <v>432.5</v>
      </c>
      <c r="J27" s="69">
        <f t="shared" si="27"/>
        <v>25909295060156.645</v>
      </c>
      <c r="K27" s="70">
        <f t="shared" si="28"/>
        <v>2590929506015.6646</v>
      </c>
      <c r="L27" s="70">
        <f t="shared" si="29"/>
        <v>2590929506.0156646</v>
      </c>
      <c r="M27" s="70">
        <f t="shared" si="30"/>
        <v>259092950601566.47</v>
      </c>
      <c r="N27" s="70">
        <f>((4/3)*PI()*C27^3)*0.9144^3</f>
        <v>259092950.60156646</v>
      </c>
      <c r="O27" s="71">
        <f t="shared" si="31"/>
        <v>259092950601.56647</v>
      </c>
      <c r="P27" s="115">
        <f t="shared" si="32"/>
        <v>584911032379147</v>
      </c>
      <c r="Q27" s="72">
        <f t="shared" si="33"/>
        <v>8529952555529228</v>
      </c>
      <c r="R27" s="72">
        <f t="shared" si="34"/>
        <v>265311181416.00406</v>
      </c>
      <c r="S27" s="72">
        <f>N27*1000*F27</f>
        <v>265311181416004.06</v>
      </c>
      <c r="T27" s="116">
        <f t="shared" si="35"/>
        <v>2.6531118141600406E+17</v>
      </c>
      <c r="U27" s="81">
        <f t="shared" si="36"/>
        <v>19654.161591914079</v>
      </c>
      <c r="V27" s="73">
        <f t="shared" si="37"/>
        <v>485.66490975872375</v>
      </c>
      <c r="W27" s="73">
        <f t="shared" si="38"/>
        <v>19654161591.914078</v>
      </c>
      <c r="X27" s="73">
        <f t="shared" si="39"/>
        <v>196541615.91914079</v>
      </c>
      <c r="Y27" s="73">
        <f t="shared" si="40"/>
        <v>196.54161591914078</v>
      </c>
      <c r="Z27" s="73">
        <f>(4*PI()*C27^2)*0.9144^2</f>
        <v>1965416.1591914077</v>
      </c>
      <c r="AA27" s="73">
        <f t="shared" si="41"/>
        <v>1965416159191.4077</v>
      </c>
      <c r="AB27" s="73">
        <f t="shared" si="42"/>
        <v>21155563.469090007</v>
      </c>
      <c r="AC27" s="81">
        <f t="shared" si="43"/>
        <v>3046401139.5489612</v>
      </c>
      <c r="AD27" s="167">
        <v>432.5</v>
      </c>
      <c r="AE27" s="69">
        <v>25909295060157</v>
      </c>
      <c r="AF27" s="70">
        <v>2590929506016</v>
      </c>
      <c r="AG27" s="70">
        <v>2590929506</v>
      </c>
      <c r="AH27" s="70">
        <v>259092950601566</v>
      </c>
      <c r="AI27" s="70">
        <v>259092951</v>
      </c>
      <c r="AJ27" s="71">
        <v>259092950602</v>
      </c>
      <c r="AK27" s="115">
        <v>584911032379147</v>
      </c>
      <c r="AL27" s="72">
        <v>8529952555529230</v>
      </c>
      <c r="AM27" s="72">
        <v>265311181416</v>
      </c>
      <c r="AN27" s="72">
        <v>265311181416004</v>
      </c>
      <c r="AO27" s="116">
        <v>2.65311181416004E+17</v>
      </c>
      <c r="AP27" s="123">
        <v>19654.2</v>
      </c>
      <c r="AQ27" s="123">
        <v>485.66500000000002</v>
      </c>
      <c r="AR27" s="73">
        <v>19654161592</v>
      </c>
      <c r="AS27" s="73">
        <v>196541616</v>
      </c>
      <c r="AT27" s="73">
        <v>196.542</v>
      </c>
      <c r="AU27" s="73">
        <v>1965416</v>
      </c>
      <c r="AV27" s="73">
        <v>1965416159191</v>
      </c>
      <c r="AW27" s="73">
        <v>21155563</v>
      </c>
      <c r="AX27" s="124">
        <v>3046401140</v>
      </c>
      <c r="AY27" s="247">
        <f t="shared" si="44"/>
        <v>0</v>
      </c>
      <c r="AZ27" s="43">
        <f t="shared" si="45"/>
        <v>-1.3719738386346157E-14</v>
      </c>
      <c r="BA27" s="42">
        <f t="shared" si="45"/>
        <v>-1.2947060812389849E-13</v>
      </c>
      <c r="BB27" s="42">
        <f t="shared" si="45"/>
        <v>6.0459296355846714E-12</v>
      </c>
      <c r="BC27" s="42">
        <f t="shared" si="45"/>
        <v>1.8091962707269659E-15</v>
      </c>
      <c r="BD27" s="42">
        <f t="shared" si="45"/>
        <v>-1.5378015317129726E-9</v>
      </c>
      <c r="BE27" s="43">
        <f t="shared" si="45"/>
        <v>-1.6732709779913591E-12</v>
      </c>
      <c r="BF27" s="107">
        <f t="shared" si="46"/>
        <v>0</v>
      </c>
      <c r="BG27" s="44">
        <f t="shared" si="47"/>
        <v>-2.3446789263834458E-16</v>
      </c>
      <c r="BH27" s="44">
        <f t="shared" si="47"/>
        <v>1.529840494834178E-14</v>
      </c>
      <c r="BI27" s="44">
        <f t="shared" si="47"/>
        <v>2.3557243108424031E-16</v>
      </c>
      <c r="BJ27" s="108">
        <f t="shared" si="47"/>
        <v>2.412261694302621E-16</v>
      </c>
      <c r="BK27" s="43">
        <f t="shared" si="47"/>
        <v>-1.9541960995136012E-6</v>
      </c>
      <c r="BL27" s="42">
        <f t="shared" si="47"/>
        <v>-1.8580975165217301E-7</v>
      </c>
      <c r="BM27" s="42">
        <f t="shared" si="47"/>
        <v>-4.3717072747731346E-12</v>
      </c>
      <c r="BN27" s="42">
        <f t="shared" si="47"/>
        <v>-4.1141014176216709E-10</v>
      </c>
      <c r="BO27" s="42">
        <f t="shared" si="47"/>
        <v>-1.9541960995078168E-6</v>
      </c>
      <c r="BP27" s="42">
        <f t="shared" si="47"/>
        <v>8.0996285180861249E-8</v>
      </c>
      <c r="BQ27" s="42">
        <f t="shared" si="47"/>
        <v>2.0744453628474187E-13</v>
      </c>
      <c r="BR27" s="42">
        <f t="shared" si="47"/>
        <v>2.2173363896968242E-8</v>
      </c>
      <c r="BS27" s="45">
        <f t="shared" si="47"/>
        <v>-1.4805628568653977E-10</v>
      </c>
    </row>
    <row r="28" spans="2:71" ht="15.75" thickBot="1" x14ac:dyDescent="0.3">
      <c r="B28" s="161">
        <v>422</v>
      </c>
      <c r="C28" s="170">
        <f t="shared" si="25"/>
        <v>211</v>
      </c>
      <c r="D28" s="98" t="s">
        <v>43</v>
      </c>
      <c r="E28" s="12">
        <v>4096</v>
      </c>
      <c r="F28" s="60"/>
      <c r="G28" s="60"/>
      <c r="H28" s="61"/>
      <c r="I28" s="168">
        <f t="shared" si="26"/>
        <v>211</v>
      </c>
      <c r="J28" s="79">
        <f t="shared" si="27"/>
        <v>3.9349206157239219E-6</v>
      </c>
      <c r="K28" s="74">
        <f t="shared" si="28"/>
        <v>3.9349206157239223E-7</v>
      </c>
      <c r="L28" s="74">
        <f t="shared" si="29"/>
        <v>3.934920615723922E-10</v>
      </c>
      <c r="M28" s="74">
        <f t="shared" si="30"/>
        <v>3.9349206157239221E-5</v>
      </c>
      <c r="N28" s="74">
        <f>((4/3)*PI()*C28^3)/1000000^3</f>
        <v>3.934920615723922E-11</v>
      </c>
      <c r="O28" s="75">
        <f t="shared" si="31"/>
        <v>3.9349206157239223E-8</v>
      </c>
      <c r="P28" s="117">
        <f t="shared" si="32"/>
        <v>3.5532861458858281E-7</v>
      </c>
      <c r="Q28" s="76">
        <f t="shared" si="33"/>
        <v>5.1818756294168333E-6</v>
      </c>
      <c r="R28" s="76">
        <f t="shared" si="34"/>
        <v>1.6117434842005185E-10</v>
      </c>
      <c r="S28" s="76">
        <f>N28*E28</f>
        <v>1.6117434842005185E-7</v>
      </c>
      <c r="T28" s="118">
        <f t="shared" si="35"/>
        <v>1.6117434842005186E-4</v>
      </c>
      <c r="U28" s="82">
        <f t="shared" si="36"/>
        <v>5.5946738612188472E-9</v>
      </c>
      <c r="V28" s="77">
        <f t="shared" si="37"/>
        <v>1.3824740186608621E-10</v>
      </c>
      <c r="W28" s="77">
        <f t="shared" si="38"/>
        <v>5.5946738612188468E-3</v>
      </c>
      <c r="X28" s="77">
        <f t="shared" si="39"/>
        <v>5.594673861218847E-5</v>
      </c>
      <c r="Y28" s="77">
        <f t="shared" si="40"/>
        <v>5.594673861218847E-11</v>
      </c>
      <c r="Z28" s="77">
        <f>(4*PI()*C28^2)/1000000^2</f>
        <v>5.5946738612188472E-7</v>
      </c>
      <c r="AA28" s="77">
        <f t="shared" si="41"/>
        <v>0.55946738612188474</v>
      </c>
      <c r="AB28" s="77">
        <f t="shared" si="42"/>
        <v>6.0220568252867155E-6</v>
      </c>
      <c r="AC28" s="82">
        <f t="shared" si="43"/>
        <v>8.6717618284128692E-4</v>
      </c>
      <c r="AD28" s="168">
        <v>211</v>
      </c>
      <c r="AE28" s="79">
        <v>3.9349206157239202E-6</v>
      </c>
      <c r="AF28" s="74">
        <v>3.9349206157239201E-7</v>
      </c>
      <c r="AG28" s="74">
        <v>3.93492061572392E-10</v>
      </c>
      <c r="AH28" s="74">
        <v>3.9349206157239201E-5</v>
      </c>
      <c r="AI28" s="74">
        <v>3.9349206157239201E-11</v>
      </c>
      <c r="AJ28" s="75">
        <v>3.9349206157239203E-8</v>
      </c>
      <c r="AK28" s="117">
        <v>3.5532861458858302E-7</v>
      </c>
      <c r="AL28" s="76">
        <v>5.1818756294168299E-6</v>
      </c>
      <c r="AM28" s="76">
        <v>1.6117434842005201E-10</v>
      </c>
      <c r="AN28" s="76">
        <v>1.6117434842005201E-7</v>
      </c>
      <c r="AO28" s="118">
        <v>1.6117400000000001E-4</v>
      </c>
      <c r="AP28" s="125">
        <v>5.5946738612188497E-9</v>
      </c>
      <c r="AQ28" s="125">
        <v>1.38247401866086E-10</v>
      </c>
      <c r="AR28" s="77">
        <v>5.5946700000000004E-3</v>
      </c>
      <c r="AS28" s="77">
        <v>5.5946738612188497E-5</v>
      </c>
      <c r="AT28" s="77">
        <v>5.5946738612188502E-11</v>
      </c>
      <c r="AU28" s="77">
        <v>5.5946738612188504E-7</v>
      </c>
      <c r="AV28" s="77">
        <v>0.55946700000000005</v>
      </c>
      <c r="AW28" s="77">
        <v>6.0220568252867104E-6</v>
      </c>
      <c r="AX28" s="126">
        <v>8.6717599999999999E-4</v>
      </c>
      <c r="AY28" s="248">
        <f t="shared" si="44"/>
        <v>0</v>
      </c>
      <c r="AZ28" s="48">
        <f t="shared" si="45"/>
        <v>4.3052098376244804E-16</v>
      </c>
      <c r="BA28" s="47">
        <f t="shared" si="45"/>
        <v>5.3815122970305999E-16</v>
      </c>
      <c r="BB28" s="47">
        <f t="shared" si="45"/>
        <v>5.2553831025689459E-16</v>
      </c>
      <c r="BC28" s="47">
        <f t="shared" si="45"/>
        <v>5.1662518051493759E-16</v>
      </c>
      <c r="BD28" s="47">
        <f t="shared" si="45"/>
        <v>4.9269216586583867E-16</v>
      </c>
      <c r="BE28" s="48">
        <f t="shared" si="45"/>
        <v>5.0451677784661873E-16</v>
      </c>
      <c r="BF28" s="109">
        <f t="shared" si="46"/>
        <v>-5.9595041918805029E-16</v>
      </c>
      <c r="BG28" s="49">
        <f t="shared" si="47"/>
        <v>6.5384274562346082E-16</v>
      </c>
      <c r="BH28" s="49">
        <f t="shared" si="47"/>
        <v>-9.6228938645671609E-16</v>
      </c>
      <c r="BI28" s="49">
        <f t="shared" si="47"/>
        <v>-9.8538433173167734E-16</v>
      </c>
      <c r="BJ28" s="110">
        <f t="shared" si="47"/>
        <v>2.1617587119703597E-6</v>
      </c>
      <c r="BK28" s="48">
        <f t="shared" si="47"/>
        <v>-4.4355433385681895E-16</v>
      </c>
      <c r="BL28" s="47">
        <f t="shared" si="47"/>
        <v>1.4958339205431847E-15</v>
      </c>
      <c r="BM28" s="47">
        <f t="shared" si="47"/>
        <v>6.9015977377312822E-7</v>
      </c>
      <c r="BN28" s="47">
        <f t="shared" si="47"/>
        <v>-4.8447961372734146E-16</v>
      </c>
      <c r="BO28" s="47">
        <f t="shared" si="47"/>
        <v>-5.775447055427331E-16</v>
      </c>
      <c r="BP28" s="47">
        <f t="shared" si="47"/>
        <v>-5.6774954733672826E-16</v>
      </c>
      <c r="BQ28" s="47">
        <f t="shared" si="47"/>
        <v>6.9015977385994687E-7</v>
      </c>
      <c r="BR28" s="47">
        <f t="shared" si="47"/>
        <v>8.4393054249929534E-16</v>
      </c>
      <c r="BS28" s="50">
        <f t="shared" si="47"/>
        <v>2.1084675818149185E-7</v>
      </c>
    </row>
    <row r="29" spans="2:71" ht="15.75" thickTop="1" x14ac:dyDescent="0.25"/>
    <row r="31" spans="2:71" x14ac:dyDescent="0.25">
      <c r="B31" s="317" t="s">
        <v>14</v>
      </c>
      <c r="C31" s="318"/>
      <c r="D31" s="349" t="s">
        <v>15</v>
      </c>
      <c r="E31" s="318"/>
      <c r="F31" s="350"/>
      <c r="H31" s="207"/>
      <c r="I31" s="206"/>
      <c r="J31" s="208"/>
      <c r="K31" s="206"/>
    </row>
    <row r="32" spans="2:71" x14ac:dyDescent="0.25">
      <c r="B32" s="264"/>
      <c r="C32" s="265" t="s">
        <v>16</v>
      </c>
      <c r="D32" s="351">
        <v>41031</v>
      </c>
      <c r="E32" s="352"/>
      <c r="F32" s="353"/>
      <c r="H32" s="206"/>
      <c r="I32" s="207"/>
      <c r="J32" s="205"/>
      <c r="K32" s="206"/>
    </row>
  </sheetData>
  <mergeCells count="45">
    <mergeCell ref="D32:F32"/>
    <mergeCell ref="AY19:AY20"/>
    <mergeCell ref="AY5:AY6"/>
    <mergeCell ref="J18:O19"/>
    <mergeCell ref="B3:C3"/>
    <mergeCell ref="B17:C17"/>
    <mergeCell ref="C5:C6"/>
    <mergeCell ref="C19:C20"/>
    <mergeCell ref="I5:I6"/>
    <mergeCell ref="I19:I20"/>
    <mergeCell ref="AE4:AJ5"/>
    <mergeCell ref="AK4:AO5"/>
    <mergeCell ref="AP4:AX5"/>
    <mergeCell ref="D3:H3"/>
    <mergeCell ref="B4:D4"/>
    <mergeCell ref="E4:H5"/>
    <mergeCell ref="B5:B6"/>
    <mergeCell ref="D5:D6"/>
    <mergeCell ref="BF18:BJ19"/>
    <mergeCell ref="P18:T19"/>
    <mergeCell ref="BK4:BS5"/>
    <mergeCell ref="P4:T5"/>
    <mergeCell ref="U4:AC5"/>
    <mergeCell ref="AD19:AD20"/>
    <mergeCell ref="D17:H17"/>
    <mergeCell ref="B18:D18"/>
    <mergeCell ref="E18:H19"/>
    <mergeCell ref="B19:B20"/>
    <mergeCell ref="D19:D20"/>
    <mergeCell ref="I1:AC1"/>
    <mergeCell ref="AD1:AX1"/>
    <mergeCell ref="AY1:BS1"/>
    <mergeCell ref="B1:H1"/>
    <mergeCell ref="B31:C31"/>
    <mergeCell ref="D31:F31"/>
    <mergeCell ref="AZ4:BE5"/>
    <mergeCell ref="J4:O5"/>
    <mergeCell ref="AD5:AD6"/>
    <mergeCell ref="BF4:BJ5"/>
    <mergeCell ref="BK18:BS19"/>
    <mergeCell ref="U18:AC19"/>
    <mergeCell ref="AE18:AJ19"/>
    <mergeCell ref="AK18:AO19"/>
    <mergeCell ref="AP18:AX19"/>
    <mergeCell ref="AZ18:BE19"/>
  </mergeCells>
  <conditionalFormatting sqref="AY7:BS14 AY21:BS28">
    <cfRule type="cellIs" dxfId="24" priority="5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W46"/>
  <sheetViews>
    <sheetView zoomScaleNormal="100" workbookViewId="0">
      <pane ySplit="1" topLeftCell="A2" activePane="bottomLeft" state="frozen"/>
      <selection activeCell="AU1" sqref="AU1"/>
      <selection pane="bottomLeft"/>
    </sheetView>
  </sheetViews>
  <sheetFormatPr defaultRowHeight="15" x14ac:dyDescent="0.25"/>
  <cols>
    <col min="1" max="1" width="3.7109375" customWidth="1"/>
    <col min="2" max="4" width="10.140625" customWidth="1"/>
    <col min="6" max="9" width="9.140625" customWidth="1"/>
    <col min="10" max="11" width="12.7109375" customWidth="1"/>
    <col min="12" max="21" width="12" customWidth="1"/>
    <col min="22" max="22" width="12" bestFit="1" customWidth="1"/>
    <col min="23" max="31" width="12" customWidth="1"/>
    <col min="32" max="33" width="12.7109375" customWidth="1"/>
    <col min="34" max="35" width="12" bestFit="1" customWidth="1"/>
    <col min="36" max="36" width="18.5703125" bestFit="1" customWidth="1"/>
    <col min="37" max="53" width="12" bestFit="1" customWidth="1"/>
    <col min="54" max="54" width="14.5703125" customWidth="1"/>
    <col min="55" max="55" width="14.7109375" customWidth="1"/>
    <col min="56" max="75" width="15" bestFit="1" customWidth="1"/>
  </cols>
  <sheetData>
    <row r="1" spans="2:75" ht="21.95" customHeight="1" thickBot="1" x14ac:dyDescent="0.4">
      <c r="B1" s="415" t="s">
        <v>98</v>
      </c>
      <c r="C1" s="416"/>
      <c r="D1" s="416"/>
      <c r="E1" s="416"/>
      <c r="F1" s="416"/>
      <c r="G1" s="416"/>
      <c r="H1" s="416"/>
      <c r="I1" s="417"/>
      <c r="J1" s="319" t="s">
        <v>99</v>
      </c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1"/>
      <c r="AF1" s="319" t="s">
        <v>100</v>
      </c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1"/>
      <c r="BB1" s="319" t="s">
        <v>101</v>
      </c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0"/>
      <c r="BV1" s="320"/>
      <c r="BW1" s="321"/>
    </row>
    <row r="2" spans="2:75" ht="15" customHeight="1" thickBot="1" x14ac:dyDescent="0.3"/>
    <row r="3" spans="2:75" ht="30.75" customHeight="1" thickTop="1" thickBot="1" x14ac:dyDescent="0.3">
      <c r="B3" s="83" t="s">
        <v>46</v>
      </c>
      <c r="C3" s="134"/>
      <c r="D3" s="134"/>
      <c r="E3" s="346" t="s">
        <v>61</v>
      </c>
      <c r="F3" s="347"/>
      <c r="G3" s="347"/>
      <c r="H3" s="347"/>
      <c r="I3" s="348"/>
    </row>
    <row r="4" spans="2:75" ht="16.5" customHeight="1" thickTop="1" thickBot="1" x14ac:dyDescent="0.3">
      <c r="B4" s="337" t="s">
        <v>62</v>
      </c>
      <c r="C4" s="338"/>
      <c r="D4" s="338"/>
      <c r="E4" s="339"/>
      <c r="F4" s="311" t="s">
        <v>31</v>
      </c>
      <c r="G4" s="312"/>
      <c r="H4" s="312"/>
      <c r="I4" s="313"/>
      <c r="J4" s="364" t="s">
        <v>93</v>
      </c>
      <c r="K4" s="365"/>
      <c r="L4" s="340" t="s">
        <v>21</v>
      </c>
      <c r="M4" s="341"/>
      <c r="N4" s="341"/>
      <c r="O4" s="341"/>
      <c r="P4" s="341"/>
      <c r="Q4" s="341"/>
      <c r="R4" s="294" t="s">
        <v>22</v>
      </c>
      <c r="S4" s="295"/>
      <c r="T4" s="295"/>
      <c r="U4" s="295"/>
      <c r="V4" s="296"/>
      <c r="W4" s="304" t="s">
        <v>44</v>
      </c>
      <c r="X4" s="305"/>
      <c r="Y4" s="305"/>
      <c r="Z4" s="305"/>
      <c r="AA4" s="305"/>
      <c r="AB4" s="305"/>
      <c r="AC4" s="305"/>
      <c r="AD4" s="305"/>
      <c r="AE4" s="305"/>
      <c r="AF4" s="364" t="s">
        <v>93</v>
      </c>
      <c r="AG4" s="365"/>
      <c r="AH4" s="340" t="s">
        <v>21</v>
      </c>
      <c r="AI4" s="301"/>
      <c r="AJ4" s="301"/>
      <c r="AK4" s="301"/>
      <c r="AL4" s="301"/>
      <c r="AM4" s="301"/>
      <c r="AN4" s="294" t="s">
        <v>22</v>
      </c>
      <c r="AO4" s="295"/>
      <c r="AP4" s="295"/>
      <c r="AQ4" s="295"/>
      <c r="AR4" s="296"/>
      <c r="AS4" s="304" t="s">
        <v>45</v>
      </c>
      <c r="AT4" s="305"/>
      <c r="AU4" s="305"/>
      <c r="AV4" s="305"/>
      <c r="AW4" s="305"/>
      <c r="AX4" s="305"/>
      <c r="AY4" s="305"/>
      <c r="AZ4" s="305"/>
      <c r="BA4" s="306"/>
      <c r="BB4" s="385" t="s">
        <v>93</v>
      </c>
      <c r="BC4" s="386"/>
      <c r="BD4" s="328" t="s">
        <v>21</v>
      </c>
      <c r="BE4" s="323"/>
      <c r="BF4" s="323"/>
      <c r="BG4" s="323"/>
      <c r="BH4" s="323"/>
      <c r="BI4" s="323"/>
      <c r="BJ4" s="322" t="s">
        <v>22</v>
      </c>
      <c r="BK4" s="323"/>
      <c r="BL4" s="323"/>
      <c r="BM4" s="323"/>
      <c r="BN4" s="324"/>
      <c r="BO4" s="328" t="s">
        <v>45</v>
      </c>
      <c r="BP4" s="323"/>
      <c r="BQ4" s="323"/>
      <c r="BR4" s="323"/>
      <c r="BS4" s="323"/>
      <c r="BT4" s="323"/>
      <c r="BU4" s="323"/>
      <c r="BV4" s="323"/>
      <c r="BW4" s="329"/>
    </row>
    <row r="5" spans="2:75" s="18" customFormat="1" ht="15" customHeight="1" thickBot="1" x14ac:dyDescent="0.3">
      <c r="B5" s="422" t="s">
        <v>0</v>
      </c>
      <c r="C5" s="309" t="s">
        <v>82</v>
      </c>
      <c r="D5" s="371" t="s">
        <v>83</v>
      </c>
      <c r="E5" s="381" t="s">
        <v>1</v>
      </c>
      <c r="F5" s="314"/>
      <c r="G5" s="315"/>
      <c r="H5" s="315"/>
      <c r="I5" s="316"/>
      <c r="J5" s="366" t="s">
        <v>82</v>
      </c>
      <c r="K5" s="368" t="s">
        <v>83</v>
      </c>
      <c r="L5" s="342"/>
      <c r="M5" s="342"/>
      <c r="N5" s="342"/>
      <c r="O5" s="342"/>
      <c r="P5" s="342"/>
      <c r="Q5" s="342"/>
      <c r="R5" s="297"/>
      <c r="S5" s="298"/>
      <c r="T5" s="298"/>
      <c r="U5" s="298"/>
      <c r="V5" s="299"/>
      <c r="W5" s="307"/>
      <c r="X5" s="307"/>
      <c r="Y5" s="307"/>
      <c r="Z5" s="307"/>
      <c r="AA5" s="307"/>
      <c r="AB5" s="307"/>
      <c r="AC5" s="307"/>
      <c r="AD5" s="307"/>
      <c r="AE5" s="307"/>
      <c r="AF5" s="366" t="s">
        <v>82</v>
      </c>
      <c r="AG5" s="368" t="s">
        <v>83</v>
      </c>
      <c r="AH5" s="303"/>
      <c r="AI5" s="303"/>
      <c r="AJ5" s="303"/>
      <c r="AK5" s="303"/>
      <c r="AL5" s="303"/>
      <c r="AM5" s="303"/>
      <c r="AN5" s="297"/>
      <c r="AO5" s="298"/>
      <c r="AP5" s="298"/>
      <c r="AQ5" s="298"/>
      <c r="AR5" s="299"/>
      <c r="AS5" s="307"/>
      <c r="AT5" s="307"/>
      <c r="AU5" s="307"/>
      <c r="AV5" s="307"/>
      <c r="AW5" s="307"/>
      <c r="AX5" s="307"/>
      <c r="AY5" s="307"/>
      <c r="AZ5" s="307"/>
      <c r="BA5" s="308"/>
      <c r="BB5" s="383" t="s">
        <v>82</v>
      </c>
      <c r="BC5" s="383" t="s">
        <v>83</v>
      </c>
      <c r="BD5" s="326"/>
      <c r="BE5" s="326"/>
      <c r="BF5" s="326"/>
      <c r="BG5" s="326"/>
      <c r="BH5" s="326"/>
      <c r="BI5" s="326"/>
      <c r="BJ5" s="325"/>
      <c r="BK5" s="326"/>
      <c r="BL5" s="326"/>
      <c r="BM5" s="326"/>
      <c r="BN5" s="327"/>
      <c r="BO5" s="326"/>
      <c r="BP5" s="326"/>
      <c r="BQ5" s="326"/>
      <c r="BR5" s="326"/>
      <c r="BS5" s="326"/>
      <c r="BT5" s="326"/>
      <c r="BU5" s="326"/>
      <c r="BV5" s="326"/>
      <c r="BW5" s="330"/>
    </row>
    <row r="6" spans="2:75" s="18" customFormat="1" ht="18" thickBot="1" x14ac:dyDescent="0.3">
      <c r="B6" s="427"/>
      <c r="C6" s="428"/>
      <c r="D6" s="426"/>
      <c r="E6" s="424"/>
      <c r="F6" s="19" t="s">
        <v>29</v>
      </c>
      <c r="G6" s="20" t="s">
        <v>28</v>
      </c>
      <c r="H6" s="20" t="s">
        <v>30</v>
      </c>
      <c r="I6" s="21" t="s">
        <v>27</v>
      </c>
      <c r="J6" s="367"/>
      <c r="K6" s="369"/>
      <c r="L6" s="29" t="s">
        <v>32</v>
      </c>
      <c r="M6" s="24" t="s">
        <v>34</v>
      </c>
      <c r="N6" s="24" t="s">
        <v>33</v>
      </c>
      <c r="O6" s="24" t="s">
        <v>35</v>
      </c>
      <c r="P6" s="24" t="s">
        <v>37</v>
      </c>
      <c r="Q6" s="30" t="s">
        <v>36</v>
      </c>
      <c r="R6" s="111" t="s">
        <v>38</v>
      </c>
      <c r="S6" s="22" t="s">
        <v>39</v>
      </c>
      <c r="T6" s="22" t="s">
        <v>40</v>
      </c>
      <c r="U6" s="22" t="s">
        <v>41</v>
      </c>
      <c r="V6" s="112" t="s">
        <v>42</v>
      </c>
      <c r="W6" s="25" t="s">
        <v>11</v>
      </c>
      <c r="X6" s="23" t="s">
        <v>13</v>
      </c>
      <c r="Y6" s="23" t="s">
        <v>23</v>
      </c>
      <c r="Z6" s="23" t="s">
        <v>24</v>
      </c>
      <c r="AA6" s="23" t="s">
        <v>12</v>
      </c>
      <c r="AB6" s="23" t="s">
        <v>25</v>
      </c>
      <c r="AC6" s="23" t="s">
        <v>26</v>
      </c>
      <c r="AD6" s="23" t="s">
        <v>10</v>
      </c>
      <c r="AE6" s="25" t="s">
        <v>9</v>
      </c>
      <c r="AF6" s="367"/>
      <c r="AG6" s="369"/>
      <c r="AH6" s="29" t="s">
        <v>32</v>
      </c>
      <c r="AI6" s="24" t="s">
        <v>34</v>
      </c>
      <c r="AJ6" s="24" t="s">
        <v>33</v>
      </c>
      <c r="AK6" s="24" t="s">
        <v>35</v>
      </c>
      <c r="AL6" s="24" t="s">
        <v>37</v>
      </c>
      <c r="AM6" s="30" t="s">
        <v>36</v>
      </c>
      <c r="AN6" s="111" t="s">
        <v>38</v>
      </c>
      <c r="AO6" s="22" t="s">
        <v>39</v>
      </c>
      <c r="AP6" s="22" t="s">
        <v>40</v>
      </c>
      <c r="AQ6" s="22" t="s">
        <v>41</v>
      </c>
      <c r="AR6" s="112" t="s">
        <v>42</v>
      </c>
      <c r="AS6" s="26" t="s">
        <v>11</v>
      </c>
      <c r="AT6" s="27" t="s">
        <v>13</v>
      </c>
      <c r="AU6" s="27" t="s">
        <v>23</v>
      </c>
      <c r="AV6" s="27" t="s">
        <v>24</v>
      </c>
      <c r="AW6" s="27" t="s">
        <v>12</v>
      </c>
      <c r="AX6" s="27" t="s">
        <v>25</v>
      </c>
      <c r="AY6" s="27" t="s">
        <v>26</v>
      </c>
      <c r="AZ6" s="27" t="s">
        <v>10</v>
      </c>
      <c r="BA6" s="120" t="s">
        <v>9</v>
      </c>
      <c r="BB6" s="384"/>
      <c r="BC6" s="384"/>
      <c r="BD6" s="34" t="s">
        <v>32</v>
      </c>
      <c r="BE6" s="33" t="s">
        <v>34</v>
      </c>
      <c r="BF6" s="33" t="s">
        <v>33</v>
      </c>
      <c r="BG6" s="33" t="s">
        <v>35</v>
      </c>
      <c r="BH6" s="33" t="s">
        <v>37</v>
      </c>
      <c r="BI6" s="34" t="s">
        <v>36</v>
      </c>
      <c r="BJ6" s="103" t="s">
        <v>38</v>
      </c>
      <c r="BK6" s="33" t="s">
        <v>39</v>
      </c>
      <c r="BL6" s="33" t="s">
        <v>40</v>
      </c>
      <c r="BM6" s="33" t="s">
        <v>41</v>
      </c>
      <c r="BN6" s="104" t="s">
        <v>42</v>
      </c>
      <c r="BO6" s="34" t="s">
        <v>11</v>
      </c>
      <c r="BP6" s="33" t="s">
        <v>13</v>
      </c>
      <c r="BQ6" s="33" t="s">
        <v>23</v>
      </c>
      <c r="BR6" s="33" t="s">
        <v>24</v>
      </c>
      <c r="BS6" s="33" t="s">
        <v>12</v>
      </c>
      <c r="BT6" s="33" t="s">
        <v>25</v>
      </c>
      <c r="BU6" s="33" t="s">
        <v>26</v>
      </c>
      <c r="BV6" s="33" t="s">
        <v>10</v>
      </c>
      <c r="BW6" s="35" t="s">
        <v>9</v>
      </c>
    </row>
    <row r="7" spans="2:75" x14ac:dyDescent="0.25">
      <c r="B7" s="158">
        <v>266</v>
      </c>
      <c r="C7" s="172">
        <f>SQRT(2)*B7</f>
        <v>376.18080759124331</v>
      </c>
      <c r="D7" s="136">
        <f>SQRT(3)*B7</f>
        <v>460.72551481332135</v>
      </c>
      <c r="E7" s="155" t="s">
        <v>2</v>
      </c>
      <c r="F7" s="62"/>
      <c r="G7" s="53"/>
      <c r="H7" s="8">
        <v>775</v>
      </c>
      <c r="I7" s="54"/>
      <c r="J7" s="287">
        <f>SQRT(2)*B7</f>
        <v>376.18080759124331</v>
      </c>
      <c r="K7" s="288">
        <f>SQRT(3)*B7</f>
        <v>460.72551481332135</v>
      </c>
      <c r="L7" s="78">
        <f>P7*100000</f>
        <v>1882109.6</v>
      </c>
      <c r="M7" s="65">
        <f>P7*10000</f>
        <v>188210.96000000002</v>
      </c>
      <c r="N7" s="65">
        <f>P7*10</f>
        <v>188.21096</v>
      </c>
      <c r="O7" s="65">
        <f>P7*1000000</f>
        <v>18821096</v>
      </c>
      <c r="P7" s="65">
        <f>(B7^3)/100^3</f>
        <v>18.821096000000001</v>
      </c>
      <c r="Q7" s="66">
        <f>P7*1000</f>
        <v>18821.096000000001</v>
      </c>
      <c r="R7" s="113">
        <f>U7/0.45359237</f>
        <v>515112.06774418498</v>
      </c>
      <c r="S7" s="67">
        <f>U7*1000/31.1034768</f>
        <v>7512050.987936032</v>
      </c>
      <c r="T7" s="67">
        <f>U7/1000</f>
        <v>233.65090362368545</v>
      </c>
      <c r="U7" s="67">
        <f>P7*(0.45359237/0.3048^3)*H7</f>
        <v>233650.90362368544</v>
      </c>
      <c r="V7" s="114">
        <f>U7*1000</f>
        <v>233650903.62368545</v>
      </c>
      <c r="W7" s="80">
        <f>AB7/100</f>
        <v>0.42453600000000002</v>
      </c>
      <c r="X7" s="68">
        <f>AB7/4046.8564224</f>
        <v>1.0490513022654451E-2</v>
      </c>
      <c r="Y7" s="68">
        <f>AB7*10000</f>
        <v>424536</v>
      </c>
      <c r="Z7" s="68">
        <f>AB7*100</f>
        <v>4245.3600000000006</v>
      </c>
      <c r="AA7" s="68">
        <f>AB7/10000</f>
        <v>4.2453600000000001E-3</v>
      </c>
      <c r="AB7" s="68">
        <f>(6*B7^2)/100^2</f>
        <v>42.453600000000002</v>
      </c>
      <c r="AC7" s="68">
        <f>AB7*1000000</f>
        <v>42453600</v>
      </c>
      <c r="AD7" s="68">
        <f>AB7/144*10000/(2.54*2.54)</f>
        <v>456.96674726682784</v>
      </c>
      <c r="AE7" s="80">
        <f>AB7*10000/(2.54 *2.54)</f>
        <v>65803.21160642321</v>
      </c>
      <c r="AF7" s="287">
        <v>376.18</v>
      </c>
      <c r="AG7" s="288">
        <v>460.73</v>
      </c>
      <c r="AH7" s="78">
        <v>1882110</v>
      </c>
      <c r="AI7" s="65">
        <v>188211</v>
      </c>
      <c r="AJ7" s="65">
        <v>188.21100000000001</v>
      </c>
      <c r="AK7" s="65">
        <v>18821096</v>
      </c>
      <c r="AL7" s="65">
        <v>18.821100000000001</v>
      </c>
      <c r="AM7" s="66">
        <v>18821.099999999999</v>
      </c>
      <c r="AN7" s="113">
        <v>515112</v>
      </c>
      <c r="AO7" s="67">
        <v>7512051</v>
      </c>
      <c r="AP7" s="67">
        <v>233.65100000000001</v>
      </c>
      <c r="AQ7" s="67">
        <v>233651</v>
      </c>
      <c r="AR7" s="114">
        <v>233650904</v>
      </c>
      <c r="AS7" s="121">
        <v>0.42453600000000002</v>
      </c>
      <c r="AT7" s="121">
        <v>1.04905E-2</v>
      </c>
      <c r="AU7" s="68">
        <v>424536</v>
      </c>
      <c r="AV7" s="68">
        <v>4245.3599999999997</v>
      </c>
      <c r="AW7" s="68">
        <v>4.2453600000000001E-3</v>
      </c>
      <c r="AX7" s="68">
        <v>42.453600000000002</v>
      </c>
      <c r="AY7" s="68">
        <v>42453600</v>
      </c>
      <c r="AZ7" s="68">
        <v>456.96699999999998</v>
      </c>
      <c r="BA7" s="216">
        <v>65803.199999999997</v>
      </c>
      <c r="BB7" s="255">
        <f>(J7-AF7)/J7</f>
        <v>2.1468167088921683E-6</v>
      </c>
      <c r="BC7" s="256">
        <f>(K7-AG7)/K7</f>
        <v>-9.7350516401977493E-6</v>
      </c>
      <c r="BD7" s="38">
        <f t="shared" ref="BD7:BW7" si="0">(L7-AH7)/L7</f>
        <v>-2.1252747443978168E-7</v>
      </c>
      <c r="BE7" s="37">
        <f t="shared" si="0"/>
        <v>-2.1252747437792803E-7</v>
      </c>
      <c r="BF7" s="37">
        <f t="shared" si="0"/>
        <v>-2.1252747455672371E-7</v>
      </c>
      <c r="BG7" s="37">
        <f t="shared" si="0"/>
        <v>0</v>
      </c>
      <c r="BH7" s="37">
        <f t="shared" si="0"/>
        <v>-2.1252747451897124E-7</v>
      </c>
      <c r="BI7" s="38">
        <f t="shared" si="0"/>
        <v>-2.1252747433926952E-7</v>
      </c>
      <c r="BJ7" s="105">
        <f t="shared" si="0"/>
        <v>1.3151348847361378E-7</v>
      </c>
      <c r="BK7" s="39">
        <f t="shared" si="0"/>
        <v>-1.6059486303700156E-9</v>
      </c>
      <c r="BL7" s="39">
        <f t="shared" si="0"/>
        <v>-4.1247995648408801E-7</v>
      </c>
      <c r="BM7" s="39">
        <f t="shared" si="0"/>
        <v>-4.124799564685179E-7</v>
      </c>
      <c r="BN7" s="106">
        <f t="shared" si="0"/>
        <v>-1.6105846149188675E-9</v>
      </c>
      <c r="BO7" s="38">
        <f t="shared" si="0"/>
        <v>0</v>
      </c>
      <c r="BP7" s="37">
        <f t="shared" si="0"/>
        <v>1.2413744135491972E-6</v>
      </c>
      <c r="BQ7" s="37">
        <f t="shared" si="0"/>
        <v>0</v>
      </c>
      <c r="BR7" s="37">
        <f t="shared" si="0"/>
        <v>2.1423264499899376E-16</v>
      </c>
      <c r="BS7" s="37">
        <f t="shared" si="0"/>
        <v>0</v>
      </c>
      <c r="BT7" s="37">
        <f t="shared" si="0"/>
        <v>0</v>
      </c>
      <c r="BU7" s="37">
        <f t="shared" si="0"/>
        <v>0</v>
      </c>
      <c r="BV7" s="37">
        <f t="shared" si="0"/>
        <v>-5.5306687775055353E-7</v>
      </c>
      <c r="BW7" s="40">
        <f t="shared" si="0"/>
        <v>1.7638080163623087E-7</v>
      </c>
    </row>
    <row r="8" spans="2:75" x14ac:dyDescent="0.25">
      <c r="B8" s="159">
        <v>1333</v>
      </c>
      <c r="C8" s="100">
        <f t="shared" ref="C8:C14" si="1">SQRT(2)*B8</f>
        <v>1885.1466786433359</v>
      </c>
      <c r="D8" s="173">
        <f t="shared" ref="D8:D14" si="2">SQRT(3)*B8</f>
        <v>2308.8237264893132</v>
      </c>
      <c r="E8" s="156" t="s">
        <v>3</v>
      </c>
      <c r="F8" s="59"/>
      <c r="G8" s="4">
        <v>345</v>
      </c>
      <c r="H8" s="58"/>
      <c r="I8" s="55"/>
      <c r="J8" s="289">
        <f t="shared" ref="J8:J14" si="3">SQRT(2)*B8</f>
        <v>1885.1466786433359</v>
      </c>
      <c r="K8" s="290">
        <f t="shared" ref="K8:K14" si="4">SQRT(3)*B8</f>
        <v>2308.8237264893132</v>
      </c>
      <c r="L8" s="69">
        <f t="shared" ref="L8:L14" si="5">P8*100000</f>
        <v>6707108566760.8389</v>
      </c>
      <c r="M8" s="70">
        <f t="shared" ref="M8:M14" si="6">P8*10000</f>
        <v>670710856676.08386</v>
      </c>
      <c r="N8" s="70">
        <f t="shared" ref="N8:N14" si="7">P8*10</f>
        <v>670710856.67608392</v>
      </c>
      <c r="O8" s="70">
        <f t="shared" ref="O8:O14" si="8">P8*1000000</f>
        <v>67071085667608.391</v>
      </c>
      <c r="P8" s="70">
        <f>(B8^3)*0.3048^3</f>
        <v>67071085.667608388</v>
      </c>
      <c r="Q8" s="71">
        <f t="shared" ref="Q8:Q14" si="9">P8*1000</f>
        <v>67071085667.608391</v>
      </c>
      <c r="R8" s="115">
        <f t="shared" ref="R8:R14" si="10">U8/0.45359237</f>
        <v>51013919293494.492</v>
      </c>
      <c r="S8" s="72">
        <f t="shared" ref="S8:S14" si="11">U8*1000/31.1034768</f>
        <v>743952989696794.87</v>
      </c>
      <c r="T8" s="72">
        <f t="shared" ref="T8:T14" si="12">U8/1000</f>
        <v>23139524555.324894</v>
      </c>
      <c r="U8" s="72">
        <f>P8*1000*G8</f>
        <v>23139524555324.895</v>
      </c>
      <c r="V8" s="116">
        <f t="shared" ref="V8:V14" si="13">U8*1000</f>
        <v>2.3139524555324896E+16</v>
      </c>
      <c r="W8" s="81">
        <f t="shared" ref="W8:W14" si="14">AB8/100</f>
        <v>9904.7033905536009</v>
      </c>
      <c r="X8" s="73">
        <f t="shared" ref="X8:X14" si="15">AB8/4046.8564224</f>
        <v>244.75055096418734</v>
      </c>
      <c r="Y8" s="73">
        <f t="shared" ref="Y8:Y14" si="16">AB8*10000</f>
        <v>9904703390.5536003</v>
      </c>
      <c r="Z8" s="73">
        <f t="shared" ref="Z8:Z14" si="17">AB8*100</f>
        <v>99047033.905536011</v>
      </c>
      <c r="AA8" s="73">
        <f t="shared" ref="AA8:AA14" si="18">AB8/10000</f>
        <v>99.047033905536011</v>
      </c>
      <c r="AB8" s="73">
        <f>(6*B8^2)*0.3048^2</f>
        <v>990470.33905536006</v>
      </c>
      <c r="AC8" s="73">
        <f t="shared" ref="AC8:AC14" si="19">AB8*1000000</f>
        <v>990470339055.36011</v>
      </c>
      <c r="AD8" s="73">
        <f t="shared" ref="AD8:AD14" si="20">AB8/144*10000/(2.54*2.54)</f>
        <v>10661334.000000002</v>
      </c>
      <c r="AE8" s="81">
        <f t="shared" ref="AE8:AE14" si="21">AB8*10000/(2.54 *2.54)</f>
        <v>1535232096</v>
      </c>
      <c r="AF8" s="289">
        <v>1885.1</v>
      </c>
      <c r="AG8" s="290">
        <v>2308.8000000000002</v>
      </c>
      <c r="AH8" s="69">
        <v>6707108566761</v>
      </c>
      <c r="AI8" s="70">
        <v>670710856676</v>
      </c>
      <c r="AJ8" s="70">
        <v>670710857</v>
      </c>
      <c r="AK8" s="70">
        <v>67071085667608</v>
      </c>
      <c r="AL8" s="70">
        <v>67071086</v>
      </c>
      <c r="AM8" s="71">
        <v>67071085668</v>
      </c>
      <c r="AN8" s="115">
        <v>51013919293494</v>
      </c>
      <c r="AO8" s="72">
        <v>743952989696795</v>
      </c>
      <c r="AP8" s="72">
        <v>23139524555</v>
      </c>
      <c r="AQ8" s="72">
        <v>23139524555325</v>
      </c>
      <c r="AR8" s="116">
        <v>2.31395245553249E+16</v>
      </c>
      <c r="AS8" s="123">
        <v>9904.7000000000007</v>
      </c>
      <c r="AT8" s="123">
        <v>244.751</v>
      </c>
      <c r="AU8" s="73">
        <v>9904703391</v>
      </c>
      <c r="AV8" s="73">
        <v>99047034</v>
      </c>
      <c r="AW8" s="73">
        <v>99.046999999999997</v>
      </c>
      <c r="AX8" s="73">
        <v>990470</v>
      </c>
      <c r="AY8" s="73">
        <v>990470339055</v>
      </c>
      <c r="AZ8" s="73">
        <v>10661334</v>
      </c>
      <c r="BA8" s="218">
        <v>1535232096</v>
      </c>
      <c r="BB8" s="257">
        <f t="shared" ref="BB8:BB14" si="22">(J8-AF8)/J8</f>
        <v>2.4761279249422226E-5</v>
      </c>
      <c r="BC8" s="258">
        <f t="shared" ref="BC8:BC14" si="23">(K8-AG8)/K8</f>
        <v>1.0276440353948555E-5</v>
      </c>
      <c r="BD8" s="43">
        <f t="shared" ref="BD8:BI14" si="24">(L8-AH8)/L8</f>
        <v>-2.402418432564872E-14</v>
      </c>
      <c r="BE8" s="42">
        <f t="shared" si="24"/>
        <v>1.2503495933121722E-13</v>
      </c>
      <c r="BF8" s="42">
        <f t="shared" si="24"/>
        <v>-4.8294443781497338E-10</v>
      </c>
      <c r="BG8" s="42">
        <f t="shared" si="24"/>
        <v>5.8240446850057506E-15</v>
      </c>
      <c r="BH8" s="42">
        <f t="shared" si="24"/>
        <v>-4.9558108225502917E-9</v>
      </c>
      <c r="BI8" s="43">
        <f t="shared" si="24"/>
        <v>-5.8387185475910186E-12</v>
      </c>
      <c r="BJ8" s="107">
        <f t="shared" ref="BJ8:BJ14" si="25">(R8-AN8)/R8</f>
        <v>9.6481020634453748E-15</v>
      </c>
      <c r="BK8" s="44">
        <f t="shared" ref="BK8:BW14" si="26">(S8-AO8)/S8</f>
        <v>-1.6802136926816429E-16</v>
      </c>
      <c r="BL8" s="44">
        <f t="shared" si="26"/>
        <v>1.4040649393604358E-11</v>
      </c>
      <c r="BM8" s="44">
        <f t="shared" si="26"/>
        <v>-4.5579480143523265E-15</v>
      </c>
      <c r="BN8" s="108">
        <f t="shared" si="26"/>
        <v>-1.7286439876654748E-16</v>
      </c>
      <c r="BO8" s="43">
        <f t="shared" si="26"/>
        <v>3.4231753001484012E-7</v>
      </c>
      <c r="BP8" s="42">
        <f t="shared" si="26"/>
        <v>-1.8346672189115424E-6</v>
      </c>
      <c r="BQ8" s="42">
        <f t="shared" si="26"/>
        <v>-4.5069465598177056E-11</v>
      </c>
      <c r="BR8" s="42">
        <f t="shared" si="26"/>
        <v>-9.537286015924134E-10</v>
      </c>
      <c r="BS8" s="42">
        <f t="shared" si="26"/>
        <v>3.4231753014109885E-7</v>
      </c>
      <c r="BT8" s="42">
        <f t="shared" si="26"/>
        <v>3.423175300589159E-7</v>
      </c>
      <c r="BU8" s="42">
        <f t="shared" si="26"/>
        <v>3.6357214110868251E-13</v>
      </c>
      <c r="BV8" s="42">
        <f t="shared" si="26"/>
        <v>1.7471032698449899E-16</v>
      </c>
      <c r="BW8" s="45">
        <f t="shared" si="26"/>
        <v>0</v>
      </c>
    </row>
    <row r="9" spans="2:75" x14ac:dyDescent="0.25">
      <c r="B9" s="159">
        <v>655</v>
      </c>
      <c r="C9" s="100">
        <f t="shared" si="1"/>
        <v>926.30988335437735</v>
      </c>
      <c r="D9" s="173">
        <f t="shared" si="2"/>
        <v>1134.4932789576146</v>
      </c>
      <c r="E9" s="156" t="s">
        <v>4</v>
      </c>
      <c r="F9" s="11">
        <v>320</v>
      </c>
      <c r="G9" s="56"/>
      <c r="H9" s="56"/>
      <c r="I9" s="55"/>
      <c r="J9" s="289">
        <f t="shared" si="3"/>
        <v>926.30988335437735</v>
      </c>
      <c r="K9" s="290">
        <f t="shared" si="4"/>
        <v>1134.4932789576146</v>
      </c>
      <c r="L9" s="69">
        <f t="shared" si="5"/>
        <v>460495138.68529993</v>
      </c>
      <c r="M9" s="70">
        <f t="shared" si="6"/>
        <v>46049513.86852999</v>
      </c>
      <c r="N9" s="70">
        <f t="shared" si="7"/>
        <v>46049.51386852999</v>
      </c>
      <c r="O9" s="70">
        <f t="shared" si="8"/>
        <v>4604951386.8529997</v>
      </c>
      <c r="P9" s="70">
        <f>(B9^3)*(2.54/100)^3</f>
        <v>4604.9513868529993</v>
      </c>
      <c r="Q9" s="71">
        <f t="shared" si="9"/>
        <v>4604951.3868529992</v>
      </c>
      <c r="R9" s="115">
        <f t="shared" si="10"/>
        <v>3248697.5999904047</v>
      </c>
      <c r="S9" s="72">
        <f t="shared" si="11"/>
        <v>47376839.999860071</v>
      </c>
      <c r="T9" s="72">
        <f t="shared" si="12"/>
        <v>1473.5844437929597</v>
      </c>
      <c r="U9" s="72">
        <f>P9*F9</f>
        <v>1473584.4437929597</v>
      </c>
      <c r="V9" s="116">
        <f t="shared" si="13"/>
        <v>1473584443.7929597</v>
      </c>
      <c r="W9" s="81">
        <f t="shared" si="14"/>
        <v>16.607386139999999</v>
      </c>
      <c r="X9" s="73">
        <f t="shared" si="15"/>
        <v>0.41037744872972143</v>
      </c>
      <c r="Y9" s="73">
        <f t="shared" si="16"/>
        <v>16607386.139999999</v>
      </c>
      <c r="Z9" s="73">
        <f t="shared" si="17"/>
        <v>166073.86139999999</v>
      </c>
      <c r="AA9" s="73">
        <f t="shared" si="18"/>
        <v>0.16607386139999999</v>
      </c>
      <c r="AB9" s="73">
        <f>(6*B9^2)*(2.54/100)^2</f>
        <v>1660.7386139999999</v>
      </c>
      <c r="AC9" s="73">
        <f t="shared" si="19"/>
        <v>1660738613.9999998</v>
      </c>
      <c r="AD9" s="73">
        <f t="shared" si="20"/>
        <v>17876.041666666668</v>
      </c>
      <c r="AE9" s="81">
        <f t="shared" si="21"/>
        <v>2574150</v>
      </c>
      <c r="AF9" s="289">
        <v>926.31</v>
      </c>
      <c r="AG9" s="290">
        <v>1134.5</v>
      </c>
      <c r="AH9" s="69">
        <v>460495139</v>
      </c>
      <c r="AI9" s="70">
        <v>46049514</v>
      </c>
      <c r="AJ9" s="70">
        <v>46049.5</v>
      </c>
      <c r="AK9" s="70">
        <v>4604951387</v>
      </c>
      <c r="AL9" s="70">
        <v>4604.95</v>
      </c>
      <c r="AM9" s="71">
        <v>4604951</v>
      </c>
      <c r="AN9" s="115">
        <v>3248698</v>
      </c>
      <c r="AO9" s="72">
        <v>47376840</v>
      </c>
      <c r="AP9" s="72">
        <v>1473.58</v>
      </c>
      <c r="AQ9" s="72">
        <v>1473584</v>
      </c>
      <c r="AR9" s="116">
        <v>1473584444</v>
      </c>
      <c r="AS9" s="123">
        <v>16.607399999999998</v>
      </c>
      <c r="AT9" s="123">
        <v>0.41037699999999999</v>
      </c>
      <c r="AU9" s="73">
        <v>16607386</v>
      </c>
      <c r="AV9" s="73">
        <v>166074</v>
      </c>
      <c r="AW9" s="73">
        <v>0.166074</v>
      </c>
      <c r="AX9" s="73">
        <v>1660.74</v>
      </c>
      <c r="AY9" s="73">
        <v>1660738614</v>
      </c>
      <c r="AZ9" s="73">
        <v>17876</v>
      </c>
      <c r="BA9" s="218">
        <v>2574150</v>
      </c>
      <c r="BB9" s="257">
        <f t="shared" si="22"/>
        <v>-1.2592505455624494E-7</v>
      </c>
      <c r="BC9" s="258">
        <f t="shared" si="23"/>
        <v>-5.9242681380666933E-6</v>
      </c>
      <c r="BD9" s="43">
        <f t="shared" si="24"/>
        <v>-6.8339498206596465E-10</v>
      </c>
      <c r="BE9" s="42">
        <f t="shared" si="24"/>
        <v>-2.8549706313926721E-9</v>
      </c>
      <c r="BF9" s="42">
        <f t="shared" si="24"/>
        <v>3.0116561120371482E-7</v>
      </c>
      <c r="BG9" s="42">
        <f t="shared" si="24"/>
        <v>-3.1922229021756309E-11</v>
      </c>
      <c r="BH9" s="42">
        <f t="shared" si="24"/>
        <v>3.01165611322217E-7</v>
      </c>
      <c r="BI9" s="43">
        <f t="shared" si="24"/>
        <v>8.4008052793404549E-8</v>
      </c>
      <c r="BJ9" s="107">
        <f t="shared" si="25"/>
        <v>-1.2312921809790344E-7</v>
      </c>
      <c r="BK9" s="44">
        <f t="shared" si="26"/>
        <v>-2.9535392016698393E-12</v>
      </c>
      <c r="BL9" s="44">
        <f t="shared" si="26"/>
        <v>3.015635092062122E-6</v>
      </c>
      <c r="BM9" s="44">
        <f t="shared" si="26"/>
        <v>3.0116561120371482E-7</v>
      </c>
      <c r="BN9" s="108">
        <f t="shared" si="26"/>
        <v>-1.4050115063178236E-10</v>
      </c>
      <c r="BO9" s="43">
        <f t="shared" si="26"/>
        <v>-8.3456841928136351E-7</v>
      </c>
      <c r="BP9" s="42">
        <f t="shared" si="26"/>
        <v>1.0934560922515685E-6</v>
      </c>
      <c r="BQ9" s="42">
        <f t="shared" si="26"/>
        <v>8.4299839573310064E-9</v>
      </c>
      <c r="BR9" s="42">
        <f t="shared" si="26"/>
        <v>-8.3456841936042969E-7</v>
      </c>
      <c r="BS9" s="42">
        <f t="shared" si="26"/>
        <v>-8.3456841935489973E-7</v>
      </c>
      <c r="BT9" s="42">
        <f t="shared" si="26"/>
        <v>-8.345684194097177E-7</v>
      </c>
      <c r="BU9" s="42">
        <f t="shared" si="26"/>
        <v>-1.4356177250995292E-16</v>
      </c>
      <c r="BV9" s="42">
        <f t="shared" si="26"/>
        <v>2.3308664996890712E-6</v>
      </c>
      <c r="BW9" s="45">
        <f t="shared" si="26"/>
        <v>0</v>
      </c>
    </row>
    <row r="10" spans="2:75" x14ac:dyDescent="0.25">
      <c r="B10" s="159">
        <v>2334</v>
      </c>
      <c r="C10" s="100">
        <f t="shared" si="1"/>
        <v>3300.7744545788041</v>
      </c>
      <c r="D10" s="173">
        <f t="shared" si="2"/>
        <v>4042.6065848657595</v>
      </c>
      <c r="E10" s="156" t="s">
        <v>5</v>
      </c>
      <c r="F10" s="59"/>
      <c r="G10" s="5">
        <v>220</v>
      </c>
      <c r="H10" s="56"/>
      <c r="I10" s="57"/>
      <c r="J10" s="289">
        <f t="shared" si="3"/>
        <v>3300.7744545788041</v>
      </c>
      <c r="K10" s="290">
        <f t="shared" si="4"/>
        <v>4042.6065848657595</v>
      </c>
      <c r="L10" s="69">
        <f t="shared" si="5"/>
        <v>1271459570400000</v>
      </c>
      <c r="M10" s="70">
        <f t="shared" si="6"/>
        <v>127145957040000</v>
      </c>
      <c r="N10" s="70">
        <f t="shared" si="7"/>
        <v>127145957040</v>
      </c>
      <c r="O10" s="70">
        <f t="shared" si="8"/>
        <v>1.2714595704E+16</v>
      </c>
      <c r="P10" s="70">
        <f>B10^3</f>
        <v>12714595704</v>
      </c>
      <c r="Q10" s="71">
        <f t="shared" si="9"/>
        <v>12714595704000</v>
      </c>
      <c r="R10" s="115">
        <f t="shared" si="10"/>
        <v>6166794769673925</v>
      </c>
      <c r="S10" s="72">
        <f t="shared" si="11"/>
        <v>8.9932423724411408E+16</v>
      </c>
      <c r="T10" s="72">
        <f t="shared" si="12"/>
        <v>2797211054880</v>
      </c>
      <c r="U10" s="72">
        <f>P10*1000*G10</f>
        <v>2797211054880000</v>
      </c>
      <c r="V10" s="116">
        <f t="shared" si="13"/>
        <v>2.79721105488E+18</v>
      </c>
      <c r="W10" s="81">
        <f t="shared" si="14"/>
        <v>326853.36</v>
      </c>
      <c r="X10" s="73">
        <f t="shared" si="15"/>
        <v>8076.7224206624714</v>
      </c>
      <c r="Y10" s="73">
        <f t="shared" si="16"/>
        <v>326853360000</v>
      </c>
      <c r="Z10" s="73">
        <f t="shared" si="17"/>
        <v>3268533600</v>
      </c>
      <c r="AA10" s="73">
        <f t="shared" si="18"/>
        <v>3268.5336000000002</v>
      </c>
      <c r="AB10" s="73">
        <f>6*B10^2</f>
        <v>32685336</v>
      </c>
      <c r="AC10" s="73">
        <f t="shared" si="19"/>
        <v>32685336000000</v>
      </c>
      <c r="AD10" s="73">
        <f t="shared" si="20"/>
        <v>351822028.64405727</v>
      </c>
      <c r="AE10" s="81">
        <f t="shared" si="21"/>
        <v>50662372124.744247</v>
      </c>
      <c r="AF10" s="289">
        <v>3300.8</v>
      </c>
      <c r="AG10" s="290">
        <v>4042.6</v>
      </c>
      <c r="AH10" s="69">
        <v>1271459570400000</v>
      </c>
      <c r="AI10" s="70">
        <v>127145957040000</v>
      </c>
      <c r="AJ10" s="70">
        <v>127145957040</v>
      </c>
      <c r="AK10" s="70">
        <v>1.2714595704E+16</v>
      </c>
      <c r="AL10" s="70">
        <v>12714595704</v>
      </c>
      <c r="AM10" s="71">
        <v>12714595704000</v>
      </c>
      <c r="AN10" s="115">
        <v>6166794769673930</v>
      </c>
      <c r="AO10" s="72">
        <v>8.9932423724411392E+16</v>
      </c>
      <c r="AP10" s="72">
        <v>2797211054880</v>
      </c>
      <c r="AQ10" s="72">
        <v>2797211054880000</v>
      </c>
      <c r="AR10" s="116">
        <v>2.79721105488E+18</v>
      </c>
      <c r="AS10" s="123">
        <v>326853</v>
      </c>
      <c r="AT10" s="123">
        <v>8076.72</v>
      </c>
      <c r="AU10" s="73">
        <v>326853360000</v>
      </c>
      <c r="AV10" s="73">
        <v>3268533600</v>
      </c>
      <c r="AW10" s="73">
        <v>3268.53</v>
      </c>
      <c r="AX10" s="73">
        <v>32685336</v>
      </c>
      <c r="AY10" s="73">
        <v>32685336000000</v>
      </c>
      <c r="AZ10" s="73">
        <v>351822029</v>
      </c>
      <c r="BA10" s="218">
        <v>50662372125</v>
      </c>
      <c r="BB10" s="257">
        <f t="shared" si="22"/>
        <v>-7.7392204610104379E-6</v>
      </c>
      <c r="BC10" s="258">
        <f t="shared" si="23"/>
        <v>1.6288663319922366E-6</v>
      </c>
      <c r="BD10" s="43">
        <f t="shared" si="24"/>
        <v>0</v>
      </c>
      <c r="BE10" s="42">
        <f t="shared" si="24"/>
        <v>0</v>
      </c>
      <c r="BF10" s="42">
        <f t="shared" si="24"/>
        <v>0</v>
      </c>
      <c r="BG10" s="42">
        <f t="shared" si="24"/>
        <v>0</v>
      </c>
      <c r="BH10" s="42">
        <f t="shared" si="24"/>
        <v>0</v>
      </c>
      <c r="BI10" s="43">
        <f t="shared" si="24"/>
        <v>0</v>
      </c>
      <c r="BJ10" s="107">
        <f t="shared" si="25"/>
        <v>-8.1079396781423612E-16</v>
      </c>
      <c r="BK10" s="44">
        <f t="shared" si="26"/>
        <v>1.7791136208038094E-16</v>
      </c>
      <c r="BL10" s="44">
        <f t="shared" si="26"/>
        <v>0</v>
      </c>
      <c r="BM10" s="44">
        <f t="shared" si="26"/>
        <v>0</v>
      </c>
      <c r="BN10" s="108">
        <f t="shared" si="26"/>
        <v>0</v>
      </c>
      <c r="BO10" s="43">
        <f t="shared" si="26"/>
        <v>1.1014113484592302E-6</v>
      </c>
      <c r="BP10" s="42">
        <f t="shared" si="26"/>
        <v>2.9970851356763011E-7</v>
      </c>
      <c r="BQ10" s="42">
        <f t="shared" si="26"/>
        <v>0</v>
      </c>
      <c r="BR10" s="42">
        <f t="shared" si="26"/>
        <v>0</v>
      </c>
      <c r="BS10" s="42">
        <f t="shared" si="26"/>
        <v>1.1014113485037513E-6</v>
      </c>
      <c r="BT10" s="42">
        <f t="shared" si="26"/>
        <v>0</v>
      </c>
      <c r="BU10" s="42">
        <f t="shared" si="26"/>
        <v>0</v>
      </c>
      <c r="BV10" s="42">
        <f t="shared" si="26"/>
        <v>-1.0117124487829203E-9</v>
      </c>
      <c r="BW10" s="45">
        <f t="shared" si="26"/>
        <v>-5.0481758502509831E-12</v>
      </c>
    </row>
    <row r="11" spans="2:75" x14ac:dyDescent="0.25">
      <c r="B11" s="160">
        <v>0.65</v>
      </c>
      <c r="C11" s="100">
        <f t="shared" si="1"/>
        <v>0.91923881554251186</v>
      </c>
      <c r="D11" s="173">
        <f t="shared" si="2"/>
        <v>1.1258330249197701</v>
      </c>
      <c r="E11" s="156" t="s">
        <v>6</v>
      </c>
      <c r="F11" s="59"/>
      <c r="G11" s="58"/>
      <c r="H11" s="4">
        <v>760</v>
      </c>
      <c r="I11" s="55"/>
      <c r="J11" s="289">
        <f t="shared" si="3"/>
        <v>0.91923881554251186</v>
      </c>
      <c r="K11" s="290">
        <f t="shared" si="4"/>
        <v>1.1258330249197701</v>
      </c>
      <c r="L11" s="69">
        <f t="shared" si="5"/>
        <v>114468693381161.95</v>
      </c>
      <c r="M11" s="70">
        <f t="shared" si="6"/>
        <v>11446869338116.195</v>
      </c>
      <c r="N11" s="70">
        <f t="shared" si="7"/>
        <v>11446869338.116196</v>
      </c>
      <c r="O11" s="70">
        <f t="shared" si="8"/>
        <v>1144686933811619.5</v>
      </c>
      <c r="P11" s="70">
        <f>(B11^3)*(63360*2.54/100)^3</f>
        <v>1144686933.8116195</v>
      </c>
      <c r="Q11" s="71">
        <f t="shared" si="9"/>
        <v>1144686933811.6196</v>
      </c>
      <c r="R11" s="115">
        <f t="shared" si="10"/>
        <v>30722420551680</v>
      </c>
      <c r="S11" s="72">
        <f t="shared" si="11"/>
        <v>448035299712000.06</v>
      </c>
      <c r="T11" s="72">
        <f t="shared" si="12"/>
        <v>13935455550.173241</v>
      </c>
      <c r="U11" s="72">
        <f>P11*(0.45359237/0.3048^3)*H11</f>
        <v>13935455550173.24</v>
      </c>
      <c r="V11" s="116">
        <f t="shared" si="13"/>
        <v>1.393545555017324E+16</v>
      </c>
      <c r="W11" s="81">
        <f t="shared" si="14"/>
        <v>65656.198597017617</v>
      </c>
      <c r="X11" s="73">
        <f t="shared" si="15"/>
        <v>1622.4</v>
      </c>
      <c r="Y11" s="73">
        <f t="shared" si="16"/>
        <v>65656198597.017609</v>
      </c>
      <c r="Z11" s="73">
        <f t="shared" si="17"/>
        <v>656561985.9701761</v>
      </c>
      <c r="AA11" s="73">
        <f t="shared" si="18"/>
        <v>656.56198597017612</v>
      </c>
      <c r="AB11" s="73">
        <f>(6*B11^2)*(63360*2.54/100)^2</f>
        <v>6565619.859701761</v>
      </c>
      <c r="AC11" s="73">
        <f t="shared" si="19"/>
        <v>6565619859701.7607</v>
      </c>
      <c r="AD11" s="73">
        <f t="shared" si="20"/>
        <v>70671744.000000015</v>
      </c>
      <c r="AE11" s="81">
        <f t="shared" si="21"/>
        <v>10176731136.000002</v>
      </c>
      <c r="AF11" s="289">
        <v>0.91920000000000002</v>
      </c>
      <c r="AG11" s="290">
        <v>1.1257999999999999</v>
      </c>
      <c r="AH11" s="69">
        <v>114468693381162</v>
      </c>
      <c r="AI11" s="70">
        <v>11446869338116</v>
      </c>
      <c r="AJ11" s="70">
        <v>11446869338</v>
      </c>
      <c r="AK11" s="70">
        <v>1144686933811620</v>
      </c>
      <c r="AL11" s="70">
        <v>1144686934</v>
      </c>
      <c r="AM11" s="71">
        <v>1144686933812</v>
      </c>
      <c r="AN11" s="115">
        <v>30722420551680</v>
      </c>
      <c r="AO11" s="72">
        <v>448035299712000</v>
      </c>
      <c r="AP11" s="72">
        <v>13935455550</v>
      </c>
      <c r="AQ11" s="72">
        <v>13935455550173</v>
      </c>
      <c r="AR11" s="116">
        <v>1.39354555501732E+16</v>
      </c>
      <c r="AS11" s="123">
        <v>65656.2</v>
      </c>
      <c r="AT11" s="123">
        <v>1622.4</v>
      </c>
      <c r="AU11" s="73">
        <v>65656198597</v>
      </c>
      <c r="AV11" s="73">
        <v>656561986</v>
      </c>
      <c r="AW11" s="73">
        <v>656.56200000000001</v>
      </c>
      <c r="AX11" s="73">
        <v>6565620</v>
      </c>
      <c r="AY11" s="73">
        <v>6565619859702</v>
      </c>
      <c r="AZ11" s="73">
        <v>70671744</v>
      </c>
      <c r="BA11" s="218">
        <v>10176731136</v>
      </c>
      <c r="BB11" s="257">
        <f t="shared" si="22"/>
        <v>4.2225743577778143E-5</v>
      </c>
      <c r="BC11" s="258">
        <f t="shared" si="23"/>
        <v>2.9333763568137028E-5</v>
      </c>
      <c r="BD11" s="43">
        <f t="shared" si="24"/>
        <v>-4.0950061204869306E-16</v>
      </c>
      <c r="BE11" s="42">
        <f t="shared" si="24"/>
        <v>1.7062525502028876E-14</v>
      </c>
      <c r="BF11" s="42">
        <f t="shared" si="24"/>
        <v>1.0150869663902335E-11</v>
      </c>
      <c r="BG11" s="42">
        <f t="shared" si="24"/>
        <v>-4.368006528519393E-16</v>
      </c>
      <c r="BH11" s="42">
        <f t="shared" si="24"/>
        <v>-1.6456943313342977E-10</v>
      </c>
      <c r="BI11" s="43">
        <f t="shared" si="24"/>
        <v>-3.3229268415201235E-13</v>
      </c>
      <c r="BJ11" s="107">
        <f t="shared" si="25"/>
        <v>0</v>
      </c>
      <c r="BK11" s="44">
        <f t="shared" si="26"/>
        <v>1.3949793697098285E-16</v>
      </c>
      <c r="BL11" s="44">
        <f t="shared" si="26"/>
        <v>1.2431646816091353E-11</v>
      </c>
      <c r="BM11" s="44">
        <f t="shared" si="26"/>
        <v>1.723907583322696E-14</v>
      </c>
      <c r="BN11" s="108">
        <f t="shared" si="26"/>
        <v>2.8703762037763263E-15</v>
      </c>
      <c r="BO11" s="43">
        <f t="shared" si="26"/>
        <v>-2.1368620322816077E-8</v>
      </c>
      <c r="BP11" s="42">
        <f t="shared" si="26"/>
        <v>0</v>
      </c>
      <c r="BQ11" s="42">
        <f t="shared" si="26"/>
        <v>2.6819467094345091E-13</v>
      </c>
      <c r="BR11" s="42">
        <f t="shared" si="26"/>
        <v>-4.5424346682262432E-11</v>
      </c>
      <c r="BS11" s="42">
        <f t="shared" si="26"/>
        <v>-2.1368620461339892E-8</v>
      </c>
      <c r="BT11" s="42">
        <f t="shared" si="26"/>
        <v>-2.1368620473529986E-8</v>
      </c>
      <c r="BU11" s="42">
        <f t="shared" si="26"/>
        <v>-3.644100901553995E-14</v>
      </c>
      <c r="BV11" s="42">
        <f t="shared" si="26"/>
        <v>2.1085033919422809E-16</v>
      </c>
      <c r="BW11" s="45">
        <f t="shared" si="26"/>
        <v>1.8742252372820275E-16</v>
      </c>
    </row>
    <row r="12" spans="2:75" x14ac:dyDescent="0.25">
      <c r="B12" s="159">
        <v>3567</v>
      </c>
      <c r="C12" s="100">
        <f t="shared" si="1"/>
        <v>5044.4997769848305</v>
      </c>
      <c r="D12" s="173">
        <f t="shared" si="2"/>
        <v>6178.2252305981847</v>
      </c>
      <c r="E12" s="156" t="s">
        <v>7</v>
      </c>
      <c r="F12" s="59"/>
      <c r="G12" s="58"/>
      <c r="H12" s="58"/>
      <c r="I12" s="14">
        <v>850</v>
      </c>
      <c r="J12" s="289">
        <f t="shared" si="3"/>
        <v>5044.4997769848305</v>
      </c>
      <c r="K12" s="290">
        <f t="shared" si="4"/>
        <v>6178.2252305981847</v>
      </c>
      <c r="L12" s="69">
        <f t="shared" si="5"/>
        <v>4538468.5263</v>
      </c>
      <c r="M12" s="70">
        <f t="shared" si="6"/>
        <v>453846.85263000004</v>
      </c>
      <c r="N12" s="70">
        <f t="shared" si="7"/>
        <v>453.84685263</v>
      </c>
      <c r="O12" s="70">
        <f t="shared" si="8"/>
        <v>45384685.263000004</v>
      </c>
      <c r="P12" s="70">
        <f>(B12^3)/1000^3</f>
        <v>45.384685263000001</v>
      </c>
      <c r="Q12" s="71">
        <f t="shared" si="9"/>
        <v>45384.685262999999</v>
      </c>
      <c r="R12" s="115">
        <f t="shared" si="10"/>
        <v>85047688.243852064</v>
      </c>
      <c r="S12" s="72">
        <f t="shared" si="11"/>
        <v>1240278786.8895094</v>
      </c>
      <c r="T12" s="72">
        <f t="shared" si="12"/>
        <v>38576.982473550001</v>
      </c>
      <c r="U12" s="72">
        <f>P12*1000*I12</f>
        <v>38576982.473549999</v>
      </c>
      <c r="V12" s="116">
        <f t="shared" si="13"/>
        <v>38576982473.550003</v>
      </c>
      <c r="W12" s="81">
        <f t="shared" si="14"/>
        <v>0.76340934000000005</v>
      </c>
      <c r="X12" s="73">
        <f t="shared" si="15"/>
        <v>1.8864255617629694E-2</v>
      </c>
      <c r="Y12" s="73">
        <f t="shared" si="16"/>
        <v>763409.34000000008</v>
      </c>
      <c r="Z12" s="73">
        <f t="shared" si="17"/>
        <v>7634.0934000000007</v>
      </c>
      <c r="AA12" s="73">
        <f t="shared" si="18"/>
        <v>7.6340934000000008E-3</v>
      </c>
      <c r="AB12" s="73">
        <f>(6*B12^2)/1000^2</f>
        <v>76.340934000000004</v>
      </c>
      <c r="AC12" s="73">
        <f t="shared" si="19"/>
        <v>76340934</v>
      </c>
      <c r="AD12" s="73">
        <f t="shared" si="20"/>
        <v>821.72697470394951</v>
      </c>
      <c r="AE12" s="81">
        <f t="shared" si="21"/>
        <v>118328.68435736872</v>
      </c>
      <c r="AF12" s="289">
        <v>5044.5</v>
      </c>
      <c r="AG12" s="290">
        <v>6178.2</v>
      </c>
      <c r="AH12" s="69">
        <v>4538469</v>
      </c>
      <c r="AI12" s="70">
        <v>453847</v>
      </c>
      <c r="AJ12" s="70">
        <v>453.84699999999998</v>
      </c>
      <c r="AK12" s="70">
        <v>45384685</v>
      </c>
      <c r="AL12" s="70">
        <v>45.384700000000002</v>
      </c>
      <c r="AM12" s="71">
        <v>45384.7</v>
      </c>
      <c r="AN12" s="115">
        <v>85047688</v>
      </c>
      <c r="AO12" s="72">
        <v>1240278787</v>
      </c>
      <c r="AP12" s="72">
        <v>38577</v>
      </c>
      <c r="AQ12" s="72">
        <v>38576982</v>
      </c>
      <c r="AR12" s="116">
        <v>38576982474</v>
      </c>
      <c r="AS12" s="123">
        <v>0.763409</v>
      </c>
      <c r="AT12" s="123">
        <v>1.8864300000000001E-2</v>
      </c>
      <c r="AU12" s="73">
        <v>763409</v>
      </c>
      <c r="AV12" s="73">
        <v>7634.09</v>
      </c>
      <c r="AW12" s="73">
        <v>7.6340899999999996E-3</v>
      </c>
      <c r="AX12" s="73">
        <v>76.340900000000005</v>
      </c>
      <c r="AY12" s="73">
        <v>76340934</v>
      </c>
      <c r="AZ12" s="73">
        <v>821.72699999999998</v>
      </c>
      <c r="BA12" s="218">
        <v>118329</v>
      </c>
      <c r="BB12" s="257">
        <f t="shared" si="22"/>
        <v>-4.4209570686281908E-8</v>
      </c>
      <c r="BC12" s="258">
        <f t="shared" si="23"/>
        <v>4.0837938474475637E-6</v>
      </c>
      <c r="BD12" s="43">
        <f t="shared" si="24"/>
        <v>-1.0437441556069647E-7</v>
      </c>
      <c r="BE12" s="42">
        <f t="shared" si="24"/>
        <v>-3.2471305928067546E-7</v>
      </c>
      <c r="BF12" s="42">
        <f t="shared" si="24"/>
        <v>-3.2471305931774893E-7</v>
      </c>
      <c r="BG12" s="42">
        <f t="shared" si="24"/>
        <v>5.7949064198517804E-9</v>
      </c>
      <c r="BH12" s="42">
        <f t="shared" si="24"/>
        <v>-3.2471305938037294E-7</v>
      </c>
      <c r="BI12" s="43">
        <f t="shared" si="24"/>
        <v>-3.24713059312739E-7</v>
      </c>
      <c r="BJ12" s="107">
        <f t="shared" si="25"/>
        <v>2.8672391813202371E-9</v>
      </c>
      <c r="BK12" s="44">
        <f t="shared" si="26"/>
        <v>-8.908526187786786E-11</v>
      </c>
      <c r="BL12" s="44">
        <f t="shared" si="26"/>
        <v>-4.543240262879461E-7</v>
      </c>
      <c r="BM12" s="44">
        <f t="shared" si="26"/>
        <v>1.2275454660595887E-8</v>
      </c>
      <c r="BN12" s="108">
        <f t="shared" si="26"/>
        <v>-1.1664907916287239E-11</v>
      </c>
      <c r="BO12" s="43">
        <f t="shared" si="26"/>
        <v>4.4537050076317328E-7</v>
      </c>
      <c r="BP12" s="42">
        <f t="shared" si="26"/>
        <v>-2.352723118595037E-6</v>
      </c>
      <c r="BQ12" s="42">
        <f t="shared" si="26"/>
        <v>4.4537050081653308E-7</v>
      </c>
      <c r="BR12" s="42">
        <f t="shared" si="26"/>
        <v>4.453705007736442E-7</v>
      </c>
      <c r="BS12" s="42">
        <f t="shared" si="26"/>
        <v>4.453705008586114E-7</v>
      </c>
      <c r="BT12" s="42">
        <f t="shared" si="26"/>
        <v>4.4537050069918423E-7</v>
      </c>
      <c r="BU12" s="42">
        <f t="shared" si="26"/>
        <v>0</v>
      </c>
      <c r="BV12" s="42">
        <f t="shared" si="26"/>
        <v>-3.0784008856303513E-8</v>
      </c>
      <c r="BW12" s="45">
        <f t="shared" si="26"/>
        <v>-2.66750731652471E-6</v>
      </c>
    </row>
    <row r="13" spans="2:75" x14ac:dyDescent="0.25">
      <c r="B13" s="159">
        <v>67</v>
      </c>
      <c r="C13" s="100">
        <f t="shared" si="1"/>
        <v>94.75230867899738</v>
      </c>
      <c r="D13" s="173">
        <f t="shared" si="2"/>
        <v>116.04740410711477</v>
      </c>
      <c r="E13" s="156" t="s">
        <v>8</v>
      </c>
      <c r="F13" s="11">
        <v>1200</v>
      </c>
      <c r="G13" s="58"/>
      <c r="H13" s="58"/>
      <c r="I13" s="55"/>
      <c r="J13" s="289">
        <f t="shared" si="3"/>
        <v>94.75230867899738</v>
      </c>
      <c r="K13" s="290">
        <f t="shared" si="4"/>
        <v>116.04740410711477</v>
      </c>
      <c r="L13" s="69">
        <f t="shared" si="5"/>
        <v>22994981275.184177</v>
      </c>
      <c r="M13" s="70">
        <f t="shared" si="6"/>
        <v>2299498127.5184178</v>
      </c>
      <c r="N13" s="70">
        <f t="shared" si="7"/>
        <v>2299498.1275184178</v>
      </c>
      <c r="O13" s="70">
        <f t="shared" si="8"/>
        <v>229949812751.8418</v>
      </c>
      <c r="P13" s="70">
        <f>(B13^3)*0.9144^3</f>
        <v>229949.81275184179</v>
      </c>
      <c r="Q13" s="71">
        <f t="shared" si="9"/>
        <v>229949812.75184178</v>
      </c>
      <c r="R13" s="115">
        <f t="shared" si="10"/>
        <v>608343070.89912057</v>
      </c>
      <c r="S13" s="72">
        <f t="shared" si="11"/>
        <v>8871669783.945509</v>
      </c>
      <c r="T13" s="72">
        <f t="shared" si="12"/>
        <v>275939.77530221012</v>
      </c>
      <c r="U13" s="72">
        <f>P13*F13</f>
        <v>275939775.30221015</v>
      </c>
      <c r="V13" s="116">
        <f t="shared" si="13"/>
        <v>275939775302.21014</v>
      </c>
      <c r="W13" s="81">
        <f t="shared" si="14"/>
        <v>225.2025431424</v>
      </c>
      <c r="X13" s="73">
        <f t="shared" si="15"/>
        <v>5.5648760330578506</v>
      </c>
      <c r="Y13" s="73">
        <f t="shared" si="16"/>
        <v>225202543.1424</v>
      </c>
      <c r="Z13" s="73">
        <f t="shared" si="17"/>
        <v>2252025.4314239998</v>
      </c>
      <c r="AA13" s="73">
        <f t="shared" si="18"/>
        <v>2.2520254314239998</v>
      </c>
      <c r="AB13" s="73">
        <f>(6*B13^2)*0.9144^2</f>
        <v>22520.254314239999</v>
      </c>
      <c r="AC13" s="73">
        <f t="shared" si="19"/>
        <v>22520254314.239998</v>
      </c>
      <c r="AD13" s="73">
        <f t="shared" si="20"/>
        <v>242406</v>
      </c>
      <c r="AE13" s="81">
        <f t="shared" si="21"/>
        <v>34906464</v>
      </c>
      <c r="AF13" s="289">
        <v>94.751999999999995</v>
      </c>
      <c r="AG13" s="290">
        <v>116.05</v>
      </c>
      <c r="AH13" s="69">
        <v>22994981275</v>
      </c>
      <c r="AI13" s="70">
        <v>2299498128</v>
      </c>
      <c r="AJ13" s="70">
        <v>2299498</v>
      </c>
      <c r="AK13" s="70">
        <v>229949812752</v>
      </c>
      <c r="AL13" s="70">
        <v>229950</v>
      </c>
      <c r="AM13" s="71">
        <v>229949813</v>
      </c>
      <c r="AN13" s="115">
        <v>608343071</v>
      </c>
      <c r="AO13" s="72">
        <v>8871669784</v>
      </c>
      <c r="AP13" s="72">
        <v>275940</v>
      </c>
      <c r="AQ13" s="72">
        <v>275939775</v>
      </c>
      <c r="AR13" s="116">
        <v>275939775302</v>
      </c>
      <c r="AS13" s="123">
        <v>225.203</v>
      </c>
      <c r="AT13" s="123">
        <v>5.5648799999999996</v>
      </c>
      <c r="AU13" s="73">
        <v>225202543</v>
      </c>
      <c r="AV13" s="73">
        <v>2252025</v>
      </c>
      <c r="AW13" s="73">
        <v>2.25203</v>
      </c>
      <c r="AX13" s="73">
        <v>22520.3</v>
      </c>
      <c r="AY13" s="73">
        <v>22520254314</v>
      </c>
      <c r="AZ13" s="73">
        <v>242406</v>
      </c>
      <c r="BA13" s="218">
        <v>34906464</v>
      </c>
      <c r="BB13" s="257">
        <f t="shared" si="22"/>
        <v>3.2577464516532701E-6</v>
      </c>
      <c r="BC13" s="258">
        <f t="shared" si="23"/>
        <v>-2.2369245613014267E-5</v>
      </c>
      <c r="BD13" s="43">
        <f t="shared" si="24"/>
        <v>8.0094606939472469E-12</v>
      </c>
      <c r="BE13" s="42">
        <f t="shared" si="24"/>
        <v>-2.0942924849611432E-10</v>
      </c>
      <c r="BF13" s="42">
        <f t="shared" si="24"/>
        <v>5.5454890896985472E-8</v>
      </c>
      <c r="BG13" s="42">
        <f t="shared" si="24"/>
        <v>-6.87989797020319E-13</v>
      </c>
      <c r="BH13" s="42">
        <f t="shared" si="24"/>
        <v>-8.1430011170523588E-7</v>
      </c>
      <c r="BI13" s="43">
        <f t="shared" si="24"/>
        <v>-1.079184251148962E-9</v>
      </c>
      <c r="BJ13" s="107">
        <f t="shared" si="25"/>
        <v>-1.6582654688870865E-10</v>
      </c>
      <c r="BK13" s="44">
        <f t="shared" si="26"/>
        <v>-6.1421405911014921E-12</v>
      </c>
      <c r="BL13" s="44">
        <f t="shared" si="26"/>
        <v>-8.1430011178961328E-7</v>
      </c>
      <c r="BM13" s="44">
        <f t="shared" si="26"/>
        <v>1.0952032986843557E-9</v>
      </c>
      <c r="BN13" s="108">
        <f t="shared" si="26"/>
        <v>7.615576360406888E-13</v>
      </c>
      <c r="BO13" s="43">
        <f t="shared" si="26"/>
        <v>-2.0286520463972458E-6</v>
      </c>
      <c r="BP13" s="42">
        <f t="shared" si="26"/>
        <v>-7.1285364227818167E-7</v>
      </c>
      <c r="BQ13" s="42">
        <f t="shared" si="26"/>
        <v>6.3231966447664148E-10</v>
      </c>
      <c r="BR13" s="42">
        <f t="shared" si="26"/>
        <v>1.915715487999653E-7</v>
      </c>
      <c r="BS13" s="42">
        <f t="shared" si="26"/>
        <v>-2.0286520464761241E-6</v>
      </c>
      <c r="BT13" s="42">
        <f t="shared" si="26"/>
        <v>-2.028652046407342E-6</v>
      </c>
      <c r="BU13" s="42">
        <f t="shared" si="26"/>
        <v>1.0656978399119406E-11</v>
      </c>
      <c r="BV13" s="42">
        <f t="shared" si="26"/>
        <v>0</v>
      </c>
      <c r="BW13" s="45">
        <f t="shared" si="26"/>
        <v>0</v>
      </c>
    </row>
    <row r="14" spans="2:75" ht="15.75" thickBot="1" x14ac:dyDescent="0.3">
      <c r="B14" s="161">
        <v>34</v>
      </c>
      <c r="C14" s="174">
        <f t="shared" si="1"/>
        <v>48.083261120685236</v>
      </c>
      <c r="D14" s="175">
        <f t="shared" si="2"/>
        <v>58.889727457341827</v>
      </c>
      <c r="E14" s="157" t="s">
        <v>43</v>
      </c>
      <c r="F14" s="63"/>
      <c r="G14" s="60"/>
      <c r="H14" s="60"/>
      <c r="I14" s="15">
        <v>650</v>
      </c>
      <c r="J14" s="291">
        <f t="shared" si="3"/>
        <v>48.083261120685236</v>
      </c>
      <c r="K14" s="292">
        <f t="shared" si="4"/>
        <v>58.889727457341827</v>
      </c>
      <c r="L14" s="79">
        <f t="shared" si="5"/>
        <v>3.9303999999999996E-9</v>
      </c>
      <c r="M14" s="74">
        <f t="shared" si="6"/>
        <v>3.9304000000000002E-10</v>
      </c>
      <c r="N14" s="74">
        <f t="shared" si="7"/>
        <v>3.9304000000000001E-13</v>
      </c>
      <c r="O14" s="74">
        <f t="shared" si="8"/>
        <v>3.9303999999999999E-8</v>
      </c>
      <c r="P14" s="74">
        <f>(B14^3)/1000000^3</f>
        <v>3.9304E-14</v>
      </c>
      <c r="Q14" s="75">
        <f t="shared" si="9"/>
        <v>3.9303999999999998E-11</v>
      </c>
      <c r="R14" s="117">
        <f t="shared" si="10"/>
        <v>5.6322816893943784E-8</v>
      </c>
      <c r="S14" s="76">
        <f t="shared" si="11"/>
        <v>8.2137441303668015E-7</v>
      </c>
      <c r="T14" s="76">
        <f t="shared" si="12"/>
        <v>2.5547599999999999E-11</v>
      </c>
      <c r="U14" s="76">
        <f>P14*1000*I14</f>
        <v>2.55476E-8</v>
      </c>
      <c r="V14" s="118">
        <f t="shared" si="13"/>
        <v>2.5547599999999999E-5</v>
      </c>
      <c r="W14" s="82">
        <f t="shared" si="14"/>
        <v>6.9360000000000007E-11</v>
      </c>
      <c r="X14" s="77">
        <f t="shared" si="15"/>
        <v>1.7139229258562587E-12</v>
      </c>
      <c r="Y14" s="77">
        <f t="shared" si="16"/>
        <v>6.936E-5</v>
      </c>
      <c r="Z14" s="77">
        <f t="shared" si="17"/>
        <v>6.9360000000000002E-7</v>
      </c>
      <c r="AA14" s="77">
        <f t="shared" si="18"/>
        <v>6.9359999999999999E-13</v>
      </c>
      <c r="AB14" s="77">
        <f>(6*B14^2)/1000000^2</f>
        <v>6.936E-9</v>
      </c>
      <c r="AC14" s="77">
        <f t="shared" si="19"/>
        <v>6.9360000000000003E-3</v>
      </c>
      <c r="AD14" s="77">
        <f t="shared" si="20"/>
        <v>7.4658482650298634E-8</v>
      </c>
      <c r="AE14" s="82">
        <f t="shared" si="21"/>
        <v>1.0750821501643003E-5</v>
      </c>
      <c r="AF14" s="291">
        <v>48.082999999999998</v>
      </c>
      <c r="AG14" s="292">
        <v>58.89</v>
      </c>
      <c r="AH14" s="79">
        <v>3.9304000000000004E-9</v>
      </c>
      <c r="AI14" s="74">
        <v>3.9304000000000002E-10</v>
      </c>
      <c r="AJ14" s="74">
        <v>3.9304000000000001E-13</v>
      </c>
      <c r="AK14" s="74">
        <v>3.9303999999999999E-8</v>
      </c>
      <c r="AL14" s="74">
        <v>3.9304E-14</v>
      </c>
      <c r="AM14" s="75">
        <v>3.9303999999999998E-11</v>
      </c>
      <c r="AN14" s="117">
        <v>5.6322816893943798E-8</v>
      </c>
      <c r="AO14" s="76">
        <v>8.2137441303668004E-7</v>
      </c>
      <c r="AP14" s="76">
        <v>2.5547599999999999E-11</v>
      </c>
      <c r="AQ14" s="76">
        <v>2.55476E-8</v>
      </c>
      <c r="AR14" s="118">
        <v>2.5547599999999999E-5</v>
      </c>
      <c r="AS14" s="125">
        <v>6.9359999999999994E-11</v>
      </c>
      <c r="AT14" s="125">
        <v>1.7139229258562601E-12</v>
      </c>
      <c r="AU14" s="77">
        <v>6.936E-5</v>
      </c>
      <c r="AV14" s="77">
        <v>6.9360000000000002E-7</v>
      </c>
      <c r="AW14" s="77">
        <v>6.9359999999999999E-13</v>
      </c>
      <c r="AX14" s="77">
        <v>6.936E-9</v>
      </c>
      <c r="AY14" s="77">
        <v>6.9360000000000003E-3</v>
      </c>
      <c r="AZ14" s="77">
        <v>7.4658482650298594E-8</v>
      </c>
      <c r="BA14" s="220">
        <v>1.0750821501642999E-5</v>
      </c>
      <c r="BB14" s="259">
        <f t="shared" si="22"/>
        <v>5.4305943305816437E-6</v>
      </c>
      <c r="BC14" s="260">
        <f t="shared" si="23"/>
        <v>-4.6280169724126953E-6</v>
      </c>
      <c r="BD14" s="48">
        <f t="shared" si="24"/>
        <v>-2.1045710679651633E-16</v>
      </c>
      <c r="BE14" s="47">
        <f t="shared" si="24"/>
        <v>0</v>
      </c>
      <c r="BF14" s="47">
        <f t="shared" si="24"/>
        <v>0</v>
      </c>
      <c r="BG14" s="47">
        <f t="shared" si="24"/>
        <v>0</v>
      </c>
      <c r="BH14" s="47">
        <f t="shared" si="24"/>
        <v>0</v>
      </c>
      <c r="BI14" s="48">
        <f t="shared" si="24"/>
        <v>0</v>
      </c>
      <c r="BJ14" s="109">
        <f t="shared" si="25"/>
        <v>-2.3498273933581523E-16</v>
      </c>
      <c r="BK14" s="49">
        <f t="shared" si="26"/>
        <v>1.2890481700707578E-16</v>
      </c>
      <c r="BL14" s="49">
        <f t="shared" si="26"/>
        <v>0</v>
      </c>
      <c r="BM14" s="49">
        <f t="shared" si="26"/>
        <v>0</v>
      </c>
      <c r="BN14" s="110">
        <f t="shared" si="26"/>
        <v>0</v>
      </c>
      <c r="BO14" s="48">
        <f t="shared" si="26"/>
        <v>1.8634222997608214E-16</v>
      </c>
      <c r="BP14" s="47">
        <f t="shared" si="26"/>
        <v>-8.2479714859395644E-16</v>
      </c>
      <c r="BQ14" s="47">
        <f t="shared" si="26"/>
        <v>0</v>
      </c>
      <c r="BR14" s="47">
        <f t="shared" si="26"/>
        <v>0</v>
      </c>
      <c r="BS14" s="47">
        <f t="shared" si="26"/>
        <v>0</v>
      </c>
      <c r="BT14" s="47">
        <f t="shared" si="26"/>
        <v>0</v>
      </c>
      <c r="BU14" s="47">
        <f t="shared" si="26"/>
        <v>0</v>
      </c>
      <c r="BV14" s="47">
        <f t="shared" si="26"/>
        <v>5.3181725629922791E-16</v>
      </c>
      <c r="BW14" s="50">
        <f t="shared" si="26"/>
        <v>3.1515096669583877E-16</v>
      </c>
    </row>
    <row r="15" spans="2:75" ht="15.75" thickTop="1" x14ac:dyDescent="0.25"/>
    <row r="16" spans="2:75" ht="15.75" thickBot="1" x14ac:dyDescent="0.3"/>
    <row r="17" spans="2:75" ht="30.75" customHeight="1" thickTop="1" thickBot="1" x14ac:dyDescent="0.3">
      <c r="B17" s="83" t="s">
        <v>46</v>
      </c>
      <c r="C17" s="134"/>
      <c r="D17" s="134"/>
      <c r="E17" s="346" t="s">
        <v>61</v>
      </c>
      <c r="F17" s="347"/>
      <c r="G17" s="347"/>
      <c r="H17" s="347"/>
      <c r="I17" s="348"/>
    </row>
    <row r="18" spans="2:75" ht="16.5" customHeight="1" thickTop="1" thickBot="1" x14ac:dyDescent="0.3">
      <c r="B18" s="337" t="s">
        <v>63</v>
      </c>
      <c r="C18" s="338"/>
      <c r="D18" s="338"/>
      <c r="E18" s="339"/>
      <c r="F18" s="311" t="s">
        <v>31</v>
      </c>
      <c r="G18" s="312"/>
      <c r="H18" s="312"/>
      <c r="I18" s="313"/>
      <c r="J18" s="364" t="s">
        <v>93</v>
      </c>
      <c r="K18" s="365"/>
      <c r="L18" s="340" t="s">
        <v>21</v>
      </c>
      <c r="M18" s="341"/>
      <c r="N18" s="341"/>
      <c r="O18" s="341"/>
      <c r="P18" s="341"/>
      <c r="Q18" s="341"/>
      <c r="R18" s="294" t="s">
        <v>22</v>
      </c>
      <c r="S18" s="295"/>
      <c r="T18" s="295"/>
      <c r="U18" s="295"/>
      <c r="V18" s="296"/>
      <c r="W18" s="304" t="s">
        <v>44</v>
      </c>
      <c r="X18" s="305"/>
      <c r="Y18" s="305"/>
      <c r="Z18" s="305"/>
      <c r="AA18" s="305"/>
      <c r="AB18" s="305"/>
      <c r="AC18" s="305"/>
      <c r="AD18" s="305"/>
      <c r="AE18" s="305"/>
      <c r="AF18" s="364" t="s">
        <v>93</v>
      </c>
      <c r="AG18" s="365"/>
      <c r="AH18" s="340" t="s">
        <v>21</v>
      </c>
      <c r="AI18" s="301"/>
      <c r="AJ18" s="301"/>
      <c r="AK18" s="301"/>
      <c r="AL18" s="301"/>
      <c r="AM18" s="301"/>
      <c r="AN18" s="294" t="s">
        <v>22</v>
      </c>
      <c r="AO18" s="295"/>
      <c r="AP18" s="295"/>
      <c r="AQ18" s="295"/>
      <c r="AR18" s="296"/>
      <c r="AS18" s="304" t="s">
        <v>45</v>
      </c>
      <c r="AT18" s="305"/>
      <c r="AU18" s="305"/>
      <c r="AV18" s="305"/>
      <c r="AW18" s="305"/>
      <c r="AX18" s="305"/>
      <c r="AY18" s="305"/>
      <c r="AZ18" s="305"/>
      <c r="BA18" s="306"/>
      <c r="BB18" s="385" t="s">
        <v>93</v>
      </c>
      <c r="BC18" s="386"/>
      <c r="BD18" s="328" t="s">
        <v>21</v>
      </c>
      <c r="BE18" s="323"/>
      <c r="BF18" s="323"/>
      <c r="BG18" s="323"/>
      <c r="BH18" s="323"/>
      <c r="BI18" s="323"/>
      <c r="BJ18" s="322" t="s">
        <v>22</v>
      </c>
      <c r="BK18" s="323"/>
      <c r="BL18" s="323"/>
      <c r="BM18" s="323"/>
      <c r="BN18" s="324"/>
      <c r="BO18" s="328" t="s">
        <v>45</v>
      </c>
      <c r="BP18" s="323"/>
      <c r="BQ18" s="323"/>
      <c r="BR18" s="323"/>
      <c r="BS18" s="323"/>
      <c r="BT18" s="323"/>
      <c r="BU18" s="323"/>
      <c r="BV18" s="323"/>
      <c r="BW18" s="329"/>
    </row>
    <row r="19" spans="2:75" s="18" customFormat="1" ht="15" customHeight="1" thickBot="1" x14ac:dyDescent="0.3">
      <c r="B19" s="422" t="s">
        <v>82</v>
      </c>
      <c r="C19" s="309" t="s">
        <v>0</v>
      </c>
      <c r="D19" s="371" t="s">
        <v>83</v>
      </c>
      <c r="E19" s="381" t="s">
        <v>1</v>
      </c>
      <c r="F19" s="314"/>
      <c r="G19" s="315"/>
      <c r="H19" s="315"/>
      <c r="I19" s="316"/>
      <c r="J19" s="366" t="s">
        <v>0</v>
      </c>
      <c r="K19" s="368" t="s">
        <v>83</v>
      </c>
      <c r="L19" s="342"/>
      <c r="M19" s="342"/>
      <c r="N19" s="342"/>
      <c r="O19" s="342"/>
      <c r="P19" s="342"/>
      <c r="Q19" s="342"/>
      <c r="R19" s="297"/>
      <c r="S19" s="298"/>
      <c r="T19" s="298"/>
      <c r="U19" s="298"/>
      <c r="V19" s="299"/>
      <c r="W19" s="307"/>
      <c r="X19" s="307"/>
      <c r="Y19" s="307"/>
      <c r="Z19" s="307"/>
      <c r="AA19" s="307"/>
      <c r="AB19" s="307"/>
      <c r="AC19" s="307"/>
      <c r="AD19" s="307"/>
      <c r="AE19" s="307"/>
      <c r="AF19" s="366" t="s">
        <v>0</v>
      </c>
      <c r="AG19" s="368" t="s">
        <v>83</v>
      </c>
      <c r="AH19" s="303"/>
      <c r="AI19" s="303"/>
      <c r="AJ19" s="303"/>
      <c r="AK19" s="303"/>
      <c r="AL19" s="303"/>
      <c r="AM19" s="303"/>
      <c r="AN19" s="297"/>
      <c r="AO19" s="298"/>
      <c r="AP19" s="298"/>
      <c r="AQ19" s="298"/>
      <c r="AR19" s="299"/>
      <c r="AS19" s="307"/>
      <c r="AT19" s="307"/>
      <c r="AU19" s="307"/>
      <c r="AV19" s="307"/>
      <c r="AW19" s="307"/>
      <c r="AX19" s="307"/>
      <c r="AY19" s="307"/>
      <c r="AZ19" s="307"/>
      <c r="BA19" s="308"/>
      <c r="BB19" s="387" t="s">
        <v>0</v>
      </c>
      <c r="BC19" s="383" t="s">
        <v>83</v>
      </c>
      <c r="BD19" s="326"/>
      <c r="BE19" s="326"/>
      <c r="BF19" s="326"/>
      <c r="BG19" s="326"/>
      <c r="BH19" s="326"/>
      <c r="BI19" s="326"/>
      <c r="BJ19" s="325"/>
      <c r="BK19" s="326"/>
      <c r="BL19" s="326"/>
      <c r="BM19" s="326"/>
      <c r="BN19" s="327"/>
      <c r="BO19" s="326"/>
      <c r="BP19" s="326"/>
      <c r="BQ19" s="326"/>
      <c r="BR19" s="326"/>
      <c r="BS19" s="326"/>
      <c r="BT19" s="326"/>
      <c r="BU19" s="326"/>
      <c r="BV19" s="326"/>
      <c r="BW19" s="330"/>
    </row>
    <row r="20" spans="2:75" s="18" customFormat="1" ht="18" thickBot="1" x14ac:dyDescent="0.3">
      <c r="B20" s="423"/>
      <c r="C20" s="430"/>
      <c r="D20" s="426"/>
      <c r="E20" s="424"/>
      <c r="F20" s="19" t="s">
        <v>29</v>
      </c>
      <c r="G20" s="20" t="s">
        <v>28</v>
      </c>
      <c r="H20" s="20" t="s">
        <v>30</v>
      </c>
      <c r="I20" s="21" t="s">
        <v>27</v>
      </c>
      <c r="J20" s="367"/>
      <c r="K20" s="369"/>
      <c r="L20" s="29" t="s">
        <v>32</v>
      </c>
      <c r="M20" s="24" t="s">
        <v>34</v>
      </c>
      <c r="N20" s="24" t="s">
        <v>33</v>
      </c>
      <c r="O20" s="24" t="s">
        <v>35</v>
      </c>
      <c r="P20" s="24" t="s">
        <v>37</v>
      </c>
      <c r="Q20" s="30" t="s">
        <v>36</v>
      </c>
      <c r="R20" s="111" t="s">
        <v>38</v>
      </c>
      <c r="S20" s="22" t="s">
        <v>39</v>
      </c>
      <c r="T20" s="22" t="s">
        <v>40</v>
      </c>
      <c r="U20" s="22" t="s">
        <v>41</v>
      </c>
      <c r="V20" s="112" t="s">
        <v>42</v>
      </c>
      <c r="W20" s="25" t="s">
        <v>11</v>
      </c>
      <c r="X20" s="23" t="s">
        <v>13</v>
      </c>
      <c r="Y20" s="23" t="s">
        <v>23</v>
      </c>
      <c r="Z20" s="23" t="s">
        <v>24</v>
      </c>
      <c r="AA20" s="23" t="s">
        <v>12</v>
      </c>
      <c r="AB20" s="23" t="s">
        <v>25</v>
      </c>
      <c r="AC20" s="23" t="s">
        <v>26</v>
      </c>
      <c r="AD20" s="23" t="s">
        <v>10</v>
      </c>
      <c r="AE20" s="25" t="s">
        <v>9</v>
      </c>
      <c r="AF20" s="367"/>
      <c r="AG20" s="369"/>
      <c r="AH20" s="29" t="s">
        <v>32</v>
      </c>
      <c r="AI20" s="24" t="s">
        <v>34</v>
      </c>
      <c r="AJ20" s="24" t="s">
        <v>33</v>
      </c>
      <c r="AK20" s="24" t="s">
        <v>35</v>
      </c>
      <c r="AL20" s="24" t="s">
        <v>37</v>
      </c>
      <c r="AM20" s="30" t="s">
        <v>36</v>
      </c>
      <c r="AN20" s="111" t="s">
        <v>38</v>
      </c>
      <c r="AO20" s="22" t="s">
        <v>39</v>
      </c>
      <c r="AP20" s="22" t="s">
        <v>40</v>
      </c>
      <c r="AQ20" s="22" t="s">
        <v>41</v>
      </c>
      <c r="AR20" s="112" t="s">
        <v>42</v>
      </c>
      <c r="AS20" s="26" t="s">
        <v>11</v>
      </c>
      <c r="AT20" s="27" t="s">
        <v>13</v>
      </c>
      <c r="AU20" s="27" t="s">
        <v>23</v>
      </c>
      <c r="AV20" s="27" t="s">
        <v>24</v>
      </c>
      <c r="AW20" s="27" t="s">
        <v>12</v>
      </c>
      <c r="AX20" s="27" t="s">
        <v>25</v>
      </c>
      <c r="AY20" s="27" t="s">
        <v>26</v>
      </c>
      <c r="AZ20" s="27" t="s">
        <v>10</v>
      </c>
      <c r="BA20" s="120" t="s">
        <v>9</v>
      </c>
      <c r="BB20" s="388"/>
      <c r="BC20" s="384"/>
      <c r="BD20" s="34" t="s">
        <v>32</v>
      </c>
      <c r="BE20" s="33" t="s">
        <v>34</v>
      </c>
      <c r="BF20" s="33" t="s">
        <v>33</v>
      </c>
      <c r="BG20" s="33" t="s">
        <v>35</v>
      </c>
      <c r="BH20" s="33" t="s">
        <v>37</v>
      </c>
      <c r="BI20" s="34" t="s">
        <v>36</v>
      </c>
      <c r="BJ20" s="103" t="s">
        <v>38</v>
      </c>
      <c r="BK20" s="33" t="s">
        <v>39</v>
      </c>
      <c r="BL20" s="33" t="s">
        <v>40</v>
      </c>
      <c r="BM20" s="33" t="s">
        <v>41</v>
      </c>
      <c r="BN20" s="104" t="s">
        <v>42</v>
      </c>
      <c r="BO20" s="34" t="s">
        <v>11</v>
      </c>
      <c r="BP20" s="33" t="s">
        <v>13</v>
      </c>
      <c r="BQ20" s="33" t="s">
        <v>23</v>
      </c>
      <c r="BR20" s="33" t="s">
        <v>24</v>
      </c>
      <c r="BS20" s="33" t="s">
        <v>12</v>
      </c>
      <c r="BT20" s="33" t="s">
        <v>25</v>
      </c>
      <c r="BU20" s="33" t="s">
        <v>26</v>
      </c>
      <c r="BV20" s="33" t="s">
        <v>10</v>
      </c>
      <c r="BW20" s="35" t="s">
        <v>9</v>
      </c>
    </row>
    <row r="21" spans="2:75" x14ac:dyDescent="0.25">
      <c r="B21" s="158">
        <v>78</v>
      </c>
      <c r="C21" s="92">
        <f>B21*SQRT(1/2)</f>
        <v>55.154328932550712</v>
      </c>
      <c r="D21" s="127">
        <f>B21*SQRT(3/2)</f>
        <v>95.530099968543936</v>
      </c>
      <c r="E21" s="155" t="s">
        <v>2</v>
      </c>
      <c r="F21" s="62"/>
      <c r="G21" s="53"/>
      <c r="H21" s="8">
        <v>655</v>
      </c>
      <c r="I21" s="54"/>
      <c r="J21" s="287">
        <f>B21*SQRT(1/2)</f>
        <v>55.154328932550712</v>
      </c>
      <c r="K21" s="288">
        <f>B21*SQRT(3/2)</f>
        <v>95.530099968543936</v>
      </c>
      <c r="L21" s="78">
        <f>P21*100000</f>
        <v>16777.946861281933</v>
      </c>
      <c r="M21" s="65">
        <f>P21*10000</f>
        <v>1677.794686128193</v>
      </c>
      <c r="N21" s="65">
        <f>P21*10</f>
        <v>1.6777946861281932</v>
      </c>
      <c r="O21" s="65">
        <f>P21*1000000</f>
        <v>167779.4686128193</v>
      </c>
      <c r="P21" s="65">
        <f>(C21^3)/100^3</f>
        <v>0.16777946861281931</v>
      </c>
      <c r="Q21" s="66">
        <f>P21*1000</f>
        <v>167.7794686128193</v>
      </c>
      <c r="R21" s="113">
        <f>U21/0.45359237</f>
        <v>3880.9247909844607</v>
      </c>
      <c r="S21" s="67">
        <f>U21*1000/31.1034768</f>
        <v>56596.819868523387</v>
      </c>
      <c r="T21" s="67">
        <f>U21/1000</f>
        <v>1.7603578737343961</v>
      </c>
      <c r="U21" s="67">
        <f>P21*(0.45359237/0.3048^3)*H21</f>
        <v>1760.3578737343962</v>
      </c>
      <c r="V21" s="114">
        <f>U21*1000</f>
        <v>1760357.8737343962</v>
      </c>
      <c r="W21" s="80">
        <f>AB21/100</f>
        <v>1.8252000000000004E-2</v>
      </c>
      <c r="X21" s="68">
        <f>AB21/4046.8564224</f>
        <v>4.5101674225387029E-4</v>
      </c>
      <c r="Y21" s="68">
        <f>AB21*10000</f>
        <v>18252.000000000004</v>
      </c>
      <c r="Z21" s="68">
        <f>AB21*100</f>
        <v>182.52000000000004</v>
      </c>
      <c r="AA21" s="68">
        <f>AB21/10000</f>
        <v>1.8252000000000003E-4</v>
      </c>
      <c r="AB21" s="68">
        <f>(6*C21^2)/100^2</f>
        <v>1.8252000000000004</v>
      </c>
      <c r="AC21" s="68">
        <f>AB21*1000000</f>
        <v>1825200.0000000005</v>
      </c>
      <c r="AD21" s="68">
        <f>AB21/144*10000/(2.54*2.54)</f>
        <v>19.64628929257859</v>
      </c>
      <c r="AE21" s="80">
        <f>AB21*10000/(2.54 *2.54)</f>
        <v>2829.0656581313169</v>
      </c>
      <c r="AF21" s="287">
        <v>55.154000000000003</v>
      </c>
      <c r="AG21" s="288">
        <v>95.53</v>
      </c>
      <c r="AH21" s="78">
        <v>16777.900000000001</v>
      </c>
      <c r="AI21" s="65">
        <v>1677.79</v>
      </c>
      <c r="AJ21" s="65">
        <v>1.6777899999999999</v>
      </c>
      <c r="AK21" s="65">
        <v>167779</v>
      </c>
      <c r="AL21" s="65">
        <v>0.16777900000000001</v>
      </c>
      <c r="AM21" s="66">
        <v>167.779</v>
      </c>
      <c r="AN21" s="113">
        <v>3880.92</v>
      </c>
      <c r="AO21" s="67">
        <v>56596.800000000003</v>
      </c>
      <c r="AP21" s="67">
        <v>1.7603599999999999</v>
      </c>
      <c r="AQ21" s="67">
        <v>1760.36</v>
      </c>
      <c r="AR21" s="114">
        <v>1760358</v>
      </c>
      <c r="AS21" s="121">
        <v>1.8252000000000001E-2</v>
      </c>
      <c r="AT21" s="121">
        <v>4.5101700000000001E-4</v>
      </c>
      <c r="AU21" s="68">
        <v>18252</v>
      </c>
      <c r="AV21" s="68">
        <v>182.52</v>
      </c>
      <c r="AW21" s="68">
        <v>1.8252000000000001E-4</v>
      </c>
      <c r="AX21" s="68">
        <v>1.8251999999999999</v>
      </c>
      <c r="AY21" s="68">
        <v>1825200</v>
      </c>
      <c r="AZ21" s="68">
        <v>19.6463</v>
      </c>
      <c r="BA21" s="216">
        <v>2829.07</v>
      </c>
      <c r="BB21" s="255">
        <f>(J21-AF21)/J21</f>
        <v>5.9638573630471368E-6</v>
      </c>
      <c r="BC21" s="256">
        <f>(K21-AG21)/K21</f>
        <v>1.0464612092760773E-6</v>
      </c>
      <c r="BD21" s="38">
        <f t="shared" ref="BD21:BW21" si="27">(L21-AH21)/L21</f>
        <v>2.7930283913035122E-6</v>
      </c>
      <c r="BE21" s="37">
        <f t="shared" si="27"/>
        <v>2.793028391249305E-6</v>
      </c>
      <c r="BF21" s="37">
        <f t="shared" si="27"/>
        <v>2.793028391381648E-6</v>
      </c>
      <c r="BG21" s="37">
        <f t="shared" si="27"/>
        <v>2.7930283912167807E-6</v>
      </c>
      <c r="BH21" s="37">
        <f t="shared" si="27"/>
        <v>2.7930283912162191E-6</v>
      </c>
      <c r="BI21" s="38">
        <f t="shared" si="27"/>
        <v>2.793028391249305E-6</v>
      </c>
      <c r="BJ21" s="105">
        <f t="shared" si="27"/>
        <v>1.2344955696639425E-6</v>
      </c>
      <c r="BK21" s="39">
        <f t="shared" si="27"/>
        <v>3.5105370638594141E-7</v>
      </c>
      <c r="BL21" s="39">
        <f t="shared" si="27"/>
        <v>-1.2078598536883194E-6</v>
      </c>
      <c r="BM21" s="39">
        <f t="shared" si="27"/>
        <v>-1.2078598536227285E-6</v>
      </c>
      <c r="BN21" s="106">
        <f t="shared" si="27"/>
        <v>-7.1727235524148736E-8</v>
      </c>
      <c r="BO21" s="38">
        <f t="shared" si="27"/>
        <v>1.9008585097269415E-16</v>
      </c>
      <c r="BP21" s="37">
        <f t="shared" si="27"/>
        <v>-5.7147796428917817E-7</v>
      </c>
      <c r="BQ21" s="37">
        <f t="shared" si="27"/>
        <v>1.9931946126954373E-16</v>
      </c>
      <c r="BR21" s="37">
        <f t="shared" si="27"/>
        <v>1.5571832911683104E-16</v>
      </c>
      <c r="BS21" s="37">
        <f t="shared" si="27"/>
        <v>1.4850457107241729E-16</v>
      </c>
      <c r="BT21" s="37">
        <f t="shared" si="27"/>
        <v>2.433098892450485E-16</v>
      </c>
      <c r="BU21" s="37">
        <f t="shared" si="27"/>
        <v>2.5512891042501599E-16</v>
      </c>
      <c r="BV21" s="37">
        <f t="shared" si="27"/>
        <v>-5.4500986168446134E-7</v>
      </c>
      <c r="BW21" s="40">
        <f t="shared" si="27"/>
        <v>-1.534735919175867E-6</v>
      </c>
    </row>
    <row r="22" spans="2:75" x14ac:dyDescent="0.25">
      <c r="B22" s="159">
        <v>65</v>
      </c>
      <c r="C22" s="93">
        <f t="shared" ref="C22:C28" si="28">B22*SQRT(1/2)</f>
        <v>45.961940777125591</v>
      </c>
      <c r="D22" s="128">
        <f t="shared" ref="D22:D28" si="29">B22*SQRT(3/2)</f>
        <v>79.608416640453285</v>
      </c>
      <c r="E22" s="156" t="s">
        <v>3</v>
      </c>
      <c r="F22" s="59"/>
      <c r="G22" s="58"/>
      <c r="H22" s="4">
        <v>970</v>
      </c>
      <c r="I22" s="55"/>
      <c r="J22" s="289">
        <f t="shared" ref="J22:J28" si="30">B22*SQRT(1/2)</f>
        <v>45.961940777125591</v>
      </c>
      <c r="K22" s="290">
        <f t="shared" ref="K22:K28" si="31">B22*SQRT(3/2)</f>
        <v>79.608416640453285</v>
      </c>
      <c r="L22" s="69">
        <f t="shared" ref="L22:L28" si="32">P22*100000</f>
        <v>274941289.00442606</v>
      </c>
      <c r="M22" s="70">
        <f t="shared" ref="M22:M28" si="33">P22*10000</f>
        <v>27494128.900442608</v>
      </c>
      <c r="N22" s="70">
        <f t="shared" ref="N22:N28" si="34">P22*10</f>
        <v>27494.128900442607</v>
      </c>
      <c r="O22" s="70">
        <f t="shared" ref="O22:O28" si="35">P22*1000000</f>
        <v>2749412890.0442605</v>
      </c>
      <c r="P22" s="70">
        <f>(C22^3)*0.3048^3</f>
        <v>2749.4128900442606</v>
      </c>
      <c r="Q22" s="71">
        <f t="shared" ref="Q22:Q28" si="36">P22*1000</f>
        <v>2749412.8900442608</v>
      </c>
      <c r="R22" s="115">
        <f t="shared" ref="R22:R28" si="37">U22/0.45359237</f>
        <v>94181761.894927472</v>
      </c>
      <c r="S22" s="72">
        <f t="shared" ref="S22:S28" si="38">U22*1000/31.1034768</f>
        <v>1373484027.6343591</v>
      </c>
      <c r="T22" s="72">
        <f t="shared" ref="T22:T28" si="39">U22/1000</f>
        <v>42720.128588695843</v>
      </c>
      <c r="U22" s="72">
        <f>P22*(0.45359237/0.3048^3)*H22</f>
        <v>42720128.588695846</v>
      </c>
      <c r="V22" s="116">
        <f t="shared" ref="V22:V28" si="40">U22*1000</f>
        <v>42720128588.695847</v>
      </c>
      <c r="W22" s="81">
        <f t="shared" ref="W22:W28" si="41">AB22/100</f>
        <v>11.775460320000001</v>
      </c>
      <c r="X22" s="73">
        <f t="shared" ref="X22:X28" si="42">AB22/4046.8564224</f>
        <v>0.29097796143250687</v>
      </c>
      <c r="Y22" s="73">
        <f t="shared" ref="Y22:Y28" si="43">AB22*10000</f>
        <v>11775460.32</v>
      </c>
      <c r="Z22" s="73">
        <f t="shared" ref="Z22:Z28" si="44">AB22*100</f>
        <v>117754.6032</v>
      </c>
      <c r="AA22" s="73">
        <f t="shared" ref="AA22:AA28" si="45">AB22/10000</f>
        <v>0.1177546032</v>
      </c>
      <c r="AB22" s="73">
        <f>(6*C22^2)*0.3048^2</f>
        <v>1177.546032</v>
      </c>
      <c r="AC22" s="73">
        <f t="shared" ref="AC22:AC28" si="46">AB22*1000000</f>
        <v>1177546032</v>
      </c>
      <c r="AD22" s="73">
        <f t="shared" ref="AD22:AD28" si="47">AB22/144*10000/(2.54*2.54)</f>
        <v>12675</v>
      </c>
      <c r="AE22" s="81">
        <f t="shared" ref="AE22:AE28" si="48">AB22*10000/(2.54 *2.54)</f>
        <v>1825200</v>
      </c>
      <c r="AF22" s="289">
        <v>45.962000000000003</v>
      </c>
      <c r="AG22" s="290">
        <v>79.608000000000004</v>
      </c>
      <c r="AH22" s="69">
        <v>274941289</v>
      </c>
      <c r="AI22" s="69">
        <v>27494129</v>
      </c>
      <c r="AJ22" s="70">
        <v>27494.1</v>
      </c>
      <c r="AK22" s="70">
        <v>2749412890</v>
      </c>
      <c r="AL22" s="70">
        <v>2749.41</v>
      </c>
      <c r="AM22" s="71">
        <v>2749413</v>
      </c>
      <c r="AN22" s="115">
        <v>94181762</v>
      </c>
      <c r="AO22" s="72">
        <v>1373484028</v>
      </c>
      <c r="AP22" s="72">
        <v>42720.1</v>
      </c>
      <c r="AQ22" s="72">
        <v>42720129</v>
      </c>
      <c r="AR22" s="116">
        <v>42720128589</v>
      </c>
      <c r="AS22" s="123">
        <v>11.775499999999999</v>
      </c>
      <c r="AT22" s="123">
        <v>0.29097800000000001</v>
      </c>
      <c r="AU22" s="73">
        <v>11775460</v>
      </c>
      <c r="AV22" s="73">
        <v>117755</v>
      </c>
      <c r="AW22" s="73">
        <v>0.117755</v>
      </c>
      <c r="AX22" s="73">
        <v>1177.55</v>
      </c>
      <c r="AY22" s="73">
        <v>1177546032</v>
      </c>
      <c r="AZ22" s="73">
        <v>12675</v>
      </c>
      <c r="BA22" s="218">
        <v>1825200</v>
      </c>
      <c r="BB22" s="257">
        <f t="shared" ref="BB22:BB28" si="49">(J22-AF22)/J22</f>
        <v>-1.2885198799522063E-6</v>
      </c>
      <c r="BC22" s="258">
        <f t="shared" ref="BC22:BC28" si="50">(K22-AG22)/K22</f>
        <v>5.2336231627715887E-6</v>
      </c>
      <c r="BD22" s="43">
        <f t="shared" ref="BD22:BI28" si="51">(L22-AH22)/L22</f>
        <v>1.6098208177873676E-11</v>
      </c>
      <c r="BE22" s="42">
        <f t="shared" si="51"/>
        <v>-3.6210418835118125E-9</v>
      </c>
      <c r="BF22" s="42">
        <f t="shared" si="51"/>
        <v>1.0511496004555611E-6</v>
      </c>
      <c r="BG22" s="42">
        <f t="shared" si="51"/>
        <v>1.6098164819784398E-11</v>
      </c>
      <c r="BH22" s="42">
        <f t="shared" si="51"/>
        <v>1.0511496004224815E-6</v>
      </c>
      <c r="BI22" s="43">
        <f t="shared" si="51"/>
        <v>-3.999244334238479E-8</v>
      </c>
      <c r="BJ22" s="107">
        <f t="shared" ref="BJ22:BJ28" si="52">(R22-AN22)/R22</f>
        <v>-1.1156356178713055E-9</v>
      </c>
      <c r="BK22" s="44">
        <f t="shared" ref="BK22:BW28" si="53">(S22-AO22)/S22</f>
        <v>-2.6621414688537386E-10</v>
      </c>
      <c r="BL22" s="44">
        <f t="shared" si="53"/>
        <v>6.6920903070698613E-7</v>
      </c>
      <c r="BM22" s="44">
        <f t="shared" si="53"/>
        <v>-9.6278772346865658E-9</v>
      </c>
      <c r="BN22" s="108">
        <f t="shared" si="53"/>
        <v>-7.1196752545191166E-12</v>
      </c>
      <c r="BO22" s="43">
        <f t="shared" si="53"/>
        <v>-3.369719647499447E-6</v>
      </c>
      <c r="BP22" s="42">
        <f t="shared" si="53"/>
        <v>-1.3254437880346728E-7</v>
      </c>
      <c r="BQ22" s="42">
        <f t="shared" si="53"/>
        <v>2.7175158473806756E-8</v>
      </c>
      <c r="BR22" s="42">
        <f t="shared" si="53"/>
        <v>-3.3697196476329211E-6</v>
      </c>
      <c r="BS22" s="42">
        <f t="shared" si="53"/>
        <v>-3.3697196475843015E-6</v>
      </c>
      <c r="BT22" s="42">
        <f t="shared" si="53"/>
        <v>-3.3697196476020269E-6</v>
      </c>
      <c r="BU22" s="42">
        <f t="shared" si="53"/>
        <v>0</v>
      </c>
      <c r="BV22" s="42">
        <f t="shared" si="53"/>
        <v>0</v>
      </c>
      <c r="BW22" s="45">
        <f t="shared" si="53"/>
        <v>0</v>
      </c>
    </row>
    <row r="23" spans="2:75" x14ac:dyDescent="0.25">
      <c r="B23" s="159">
        <v>245</v>
      </c>
      <c r="C23" s="93">
        <f t="shared" si="28"/>
        <v>173.24116139070415</v>
      </c>
      <c r="D23" s="128">
        <f t="shared" si="29"/>
        <v>300.06249349093929</v>
      </c>
      <c r="E23" s="156" t="s">
        <v>4</v>
      </c>
      <c r="F23" s="59"/>
      <c r="G23" s="5">
        <v>430</v>
      </c>
      <c r="H23" s="56"/>
      <c r="I23" s="55"/>
      <c r="J23" s="289">
        <f t="shared" si="30"/>
        <v>173.24116139070415</v>
      </c>
      <c r="K23" s="290">
        <f t="shared" si="31"/>
        <v>300.06249349093929</v>
      </c>
      <c r="L23" s="69">
        <f t="shared" si="32"/>
        <v>8520290.6399303228</v>
      </c>
      <c r="M23" s="70">
        <f t="shared" si="33"/>
        <v>852029.06399303232</v>
      </c>
      <c r="N23" s="70">
        <f t="shared" si="34"/>
        <v>852.02906399303231</v>
      </c>
      <c r="O23" s="70">
        <f t="shared" si="35"/>
        <v>85202906.399303228</v>
      </c>
      <c r="P23" s="70">
        <f>(C23^3)*(2.54/100)^3</f>
        <v>85.202906399303231</v>
      </c>
      <c r="Q23" s="71">
        <f t="shared" si="36"/>
        <v>85202.906399303232</v>
      </c>
      <c r="R23" s="115">
        <f t="shared" si="37"/>
        <v>80771309.604922116</v>
      </c>
      <c r="S23" s="72">
        <f t="shared" si="38"/>
        <v>1177914931.7384474</v>
      </c>
      <c r="T23" s="72">
        <f t="shared" si="39"/>
        <v>36637.249751700387</v>
      </c>
      <c r="U23" s="72">
        <f>P23*1000*G23</f>
        <v>36637249.751700386</v>
      </c>
      <c r="V23" s="116">
        <f t="shared" si="40"/>
        <v>36637249751.700386</v>
      </c>
      <c r="W23" s="81">
        <f t="shared" si="41"/>
        <v>1.1617718700000002</v>
      </c>
      <c r="X23" s="73">
        <f t="shared" si="42"/>
        <v>2.8708008111417205E-2</v>
      </c>
      <c r="Y23" s="73">
        <f t="shared" si="43"/>
        <v>1161771.8700000001</v>
      </c>
      <c r="Z23" s="73">
        <f t="shared" si="44"/>
        <v>11617.718700000001</v>
      </c>
      <c r="AA23" s="73">
        <f t="shared" si="45"/>
        <v>1.1617718700000002E-2</v>
      </c>
      <c r="AB23" s="73">
        <f>(6*C23^2)*(2.54/100)^2</f>
        <v>116.17718700000002</v>
      </c>
      <c r="AC23" s="73">
        <f t="shared" si="46"/>
        <v>116177187.00000001</v>
      </c>
      <c r="AD23" s="73">
        <f t="shared" si="47"/>
        <v>1250.5208333333337</v>
      </c>
      <c r="AE23" s="81">
        <f t="shared" si="48"/>
        <v>180075.00000000003</v>
      </c>
      <c r="AF23" s="289">
        <v>173.24</v>
      </c>
      <c r="AG23" s="290">
        <v>300.06</v>
      </c>
      <c r="AH23" s="69">
        <v>8520291</v>
      </c>
      <c r="AI23" s="70">
        <v>852029</v>
      </c>
      <c r="AJ23" s="70">
        <v>852.029</v>
      </c>
      <c r="AK23" s="70">
        <v>85202906</v>
      </c>
      <c r="AL23" s="70">
        <v>85.2029</v>
      </c>
      <c r="AM23" s="71">
        <v>85202.9</v>
      </c>
      <c r="AN23" s="115">
        <v>80771310</v>
      </c>
      <c r="AO23" s="72">
        <v>1177914932</v>
      </c>
      <c r="AP23" s="72">
        <v>36637.199999999997</v>
      </c>
      <c r="AQ23" s="72">
        <v>36637250</v>
      </c>
      <c r="AR23" s="116">
        <v>36637249752</v>
      </c>
      <c r="AS23" s="123">
        <v>1.16177</v>
      </c>
      <c r="AT23" s="123">
        <v>2.8708000000000001E-2</v>
      </c>
      <c r="AU23" s="73">
        <v>1161772</v>
      </c>
      <c r="AV23" s="73">
        <v>11617.7</v>
      </c>
      <c r="AW23" s="73">
        <v>1.16177E-2</v>
      </c>
      <c r="AX23" s="73">
        <v>116.17700000000001</v>
      </c>
      <c r="AY23" s="73">
        <v>116177187</v>
      </c>
      <c r="AZ23" s="73">
        <v>1250.52</v>
      </c>
      <c r="BA23" s="218">
        <v>180075</v>
      </c>
      <c r="BB23" s="257">
        <f t="shared" si="49"/>
        <v>6.7038958571834191E-6</v>
      </c>
      <c r="BC23" s="258">
        <f t="shared" si="50"/>
        <v>8.3099054142938097E-6</v>
      </c>
      <c r="BD23" s="43">
        <f t="shared" si="51"/>
        <v>-4.2260257595701048E-8</v>
      </c>
      <c r="BE23" s="42">
        <f t="shared" si="51"/>
        <v>7.5106630780050303E-8</v>
      </c>
      <c r="BF23" s="42">
        <f t="shared" si="51"/>
        <v>7.5106630768308401E-8</v>
      </c>
      <c r="BG23" s="42">
        <f t="shared" si="51"/>
        <v>4.686497732738206E-9</v>
      </c>
      <c r="BH23" s="42">
        <f t="shared" si="51"/>
        <v>7.5106630768308401E-8</v>
      </c>
      <c r="BI23" s="43">
        <f t="shared" si="51"/>
        <v>7.5106630848366819E-8</v>
      </c>
      <c r="BJ23" s="107">
        <f t="shared" si="52"/>
        <v>-4.8913145785265253E-9</v>
      </c>
      <c r="BK23" s="44">
        <f t="shared" si="53"/>
        <v>-2.2204708099280907E-10</v>
      </c>
      <c r="BL23" s="44">
        <f t="shared" si="53"/>
        <v>1.3579540147469001E-6</v>
      </c>
      <c r="BM23" s="44">
        <f t="shared" si="53"/>
        <v>-6.7772448881342384E-9</v>
      </c>
      <c r="BN23" s="108">
        <f t="shared" si="53"/>
        <v>-8.1778505391992001E-12</v>
      </c>
      <c r="BO23" s="43">
        <f t="shared" si="53"/>
        <v>1.6096103275262195E-6</v>
      </c>
      <c r="BP23" s="42">
        <f t="shared" si="53"/>
        <v>2.825489380210816E-7</v>
      </c>
      <c r="BQ23" s="42">
        <f t="shared" si="53"/>
        <v>-1.1189804405252236E-7</v>
      </c>
      <c r="BR23" s="42">
        <f t="shared" si="53"/>
        <v>1.6096103274161311E-6</v>
      </c>
      <c r="BS23" s="42">
        <f t="shared" si="53"/>
        <v>1.6096103275083014E-6</v>
      </c>
      <c r="BT23" s="42">
        <f t="shared" si="53"/>
        <v>1.6096103274650591E-6</v>
      </c>
      <c r="BU23" s="42">
        <f t="shared" si="53"/>
        <v>1.282623687027958E-16</v>
      </c>
      <c r="BV23" s="42">
        <f t="shared" si="53"/>
        <v>6.663890048990087E-7</v>
      </c>
      <c r="BW23" s="45">
        <f t="shared" si="53"/>
        <v>1.616206050630776E-16</v>
      </c>
    </row>
    <row r="24" spans="2:75" x14ac:dyDescent="0.25">
      <c r="B24" s="159">
        <v>123</v>
      </c>
      <c r="C24" s="93">
        <f t="shared" si="28"/>
        <v>86.974134085945352</v>
      </c>
      <c r="D24" s="128">
        <f t="shared" si="29"/>
        <v>150.64361918116543</v>
      </c>
      <c r="E24" s="156" t="s">
        <v>5</v>
      </c>
      <c r="F24" s="59"/>
      <c r="G24" s="5">
        <v>320</v>
      </c>
      <c r="H24" s="56"/>
      <c r="I24" s="57"/>
      <c r="J24" s="289">
        <f t="shared" si="30"/>
        <v>86.974134085945352</v>
      </c>
      <c r="K24" s="290">
        <f t="shared" si="31"/>
        <v>150.64361918116543</v>
      </c>
      <c r="L24" s="69">
        <f t="shared" si="32"/>
        <v>65791583729.31337</v>
      </c>
      <c r="M24" s="70">
        <f t="shared" si="33"/>
        <v>6579158372.9313374</v>
      </c>
      <c r="N24" s="70">
        <f t="shared" si="34"/>
        <v>6579158.372931337</v>
      </c>
      <c r="O24" s="70">
        <f t="shared" si="35"/>
        <v>657915837293.13367</v>
      </c>
      <c r="P24" s="70">
        <f>C24^3</f>
        <v>657915.83729313372</v>
      </c>
      <c r="Q24" s="71">
        <f t="shared" si="36"/>
        <v>657915837.29313374</v>
      </c>
      <c r="R24" s="115">
        <f t="shared" si="37"/>
        <v>464145964214.08673</v>
      </c>
      <c r="S24" s="72">
        <f t="shared" si="38"/>
        <v>6768795311455.4316</v>
      </c>
      <c r="T24" s="72">
        <f t="shared" si="39"/>
        <v>210533067.93380278</v>
      </c>
      <c r="U24" s="72">
        <f>P24*1000*G24</f>
        <v>210533067933.8028</v>
      </c>
      <c r="V24" s="116">
        <f t="shared" si="40"/>
        <v>210533067933802.78</v>
      </c>
      <c r="W24" s="81">
        <f t="shared" si="41"/>
        <v>453.87000000000006</v>
      </c>
      <c r="X24" s="73">
        <f t="shared" si="42"/>
        <v>11.215371948650235</v>
      </c>
      <c r="Y24" s="73">
        <f t="shared" si="43"/>
        <v>453870000.00000006</v>
      </c>
      <c r="Z24" s="73">
        <f t="shared" si="44"/>
        <v>4538700.0000000009</v>
      </c>
      <c r="AA24" s="73">
        <f t="shared" si="45"/>
        <v>4.5387000000000004</v>
      </c>
      <c r="AB24" s="73">
        <f>6*C24^2</f>
        <v>45387.000000000007</v>
      </c>
      <c r="AC24" s="73">
        <f t="shared" si="46"/>
        <v>45387000000.000008</v>
      </c>
      <c r="AD24" s="73">
        <f t="shared" si="47"/>
        <v>488541.60208320426</v>
      </c>
      <c r="AE24" s="81">
        <f t="shared" si="48"/>
        <v>70349990.699981406</v>
      </c>
      <c r="AF24" s="289">
        <v>86.974000000000004</v>
      </c>
      <c r="AG24" s="290">
        <v>150.63999999999999</v>
      </c>
      <c r="AH24" s="69">
        <v>65791583729</v>
      </c>
      <c r="AI24" s="70">
        <v>6579158373</v>
      </c>
      <c r="AJ24" s="70">
        <v>6579158</v>
      </c>
      <c r="AK24" s="70">
        <v>657915837293</v>
      </c>
      <c r="AL24" s="70">
        <v>657916</v>
      </c>
      <c r="AM24" s="71">
        <v>657915837</v>
      </c>
      <c r="AN24" s="115">
        <v>464145964214</v>
      </c>
      <c r="AO24" s="72">
        <v>6768795311455</v>
      </c>
      <c r="AP24" s="72">
        <v>210533068</v>
      </c>
      <c r="AQ24" s="72">
        <v>210533067934</v>
      </c>
      <c r="AR24" s="116">
        <v>210533067933803</v>
      </c>
      <c r="AS24" s="123">
        <v>453.87</v>
      </c>
      <c r="AT24" s="123">
        <v>11.215400000000001</v>
      </c>
      <c r="AU24" s="73">
        <v>453870000</v>
      </c>
      <c r="AV24" s="73">
        <v>4538700</v>
      </c>
      <c r="AW24" s="73">
        <v>4.5387000000000004</v>
      </c>
      <c r="AX24" s="73">
        <v>45387</v>
      </c>
      <c r="AY24" s="73">
        <v>45387000000</v>
      </c>
      <c r="AZ24" s="73">
        <v>488542</v>
      </c>
      <c r="BA24" s="218">
        <v>70349991</v>
      </c>
      <c r="BB24" s="257">
        <f t="shared" si="49"/>
        <v>1.5416761173535357E-6</v>
      </c>
      <c r="BC24" s="258">
        <f t="shared" si="50"/>
        <v>2.4024789002812726E-5</v>
      </c>
      <c r="BD24" s="43">
        <f t="shared" si="51"/>
        <v>4.7630674504790942E-12</v>
      </c>
      <c r="BE24" s="42">
        <f t="shared" si="51"/>
        <v>-1.0436387078796618E-11</v>
      </c>
      <c r="BF24" s="42">
        <f t="shared" si="51"/>
        <v>5.6683745221636793E-8</v>
      </c>
      <c r="BG24" s="42">
        <f t="shared" si="51"/>
        <v>2.0316731200368539E-13</v>
      </c>
      <c r="BH24" s="42">
        <f t="shared" si="51"/>
        <v>-2.4730650495926458E-7</v>
      </c>
      <c r="BI24" s="43">
        <f t="shared" si="51"/>
        <v>4.4554898824563913E-10</v>
      </c>
      <c r="BJ24" s="107">
        <f t="shared" si="52"/>
        <v>1.868613835264233E-13</v>
      </c>
      <c r="BK24" s="44">
        <f t="shared" si="53"/>
        <v>6.3769194537393729E-14</v>
      </c>
      <c r="BL24" s="44">
        <f t="shared" si="53"/>
        <v>-3.1442669391768362E-10</v>
      </c>
      <c r="BM24" s="44">
        <f t="shared" si="53"/>
        <v>-9.366917595375392E-13</v>
      </c>
      <c r="BN24" s="108">
        <f t="shared" si="53"/>
        <v>-1.0390291755439618E-15</v>
      </c>
      <c r="BO24" s="43">
        <f t="shared" si="53"/>
        <v>1.25241630556785E-16</v>
      </c>
      <c r="BP24" s="42">
        <f t="shared" si="53"/>
        <v>-2.50115198088154E-6</v>
      </c>
      <c r="BQ24" s="42">
        <f t="shared" si="53"/>
        <v>1.3132536800271138E-16</v>
      </c>
      <c r="BR24" s="42">
        <f t="shared" si="53"/>
        <v>2.0519588750423652E-16</v>
      </c>
      <c r="BS24" s="42">
        <f t="shared" si="53"/>
        <v>0</v>
      </c>
      <c r="BT24" s="42">
        <f t="shared" si="53"/>
        <v>1.6030928711268479E-16</v>
      </c>
      <c r="BU24" s="42">
        <f t="shared" si="53"/>
        <v>1.6809647104347057E-16</v>
      </c>
      <c r="BV24" s="42">
        <f t="shared" si="53"/>
        <v>-8.1449930578547781E-7</v>
      </c>
      <c r="BW24" s="45">
        <f t="shared" si="53"/>
        <v>-4.2646571901965717E-9</v>
      </c>
    </row>
    <row r="25" spans="2:75" x14ac:dyDescent="0.25">
      <c r="B25" s="159">
        <v>98</v>
      </c>
      <c r="C25" s="93">
        <f t="shared" si="28"/>
        <v>69.296464556281663</v>
      </c>
      <c r="D25" s="128">
        <f t="shared" si="29"/>
        <v>120.02499739637571</v>
      </c>
      <c r="E25" s="156" t="s">
        <v>6</v>
      </c>
      <c r="F25" s="59"/>
      <c r="G25" s="58"/>
      <c r="H25" s="58"/>
      <c r="I25" s="14">
        <v>777</v>
      </c>
      <c r="J25" s="289">
        <f t="shared" si="30"/>
        <v>69.296464556281663</v>
      </c>
      <c r="K25" s="290">
        <f t="shared" si="31"/>
        <v>120.02499739637571</v>
      </c>
      <c r="L25" s="69">
        <f t="shared" si="32"/>
        <v>1.3870109483560085E+20</v>
      </c>
      <c r="M25" s="70">
        <f t="shared" si="33"/>
        <v>1.3870109483560086E+19</v>
      </c>
      <c r="N25" s="70">
        <f t="shared" si="34"/>
        <v>1.3870109483560084E+16</v>
      </c>
      <c r="O25" s="70">
        <f t="shared" si="35"/>
        <v>1.3870109483560086E+21</v>
      </c>
      <c r="P25" s="70">
        <f>(C25^3)*(63360*2.54/100)^3</f>
        <v>1387010948356008.5</v>
      </c>
      <c r="Q25" s="71">
        <f t="shared" si="36"/>
        <v>1.3870109483560084E+18</v>
      </c>
      <c r="R25" s="115">
        <f t="shared" si="37"/>
        <v>2.37593834938762E+21</v>
      </c>
      <c r="S25" s="72">
        <f t="shared" si="38"/>
        <v>3.4649100928569458E+22</v>
      </c>
      <c r="T25" s="72">
        <f t="shared" si="39"/>
        <v>1.0777075068726186E+18</v>
      </c>
      <c r="U25" s="72">
        <f>P25*1000*I25</f>
        <v>1.0777075068726186E+21</v>
      </c>
      <c r="V25" s="116">
        <f t="shared" si="40"/>
        <v>1.0777075068726186E+24</v>
      </c>
      <c r="W25" s="81">
        <f t="shared" si="41"/>
        <v>746227374.35000849</v>
      </c>
      <c r="X25" s="73">
        <f t="shared" si="42"/>
        <v>18439680.000000004</v>
      </c>
      <c r="Y25" s="73">
        <f t="shared" si="43"/>
        <v>746227374350008.5</v>
      </c>
      <c r="Z25" s="73">
        <f t="shared" si="44"/>
        <v>7462273743500.0859</v>
      </c>
      <c r="AA25" s="73">
        <f t="shared" si="45"/>
        <v>7462273.7435000855</v>
      </c>
      <c r="AB25" s="73">
        <f>(6*C25^2)*(63360*2.54/100)^2</f>
        <v>74622737435.000854</v>
      </c>
      <c r="AC25" s="73">
        <f t="shared" si="46"/>
        <v>7.4622737435000848E+16</v>
      </c>
      <c r="AD25" s="73">
        <f t="shared" si="47"/>
        <v>803232460800.00024</v>
      </c>
      <c r="AE25" s="81">
        <f t="shared" si="48"/>
        <v>115665474355200.03</v>
      </c>
      <c r="AF25" s="289">
        <v>69.296000000000006</v>
      </c>
      <c r="AG25" s="290">
        <v>120.02</v>
      </c>
      <c r="AH25" s="69">
        <v>1.38701094835601E+20</v>
      </c>
      <c r="AI25" s="70">
        <v>1.38701094835601E+19</v>
      </c>
      <c r="AJ25" s="70">
        <v>1.38701094835601E+16</v>
      </c>
      <c r="AK25" s="70">
        <v>1.3870109483560099E+21</v>
      </c>
      <c r="AL25" s="70">
        <v>1387010948356010</v>
      </c>
      <c r="AM25" s="71">
        <v>1.38701094835601E+18</v>
      </c>
      <c r="AN25" s="115">
        <v>2.37593834938762E+21</v>
      </c>
      <c r="AO25" s="72">
        <v>3.46491009285695E+22</v>
      </c>
      <c r="AP25" s="72">
        <v>1.07770750687262E+18</v>
      </c>
      <c r="AQ25" s="72">
        <v>1.07770750687262E+21</v>
      </c>
      <c r="AR25" s="116">
        <v>1.07770750687262E+24</v>
      </c>
      <c r="AS25" s="123">
        <v>746227374</v>
      </c>
      <c r="AT25" s="123">
        <v>18439680</v>
      </c>
      <c r="AU25" s="73">
        <v>746227374350008</v>
      </c>
      <c r="AV25" s="73">
        <v>7462273743500</v>
      </c>
      <c r="AW25" s="73">
        <v>7462274</v>
      </c>
      <c r="AX25" s="73">
        <v>74622737435</v>
      </c>
      <c r="AY25" s="73">
        <v>7.46227374350008E+16</v>
      </c>
      <c r="AZ25" s="73">
        <v>803232460800</v>
      </c>
      <c r="BA25" s="218">
        <v>115665474355200</v>
      </c>
      <c r="BB25" s="257">
        <f t="shared" si="49"/>
        <v>6.7038958571834182E-6</v>
      </c>
      <c r="BC25" s="258">
        <f t="shared" si="50"/>
        <v>4.1636296472561716E-5</v>
      </c>
      <c r="BD25" s="43">
        <f t="shared" si="51"/>
        <v>-1.0631206637177315E-15</v>
      </c>
      <c r="BE25" s="42">
        <f t="shared" si="51"/>
        <v>-1.0335895341700167E-15</v>
      </c>
      <c r="BF25" s="42">
        <f t="shared" si="51"/>
        <v>-1.1535597479576082E-15</v>
      </c>
      <c r="BG25" s="42">
        <f t="shared" si="51"/>
        <v>-9.4499614552687239E-16</v>
      </c>
      <c r="BH25" s="42">
        <f t="shared" si="51"/>
        <v>-1.0814622637102574E-15</v>
      </c>
      <c r="BI25" s="43">
        <f t="shared" si="51"/>
        <v>-1.1074173580393038E-15</v>
      </c>
      <c r="BJ25" s="107">
        <f t="shared" si="52"/>
        <v>0</v>
      </c>
      <c r="BK25" s="44">
        <f t="shared" si="53"/>
        <v>-1.2105087542233E-15</v>
      </c>
      <c r="BL25" s="44">
        <f t="shared" si="53"/>
        <v>-1.3064769346238031E-15</v>
      </c>
      <c r="BM25" s="44">
        <f t="shared" si="53"/>
        <v>-1.3378323810547745E-15</v>
      </c>
      <c r="BN25" s="108">
        <f t="shared" si="53"/>
        <v>-1.3699403582000891E-15</v>
      </c>
      <c r="BO25" s="43">
        <f t="shared" si="53"/>
        <v>4.6903731990036725E-10</v>
      </c>
      <c r="BP25" s="42">
        <f t="shared" si="53"/>
        <v>2.0202575632884699E-16</v>
      </c>
      <c r="BQ25" s="42">
        <f t="shared" si="53"/>
        <v>6.7003706535895762E-16</v>
      </c>
      <c r="BR25" s="42">
        <f t="shared" si="53"/>
        <v>1.1516262060857083E-14</v>
      </c>
      <c r="BS25" s="42">
        <f t="shared" si="53"/>
        <v>-3.4372889988906453E-8</v>
      </c>
      <c r="BT25" s="42">
        <f t="shared" si="53"/>
        <v>1.1450828753693123E-14</v>
      </c>
      <c r="BU25" s="42">
        <f t="shared" si="53"/>
        <v>6.4323558274459932E-16</v>
      </c>
      <c r="BV25" s="42">
        <f t="shared" si="53"/>
        <v>3.0394765763928638E-16</v>
      </c>
      <c r="BW25" s="45">
        <f t="shared" si="53"/>
        <v>2.701756956793657E-16</v>
      </c>
    </row>
    <row r="26" spans="2:75" x14ac:dyDescent="0.25">
      <c r="B26" s="159">
        <v>45</v>
      </c>
      <c r="C26" s="93">
        <f t="shared" si="28"/>
        <v>31.81980515339464</v>
      </c>
      <c r="D26" s="128">
        <f t="shared" si="29"/>
        <v>55.113519212621505</v>
      </c>
      <c r="E26" s="156" t="s">
        <v>7</v>
      </c>
      <c r="F26" s="59"/>
      <c r="G26" s="58"/>
      <c r="H26" s="58"/>
      <c r="I26" s="14">
        <v>890</v>
      </c>
      <c r="J26" s="289">
        <f t="shared" si="30"/>
        <v>31.81980515339464</v>
      </c>
      <c r="K26" s="290">
        <f t="shared" si="31"/>
        <v>55.113519212621505</v>
      </c>
      <c r="L26" s="69">
        <f t="shared" si="32"/>
        <v>3.2217552717812077</v>
      </c>
      <c r="M26" s="70">
        <f t="shared" si="33"/>
        <v>0.32217552717812076</v>
      </c>
      <c r="N26" s="70">
        <f t="shared" si="34"/>
        <v>3.2217552717812078E-4</v>
      </c>
      <c r="O26" s="70">
        <f t="shared" si="35"/>
        <v>32.217552717812076</v>
      </c>
      <c r="P26" s="70">
        <f>(C26^3)/1000^3</f>
        <v>3.2217552717812078E-5</v>
      </c>
      <c r="Q26" s="71">
        <f t="shared" si="36"/>
        <v>3.2217552717812077E-2</v>
      </c>
      <c r="R26" s="115">
        <f t="shared" si="37"/>
        <v>63.21451553264167</v>
      </c>
      <c r="S26" s="72">
        <f t="shared" si="38"/>
        <v>921.87835151769116</v>
      </c>
      <c r="T26" s="72">
        <f t="shared" si="39"/>
        <v>2.8673621918852751E-2</v>
      </c>
      <c r="U26" s="72">
        <f>P26*1000*I26</f>
        <v>28.673621918852749</v>
      </c>
      <c r="V26" s="116">
        <f t="shared" si="40"/>
        <v>28673.62191885275</v>
      </c>
      <c r="W26" s="81">
        <f t="shared" si="41"/>
        <v>6.0750000000000006E-5</v>
      </c>
      <c r="X26" s="73">
        <f t="shared" si="42"/>
        <v>1.5011651924130294E-6</v>
      </c>
      <c r="Y26" s="73">
        <f t="shared" si="43"/>
        <v>60.750000000000007</v>
      </c>
      <c r="Z26" s="73">
        <f t="shared" si="44"/>
        <v>0.60750000000000004</v>
      </c>
      <c r="AA26" s="73">
        <f t="shared" si="45"/>
        <v>6.0750000000000001E-7</v>
      </c>
      <c r="AB26" s="73">
        <f>(6*C26^2)/1000^2</f>
        <v>6.0750000000000005E-3</v>
      </c>
      <c r="AC26" s="73">
        <f t="shared" si="46"/>
        <v>6075.0000000000009</v>
      </c>
      <c r="AD26" s="73">
        <f t="shared" si="47"/>
        <v>6.5390755781511559E-2</v>
      </c>
      <c r="AE26" s="81">
        <f t="shared" si="48"/>
        <v>9.416268832537666</v>
      </c>
      <c r="AF26" s="289">
        <v>31.82</v>
      </c>
      <c r="AG26" s="290">
        <v>55.113999999999997</v>
      </c>
      <c r="AH26" s="69">
        <v>3.2217600000000002</v>
      </c>
      <c r="AI26" s="70">
        <v>0.32217600000000002</v>
      </c>
      <c r="AJ26" s="70">
        <v>3.2217600000000003E-4</v>
      </c>
      <c r="AK26" s="70">
        <v>32.217599999999997</v>
      </c>
      <c r="AL26" s="70">
        <v>3.2217552717812098E-5</v>
      </c>
      <c r="AM26" s="71">
        <v>3.2217599999999999E-2</v>
      </c>
      <c r="AN26" s="115">
        <v>63.214500000000001</v>
      </c>
      <c r="AO26" s="72">
        <v>921.87800000000004</v>
      </c>
      <c r="AP26" s="72">
        <v>2.86736E-2</v>
      </c>
      <c r="AQ26" s="72">
        <v>28.6736</v>
      </c>
      <c r="AR26" s="116">
        <v>28673.599999999999</v>
      </c>
      <c r="AS26" s="123">
        <v>6.0749999999999999E-5</v>
      </c>
      <c r="AT26" s="123">
        <v>1.5011651924130301E-6</v>
      </c>
      <c r="AU26" s="73">
        <v>60.75</v>
      </c>
      <c r="AV26" s="73">
        <v>0.60750000000000004</v>
      </c>
      <c r="AW26" s="73">
        <v>6.0750000000000001E-7</v>
      </c>
      <c r="AX26" s="73">
        <v>6.0749999999999997E-3</v>
      </c>
      <c r="AY26" s="73">
        <v>6075</v>
      </c>
      <c r="AZ26" s="73">
        <v>6.5390799999999999E-2</v>
      </c>
      <c r="BA26" s="218">
        <v>9.4162700000000008</v>
      </c>
      <c r="BB26" s="257">
        <f t="shared" si="49"/>
        <v>-6.1234380418487058E-6</v>
      </c>
      <c r="BC26" s="258">
        <f t="shared" si="50"/>
        <v>-8.7235833487214408E-6</v>
      </c>
      <c r="BD26" s="43">
        <f t="shared" si="51"/>
        <v>-1.4675909228448123E-6</v>
      </c>
      <c r="BE26" s="42">
        <f t="shared" si="51"/>
        <v>-1.4675909228792725E-6</v>
      </c>
      <c r="BF26" s="42">
        <f t="shared" si="51"/>
        <v>-1.4675909228510043E-6</v>
      </c>
      <c r="BG26" s="42">
        <f t="shared" si="51"/>
        <v>-1.4675909227345396E-6</v>
      </c>
      <c r="BH26" s="42">
        <f t="shared" si="51"/>
        <v>-6.3098494513719085E-16</v>
      </c>
      <c r="BI26" s="43">
        <f t="shared" si="51"/>
        <v>-1.4675909227500467E-6</v>
      </c>
      <c r="BJ26" s="107">
        <f t="shared" si="52"/>
        <v>2.4571321219489508E-7</v>
      </c>
      <c r="BK26" s="44">
        <f t="shared" si="53"/>
        <v>3.8130593970058286E-7</v>
      </c>
      <c r="BL26" s="44">
        <f t="shared" si="53"/>
        <v>7.6442567361098371E-7</v>
      </c>
      <c r="BM26" s="44">
        <f t="shared" si="53"/>
        <v>7.6442567356355251E-7</v>
      </c>
      <c r="BN26" s="108">
        <f t="shared" si="53"/>
        <v>7.6442567366366513E-7</v>
      </c>
      <c r="BO26" s="43">
        <f t="shared" si="53"/>
        <v>1.1154343338328234E-16</v>
      </c>
      <c r="BP26" s="42">
        <f t="shared" si="53"/>
        <v>-4.2318774352845255E-16</v>
      </c>
      <c r="BQ26" s="42">
        <f t="shared" si="53"/>
        <v>1.1696176720330866E-16</v>
      </c>
      <c r="BR26" s="42">
        <f t="shared" si="53"/>
        <v>0</v>
      </c>
      <c r="BS26" s="42">
        <f t="shared" si="53"/>
        <v>0</v>
      </c>
      <c r="BT26" s="42">
        <f t="shared" si="53"/>
        <v>1.4277559473060139E-16</v>
      </c>
      <c r="BU26" s="42">
        <f t="shared" si="53"/>
        <v>1.4971106202023509E-16</v>
      </c>
      <c r="BV26" s="42">
        <f t="shared" si="53"/>
        <v>-6.7621925930966568E-7</v>
      </c>
      <c r="BW26" s="45">
        <f t="shared" si="53"/>
        <v>-1.2398353908201476E-7</v>
      </c>
    </row>
    <row r="27" spans="2:75" x14ac:dyDescent="0.25">
      <c r="B27" s="159">
        <v>76</v>
      </c>
      <c r="C27" s="93">
        <f t="shared" si="28"/>
        <v>53.740115370177612</v>
      </c>
      <c r="D27" s="128">
        <f t="shared" si="29"/>
        <v>93.080610225760765</v>
      </c>
      <c r="E27" s="156" t="s">
        <v>8</v>
      </c>
      <c r="F27" s="11">
        <v>555</v>
      </c>
      <c r="G27" s="58"/>
      <c r="H27" s="58"/>
      <c r="I27" s="55"/>
      <c r="J27" s="289">
        <f t="shared" si="30"/>
        <v>53.740115370177612</v>
      </c>
      <c r="K27" s="290">
        <f t="shared" si="31"/>
        <v>93.080610225760765</v>
      </c>
      <c r="L27" s="69">
        <f t="shared" si="32"/>
        <v>11866002500.18821</v>
      </c>
      <c r="M27" s="70">
        <f t="shared" si="33"/>
        <v>1186600250.018821</v>
      </c>
      <c r="N27" s="70">
        <f t="shared" si="34"/>
        <v>1186600.2500188209</v>
      </c>
      <c r="O27" s="70">
        <f t="shared" si="35"/>
        <v>118660025001.8821</v>
      </c>
      <c r="P27" s="70">
        <f>(C27^3)*0.9144^3</f>
        <v>118660.0250018821</v>
      </c>
      <c r="Q27" s="71">
        <f t="shared" si="36"/>
        <v>118660025.00188209</v>
      </c>
      <c r="R27" s="115">
        <f t="shared" si="37"/>
        <v>145188319.36270127</v>
      </c>
      <c r="S27" s="72">
        <f t="shared" si="38"/>
        <v>2117329657.3727272</v>
      </c>
      <c r="T27" s="72">
        <f t="shared" si="39"/>
        <v>65856.313876044558</v>
      </c>
      <c r="U27" s="72">
        <f>P27*F27</f>
        <v>65856313.876044564</v>
      </c>
      <c r="V27" s="116">
        <f t="shared" si="40"/>
        <v>65856313876.044563</v>
      </c>
      <c r="W27" s="81">
        <f t="shared" si="41"/>
        <v>144.8841489408</v>
      </c>
      <c r="X27" s="73">
        <f t="shared" si="42"/>
        <v>3.5801652892561981</v>
      </c>
      <c r="Y27" s="73">
        <f t="shared" si="43"/>
        <v>144884148.94080001</v>
      </c>
      <c r="Z27" s="73">
        <f t="shared" si="44"/>
        <v>1448841.4894080001</v>
      </c>
      <c r="AA27" s="73">
        <f t="shared" si="45"/>
        <v>1.4488414894079999</v>
      </c>
      <c r="AB27" s="73">
        <f>(6*C27^2)*0.9144^2</f>
        <v>14488.414894080001</v>
      </c>
      <c r="AC27" s="73">
        <f t="shared" si="46"/>
        <v>14488414894.08</v>
      </c>
      <c r="AD27" s="73">
        <f t="shared" si="47"/>
        <v>155952</v>
      </c>
      <c r="AE27" s="81">
        <f t="shared" si="48"/>
        <v>22457088</v>
      </c>
      <c r="AF27" s="289">
        <v>53.74</v>
      </c>
      <c r="AG27" s="290">
        <v>93.081000000000003</v>
      </c>
      <c r="AH27" s="69">
        <v>11866002500</v>
      </c>
      <c r="AI27" s="70">
        <v>1186600250</v>
      </c>
      <c r="AJ27" s="70">
        <v>1186600</v>
      </c>
      <c r="AK27" s="70">
        <v>118660025002</v>
      </c>
      <c r="AL27" s="70">
        <v>118660</v>
      </c>
      <c r="AM27" s="71">
        <v>118660025</v>
      </c>
      <c r="AN27" s="115">
        <v>145188319</v>
      </c>
      <c r="AO27" s="72">
        <v>2117329657</v>
      </c>
      <c r="AP27" s="72">
        <v>65856.3</v>
      </c>
      <c r="AQ27" s="72">
        <v>65856314</v>
      </c>
      <c r="AR27" s="116">
        <v>65856313876</v>
      </c>
      <c r="AS27" s="123">
        <v>144.88399999999999</v>
      </c>
      <c r="AT27" s="123">
        <v>3.5801699999999999</v>
      </c>
      <c r="AU27" s="73">
        <v>144884149</v>
      </c>
      <c r="AV27" s="73">
        <v>1448841</v>
      </c>
      <c r="AW27" s="73">
        <v>1.4488399999999999</v>
      </c>
      <c r="AX27" s="73">
        <v>14488.4</v>
      </c>
      <c r="AY27" s="73">
        <v>14488414894</v>
      </c>
      <c r="AZ27" s="73">
        <v>155952</v>
      </c>
      <c r="BA27" s="218">
        <v>22457088</v>
      </c>
      <c r="BB27" s="257">
        <f t="shared" si="49"/>
        <v>2.1468167088166151E-6</v>
      </c>
      <c r="BC27" s="258">
        <f t="shared" si="50"/>
        <v>-4.1874912325228477E-6</v>
      </c>
      <c r="BD27" s="43">
        <f t="shared" si="51"/>
        <v>1.5861241701948149E-11</v>
      </c>
      <c r="BE27" s="42">
        <f t="shared" si="51"/>
        <v>1.5861281887103867E-11</v>
      </c>
      <c r="BF27" s="42">
        <f t="shared" si="51"/>
        <v>2.1070181037052215E-7</v>
      </c>
      <c r="BG27" s="42">
        <f t="shared" si="51"/>
        <v>-9.9363423430988982E-13</v>
      </c>
      <c r="BH27" s="42">
        <f t="shared" si="51"/>
        <v>2.1070181044410335E-7</v>
      </c>
      <c r="BI27" s="43">
        <f t="shared" si="51"/>
        <v>1.58612065399369E-11</v>
      </c>
      <c r="BJ27" s="107">
        <f t="shared" si="52"/>
        <v>2.4981435737811197E-9</v>
      </c>
      <c r="BK27" s="44">
        <f t="shared" si="53"/>
        <v>1.7603643078797684E-10</v>
      </c>
      <c r="BL27" s="44">
        <f t="shared" si="53"/>
        <v>2.1070181032809694E-7</v>
      </c>
      <c r="BM27" s="44">
        <f t="shared" si="53"/>
        <v>-1.882210356993288E-9</v>
      </c>
      <c r="BN27" s="108">
        <f t="shared" si="53"/>
        <v>6.7667457885524448E-13</v>
      </c>
      <c r="BO27" s="43">
        <f t="shared" si="53"/>
        <v>1.0279992746319987E-6</v>
      </c>
      <c r="BP27" s="42">
        <f t="shared" si="53"/>
        <v>-1.3157894736989813E-6</v>
      </c>
      <c r="BQ27" s="42">
        <f t="shared" si="53"/>
        <v>-4.0860224720786912E-10</v>
      </c>
      <c r="BR27" s="42">
        <f t="shared" si="53"/>
        <v>3.3779264586044727E-7</v>
      </c>
      <c r="BS27" s="42">
        <f t="shared" si="53"/>
        <v>1.027999274546175E-6</v>
      </c>
      <c r="BT27" s="42">
        <f t="shared" si="53"/>
        <v>1.0279992745770715E-6</v>
      </c>
      <c r="BU27" s="42">
        <f t="shared" si="53"/>
        <v>5.5216477641555421E-12</v>
      </c>
      <c r="BV27" s="42">
        <f t="shared" si="53"/>
        <v>0</v>
      </c>
      <c r="BW27" s="45">
        <f t="shared" si="53"/>
        <v>0</v>
      </c>
    </row>
    <row r="28" spans="2:75" ht="15.75" thickBot="1" x14ac:dyDescent="0.3">
      <c r="B28" s="161">
        <v>278</v>
      </c>
      <c r="C28" s="95">
        <f t="shared" si="28"/>
        <v>196.57568516986024</v>
      </c>
      <c r="D28" s="142">
        <f t="shared" si="29"/>
        <v>340.47907424686173</v>
      </c>
      <c r="E28" s="157" t="s">
        <v>43</v>
      </c>
      <c r="F28" s="12">
        <v>120</v>
      </c>
      <c r="G28" s="60"/>
      <c r="H28" s="60"/>
      <c r="I28" s="61"/>
      <c r="J28" s="291">
        <f t="shared" si="30"/>
        <v>196.57568516986024</v>
      </c>
      <c r="K28" s="292">
        <f t="shared" si="31"/>
        <v>340.47907424686173</v>
      </c>
      <c r="L28" s="79">
        <f t="shared" si="32"/>
        <v>7.5960776263337396E-7</v>
      </c>
      <c r="M28" s="74">
        <f t="shared" si="33"/>
        <v>7.5960776263337404E-8</v>
      </c>
      <c r="N28" s="74">
        <f t="shared" si="34"/>
        <v>7.5960776263337392E-11</v>
      </c>
      <c r="O28" s="74">
        <f t="shared" si="35"/>
        <v>7.5960776263337394E-6</v>
      </c>
      <c r="P28" s="74">
        <f>(C28^3)/1000000^3</f>
        <v>7.5960776263337398E-12</v>
      </c>
      <c r="Q28" s="75">
        <f t="shared" si="36"/>
        <v>7.5960776263337404E-9</v>
      </c>
      <c r="R28" s="117">
        <f t="shared" si="37"/>
        <v>2.0095781486801657E-9</v>
      </c>
      <c r="S28" s="76">
        <f t="shared" si="38"/>
        <v>2.9306348001585751E-8</v>
      </c>
      <c r="T28" s="76">
        <f t="shared" si="39"/>
        <v>9.1152931516004873E-13</v>
      </c>
      <c r="U28" s="76">
        <f>P28*F28</f>
        <v>9.115293151600488E-10</v>
      </c>
      <c r="V28" s="118">
        <f t="shared" si="40"/>
        <v>9.1152931516004879E-7</v>
      </c>
      <c r="W28" s="82">
        <f t="shared" si="41"/>
        <v>2.3185200000000004E-9</v>
      </c>
      <c r="X28" s="77">
        <f t="shared" si="42"/>
        <v>5.7291876903925228E-11</v>
      </c>
      <c r="Y28" s="77">
        <f t="shared" si="43"/>
        <v>2.3185200000000006E-3</v>
      </c>
      <c r="Z28" s="77">
        <f t="shared" si="44"/>
        <v>2.3185200000000006E-5</v>
      </c>
      <c r="AA28" s="77">
        <f t="shared" si="45"/>
        <v>2.3185200000000004E-11</v>
      </c>
      <c r="AB28" s="77">
        <f>(6*C28^2)/1000000^2</f>
        <v>2.3185200000000006E-7</v>
      </c>
      <c r="AC28" s="77">
        <f t="shared" si="46"/>
        <v>0.23185200000000006</v>
      </c>
      <c r="AD28" s="77">
        <f t="shared" si="47"/>
        <v>2.4956341579349829E-6</v>
      </c>
      <c r="AE28" s="82">
        <f t="shared" si="48"/>
        <v>3.5937131874263758E-4</v>
      </c>
      <c r="AF28" s="291">
        <v>196.58</v>
      </c>
      <c r="AG28" s="292">
        <v>340.48</v>
      </c>
      <c r="AH28" s="79">
        <v>7.5960776263337396E-7</v>
      </c>
      <c r="AI28" s="74">
        <v>7.5960776263337404E-8</v>
      </c>
      <c r="AJ28" s="74">
        <v>7.5960776263337404E-11</v>
      </c>
      <c r="AK28" s="74">
        <v>7.5960776263337402E-6</v>
      </c>
      <c r="AL28" s="74">
        <v>7.5960776263337398E-12</v>
      </c>
      <c r="AM28" s="75">
        <v>7.5960776263337404E-9</v>
      </c>
      <c r="AN28" s="117">
        <v>2.00957814868016E-9</v>
      </c>
      <c r="AO28" s="76">
        <v>2.9306348001585702E-8</v>
      </c>
      <c r="AP28" s="76">
        <v>9.1152931516004792E-13</v>
      </c>
      <c r="AQ28" s="76">
        <v>9.1152931516004798E-10</v>
      </c>
      <c r="AR28" s="118">
        <v>9.1152931516004795E-7</v>
      </c>
      <c r="AS28" s="125">
        <v>2.31852E-9</v>
      </c>
      <c r="AT28" s="125">
        <v>5.7291876903925202E-11</v>
      </c>
      <c r="AU28" s="77">
        <v>2.3185200000000001E-3</v>
      </c>
      <c r="AV28" s="77">
        <v>2.31852E-5</v>
      </c>
      <c r="AW28" s="77">
        <v>2.3185200000000001E-11</v>
      </c>
      <c r="AX28" s="77">
        <v>2.31852E-7</v>
      </c>
      <c r="AY28" s="77">
        <v>0.231852</v>
      </c>
      <c r="AZ28" s="77">
        <v>2.49563415793498E-6</v>
      </c>
      <c r="BA28" s="220">
        <v>3.5937099999999999E-4</v>
      </c>
      <c r="BB28" s="259">
        <f t="shared" si="49"/>
        <v>-2.1949968715856073E-5</v>
      </c>
      <c r="BC28" s="260">
        <f t="shared" si="50"/>
        <v>-2.718972202147171E-6</v>
      </c>
      <c r="BD28" s="48">
        <f t="shared" si="51"/>
        <v>0</v>
      </c>
      <c r="BE28" s="47">
        <f t="shared" si="51"/>
        <v>0</v>
      </c>
      <c r="BF28" s="47">
        <f t="shared" si="51"/>
        <v>-1.7014961809150423E-16</v>
      </c>
      <c r="BG28" s="47">
        <f t="shared" si="51"/>
        <v>-1.1150925371244822E-16</v>
      </c>
      <c r="BH28" s="47">
        <f t="shared" si="51"/>
        <v>0</v>
      </c>
      <c r="BI28" s="48">
        <f t="shared" si="51"/>
        <v>0</v>
      </c>
      <c r="BJ28" s="109">
        <f t="shared" si="52"/>
        <v>2.8813332249228905E-15</v>
      </c>
      <c r="BK28" s="49">
        <f t="shared" si="53"/>
        <v>1.6935183036281479E-15</v>
      </c>
      <c r="BL28" s="49">
        <f t="shared" si="53"/>
        <v>8.8619592755991786E-16</v>
      </c>
      <c r="BM28" s="49">
        <f t="shared" si="53"/>
        <v>9.0746462982135585E-16</v>
      </c>
      <c r="BN28" s="110">
        <f t="shared" si="53"/>
        <v>9.2924378093706834E-16</v>
      </c>
      <c r="BO28" s="48">
        <f t="shared" si="53"/>
        <v>1.7838548137454659E-16</v>
      </c>
      <c r="BP28" s="47">
        <f t="shared" si="53"/>
        <v>4.5118776935218718E-16</v>
      </c>
      <c r="BQ28" s="47">
        <f t="shared" si="53"/>
        <v>1.8705073451779656E-16</v>
      </c>
      <c r="BR28" s="47">
        <f t="shared" si="53"/>
        <v>2.9226677268405713E-16</v>
      </c>
      <c r="BS28" s="47">
        <f t="shared" si="53"/>
        <v>1.3936365732386454E-16</v>
      </c>
      <c r="BT28" s="47">
        <f t="shared" si="53"/>
        <v>2.2833341615941962E-16</v>
      </c>
      <c r="BU28" s="47">
        <f t="shared" si="53"/>
        <v>2.3942494018277957E-16</v>
      </c>
      <c r="BV28" s="47">
        <f t="shared" si="53"/>
        <v>1.1879206357085317E-15</v>
      </c>
      <c r="BW28" s="50">
        <f t="shared" si="53"/>
        <v>8.8694512045398988E-7</v>
      </c>
    </row>
    <row r="29" spans="2:75" ht="15.75" thickTop="1" x14ac:dyDescent="0.25"/>
    <row r="30" spans="2:75" ht="15.75" thickBot="1" x14ac:dyDescent="0.3"/>
    <row r="31" spans="2:75" ht="30.75" customHeight="1" thickTop="1" thickBot="1" x14ac:dyDescent="0.3">
      <c r="B31" s="83" t="s">
        <v>46</v>
      </c>
      <c r="C31" s="134"/>
      <c r="D31" s="134"/>
      <c r="E31" s="346" t="s">
        <v>61</v>
      </c>
      <c r="F31" s="347"/>
      <c r="G31" s="347"/>
      <c r="H31" s="347"/>
      <c r="I31" s="348"/>
    </row>
    <row r="32" spans="2:75" ht="16.5" customHeight="1" thickTop="1" thickBot="1" x14ac:dyDescent="0.3">
      <c r="B32" s="337" t="s">
        <v>64</v>
      </c>
      <c r="C32" s="338"/>
      <c r="D32" s="338"/>
      <c r="E32" s="339"/>
      <c r="F32" s="311" t="s">
        <v>31</v>
      </c>
      <c r="G32" s="312"/>
      <c r="H32" s="312"/>
      <c r="I32" s="313"/>
      <c r="J32" s="364" t="s">
        <v>93</v>
      </c>
      <c r="K32" s="365"/>
      <c r="L32" s="340" t="s">
        <v>21</v>
      </c>
      <c r="M32" s="341"/>
      <c r="N32" s="341"/>
      <c r="O32" s="341"/>
      <c r="P32" s="341"/>
      <c r="Q32" s="341"/>
      <c r="R32" s="294" t="s">
        <v>22</v>
      </c>
      <c r="S32" s="295"/>
      <c r="T32" s="295"/>
      <c r="U32" s="295"/>
      <c r="V32" s="296"/>
      <c r="W32" s="304" t="s">
        <v>44</v>
      </c>
      <c r="X32" s="305"/>
      <c r="Y32" s="305"/>
      <c r="Z32" s="305"/>
      <c r="AA32" s="305"/>
      <c r="AB32" s="305"/>
      <c r="AC32" s="305"/>
      <c r="AD32" s="305"/>
      <c r="AE32" s="305"/>
      <c r="AF32" s="364" t="s">
        <v>93</v>
      </c>
      <c r="AG32" s="365"/>
      <c r="AH32" s="340" t="s">
        <v>21</v>
      </c>
      <c r="AI32" s="301"/>
      <c r="AJ32" s="301"/>
      <c r="AK32" s="301"/>
      <c r="AL32" s="301"/>
      <c r="AM32" s="301"/>
      <c r="AN32" s="294" t="s">
        <v>22</v>
      </c>
      <c r="AO32" s="295"/>
      <c r="AP32" s="295"/>
      <c r="AQ32" s="295"/>
      <c r="AR32" s="296"/>
      <c r="AS32" s="304" t="s">
        <v>45</v>
      </c>
      <c r="AT32" s="305"/>
      <c r="AU32" s="305"/>
      <c r="AV32" s="305"/>
      <c r="AW32" s="305"/>
      <c r="AX32" s="305"/>
      <c r="AY32" s="305"/>
      <c r="AZ32" s="305"/>
      <c r="BA32" s="306"/>
      <c r="BB32" s="385" t="s">
        <v>93</v>
      </c>
      <c r="BC32" s="386"/>
      <c r="BD32" s="328" t="s">
        <v>21</v>
      </c>
      <c r="BE32" s="323"/>
      <c r="BF32" s="323"/>
      <c r="BG32" s="323"/>
      <c r="BH32" s="323"/>
      <c r="BI32" s="323"/>
      <c r="BJ32" s="322" t="s">
        <v>22</v>
      </c>
      <c r="BK32" s="323"/>
      <c r="BL32" s="323"/>
      <c r="BM32" s="323"/>
      <c r="BN32" s="324"/>
      <c r="BO32" s="328" t="s">
        <v>45</v>
      </c>
      <c r="BP32" s="323"/>
      <c r="BQ32" s="323"/>
      <c r="BR32" s="323"/>
      <c r="BS32" s="323"/>
      <c r="BT32" s="323"/>
      <c r="BU32" s="323"/>
      <c r="BV32" s="323"/>
      <c r="BW32" s="329"/>
    </row>
    <row r="33" spans="2:75" s="18" customFormat="1" ht="15" customHeight="1" thickBot="1" x14ac:dyDescent="0.3">
      <c r="B33" s="422" t="s">
        <v>83</v>
      </c>
      <c r="C33" s="309" t="s">
        <v>0</v>
      </c>
      <c r="D33" s="371" t="s">
        <v>82</v>
      </c>
      <c r="E33" s="381" t="s">
        <v>1</v>
      </c>
      <c r="F33" s="314"/>
      <c r="G33" s="315"/>
      <c r="H33" s="315"/>
      <c r="I33" s="316"/>
      <c r="J33" s="366" t="s">
        <v>0</v>
      </c>
      <c r="K33" s="368" t="s">
        <v>82</v>
      </c>
      <c r="L33" s="342"/>
      <c r="M33" s="342"/>
      <c r="N33" s="342"/>
      <c r="O33" s="342"/>
      <c r="P33" s="342"/>
      <c r="Q33" s="342"/>
      <c r="R33" s="297"/>
      <c r="S33" s="298"/>
      <c r="T33" s="298"/>
      <c r="U33" s="298"/>
      <c r="V33" s="299"/>
      <c r="W33" s="307"/>
      <c r="X33" s="307"/>
      <c r="Y33" s="307"/>
      <c r="Z33" s="307"/>
      <c r="AA33" s="307"/>
      <c r="AB33" s="307"/>
      <c r="AC33" s="307"/>
      <c r="AD33" s="307"/>
      <c r="AE33" s="307"/>
      <c r="AF33" s="366" t="s">
        <v>0</v>
      </c>
      <c r="AG33" s="368" t="s">
        <v>82</v>
      </c>
      <c r="AH33" s="303"/>
      <c r="AI33" s="303"/>
      <c r="AJ33" s="303"/>
      <c r="AK33" s="303"/>
      <c r="AL33" s="303"/>
      <c r="AM33" s="303"/>
      <c r="AN33" s="297"/>
      <c r="AO33" s="298"/>
      <c r="AP33" s="298"/>
      <c r="AQ33" s="298"/>
      <c r="AR33" s="299"/>
      <c r="AS33" s="307"/>
      <c r="AT33" s="307"/>
      <c r="AU33" s="307"/>
      <c r="AV33" s="307"/>
      <c r="AW33" s="307"/>
      <c r="AX33" s="307"/>
      <c r="AY33" s="307"/>
      <c r="AZ33" s="307"/>
      <c r="BA33" s="308"/>
      <c r="BB33" s="387" t="s">
        <v>0</v>
      </c>
      <c r="BC33" s="383" t="s">
        <v>82</v>
      </c>
      <c r="BD33" s="326"/>
      <c r="BE33" s="326"/>
      <c r="BF33" s="326"/>
      <c r="BG33" s="326"/>
      <c r="BH33" s="326"/>
      <c r="BI33" s="326"/>
      <c r="BJ33" s="325"/>
      <c r="BK33" s="326"/>
      <c r="BL33" s="326"/>
      <c r="BM33" s="326"/>
      <c r="BN33" s="327"/>
      <c r="BO33" s="326"/>
      <c r="BP33" s="326"/>
      <c r="BQ33" s="326"/>
      <c r="BR33" s="326"/>
      <c r="BS33" s="326"/>
      <c r="BT33" s="326"/>
      <c r="BU33" s="326"/>
      <c r="BV33" s="326"/>
      <c r="BW33" s="330"/>
    </row>
    <row r="34" spans="2:75" s="18" customFormat="1" ht="18" thickBot="1" x14ac:dyDescent="0.3">
      <c r="B34" s="425"/>
      <c r="C34" s="430"/>
      <c r="D34" s="429"/>
      <c r="E34" s="424"/>
      <c r="F34" s="19" t="s">
        <v>29</v>
      </c>
      <c r="G34" s="20" t="s">
        <v>28</v>
      </c>
      <c r="H34" s="20" t="s">
        <v>30</v>
      </c>
      <c r="I34" s="21" t="s">
        <v>27</v>
      </c>
      <c r="J34" s="367"/>
      <c r="K34" s="369"/>
      <c r="L34" s="29" t="s">
        <v>32</v>
      </c>
      <c r="M34" s="24" t="s">
        <v>34</v>
      </c>
      <c r="N34" s="24" t="s">
        <v>33</v>
      </c>
      <c r="O34" s="24" t="s">
        <v>35</v>
      </c>
      <c r="P34" s="24" t="s">
        <v>37</v>
      </c>
      <c r="Q34" s="30" t="s">
        <v>36</v>
      </c>
      <c r="R34" s="111" t="s">
        <v>38</v>
      </c>
      <c r="S34" s="22" t="s">
        <v>39</v>
      </c>
      <c r="T34" s="22" t="s">
        <v>40</v>
      </c>
      <c r="U34" s="22" t="s">
        <v>41</v>
      </c>
      <c r="V34" s="112" t="s">
        <v>42</v>
      </c>
      <c r="W34" s="25" t="s">
        <v>11</v>
      </c>
      <c r="X34" s="23" t="s">
        <v>13</v>
      </c>
      <c r="Y34" s="23" t="s">
        <v>23</v>
      </c>
      <c r="Z34" s="23" t="s">
        <v>24</v>
      </c>
      <c r="AA34" s="23" t="s">
        <v>12</v>
      </c>
      <c r="AB34" s="23" t="s">
        <v>25</v>
      </c>
      <c r="AC34" s="23" t="s">
        <v>26</v>
      </c>
      <c r="AD34" s="23" t="s">
        <v>10</v>
      </c>
      <c r="AE34" s="25" t="s">
        <v>9</v>
      </c>
      <c r="AF34" s="367"/>
      <c r="AG34" s="369"/>
      <c r="AH34" s="29" t="s">
        <v>32</v>
      </c>
      <c r="AI34" s="24" t="s">
        <v>34</v>
      </c>
      <c r="AJ34" s="24" t="s">
        <v>33</v>
      </c>
      <c r="AK34" s="24" t="s">
        <v>35</v>
      </c>
      <c r="AL34" s="24" t="s">
        <v>37</v>
      </c>
      <c r="AM34" s="30" t="s">
        <v>36</v>
      </c>
      <c r="AN34" s="111" t="s">
        <v>38</v>
      </c>
      <c r="AO34" s="22" t="s">
        <v>39</v>
      </c>
      <c r="AP34" s="22" t="s">
        <v>40</v>
      </c>
      <c r="AQ34" s="22" t="s">
        <v>41</v>
      </c>
      <c r="AR34" s="112" t="s">
        <v>42</v>
      </c>
      <c r="AS34" s="26" t="s">
        <v>11</v>
      </c>
      <c r="AT34" s="27" t="s">
        <v>13</v>
      </c>
      <c r="AU34" s="27" t="s">
        <v>23</v>
      </c>
      <c r="AV34" s="27" t="s">
        <v>24</v>
      </c>
      <c r="AW34" s="27" t="s">
        <v>12</v>
      </c>
      <c r="AX34" s="27" t="s">
        <v>25</v>
      </c>
      <c r="AY34" s="27" t="s">
        <v>26</v>
      </c>
      <c r="AZ34" s="27" t="s">
        <v>10</v>
      </c>
      <c r="BA34" s="120" t="s">
        <v>9</v>
      </c>
      <c r="BB34" s="388"/>
      <c r="BC34" s="384"/>
      <c r="BD34" s="34" t="s">
        <v>32</v>
      </c>
      <c r="BE34" s="33" t="s">
        <v>34</v>
      </c>
      <c r="BF34" s="33" t="s">
        <v>33</v>
      </c>
      <c r="BG34" s="33" t="s">
        <v>35</v>
      </c>
      <c r="BH34" s="33" t="s">
        <v>37</v>
      </c>
      <c r="BI34" s="34" t="s">
        <v>36</v>
      </c>
      <c r="BJ34" s="103" t="s">
        <v>38</v>
      </c>
      <c r="BK34" s="33" t="s">
        <v>39</v>
      </c>
      <c r="BL34" s="33" t="s">
        <v>40</v>
      </c>
      <c r="BM34" s="33" t="s">
        <v>41</v>
      </c>
      <c r="BN34" s="104" t="s">
        <v>42</v>
      </c>
      <c r="BO34" s="34" t="s">
        <v>11</v>
      </c>
      <c r="BP34" s="33" t="s">
        <v>13</v>
      </c>
      <c r="BQ34" s="33" t="s">
        <v>23</v>
      </c>
      <c r="BR34" s="33" t="s">
        <v>24</v>
      </c>
      <c r="BS34" s="33" t="s">
        <v>12</v>
      </c>
      <c r="BT34" s="33" t="s">
        <v>25</v>
      </c>
      <c r="BU34" s="33" t="s">
        <v>26</v>
      </c>
      <c r="BV34" s="33" t="s">
        <v>10</v>
      </c>
      <c r="BW34" s="35" t="s">
        <v>9</v>
      </c>
    </row>
    <row r="35" spans="2:75" x14ac:dyDescent="0.25">
      <c r="B35" s="158">
        <v>998</v>
      </c>
      <c r="C35" s="92">
        <f>B35*SQRT(1/3)</f>
        <v>576.1955686512465</v>
      </c>
      <c r="D35" s="127">
        <f>B35*SQRT(2/3)</f>
        <v>814.86358776587053</v>
      </c>
      <c r="E35" s="155" t="s">
        <v>2</v>
      </c>
      <c r="F35" s="10">
        <v>668</v>
      </c>
      <c r="G35" s="53"/>
      <c r="H35" s="53"/>
      <c r="I35" s="54"/>
      <c r="J35" s="287">
        <f>B35*SQRT(1/3)</f>
        <v>576.1955686512465</v>
      </c>
      <c r="K35" s="288">
        <f>B35*SQRT(2/3)</f>
        <v>814.86358776587053</v>
      </c>
      <c r="L35" s="78">
        <f>P35*100000</f>
        <v>19129769.705297202</v>
      </c>
      <c r="M35" s="65">
        <f>P35*10000</f>
        <v>1912976.9705297202</v>
      </c>
      <c r="N35" s="65">
        <f>P35*10</f>
        <v>1912.9769705297201</v>
      </c>
      <c r="O35" s="65">
        <f>P35*1000000</f>
        <v>191297697.05297202</v>
      </c>
      <c r="P35" s="65">
        <f>(C35^3)/100^3</f>
        <v>191.29769705297201</v>
      </c>
      <c r="Q35" s="66">
        <f>P35*1000</f>
        <v>191297.69705297201</v>
      </c>
      <c r="R35" s="113">
        <f>U35/0.45359237</f>
        <v>281721.80592761136</v>
      </c>
      <c r="S35" s="67">
        <f>U35*1000/31.1034768</f>
        <v>4108443.0031109992</v>
      </c>
      <c r="T35" s="67">
        <f>U35/1000</f>
        <v>127.78686163138529</v>
      </c>
      <c r="U35" s="67">
        <f>P35*F35</f>
        <v>127786.8616313853</v>
      </c>
      <c r="V35" s="114">
        <f>U35*1000</f>
        <v>127786861.6313853</v>
      </c>
      <c r="W35" s="80">
        <f>AB35/100</f>
        <v>1.9920079999999998</v>
      </c>
      <c r="X35" s="68">
        <f>AB35/4046.8564224</f>
        <v>4.9223589672564502E-2</v>
      </c>
      <c r="Y35" s="68">
        <f>AB35*10000</f>
        <v>1992007.9999999998</v>
      </c>
      <c r="Z35" s="68">
        <f>AB35*100</f>
        <v>19920.079999999998</v>
      </c>
      <c r="AA35" s="68">
        <f>AB35/10000</f>
        <v>1.992008E-2</v>
      </c>
      <c r="AB35" s="68">
        <f>(6*C35^2)/100^2</f>
        <v>199.20079999999999</v>
      </c>
      <c r="AC35" s="68">
        <f>AB35*1000000</f>
        <v>199200800</v>
      </c>
      <c r="AD35" s="68">
        <f>AB35/144*10000/(2.54*2.54)</f>
        <v>2144.1795661369101</v>
      </c>
      <c r="AE35" s="80">
        <f>AB35*10000/(2.54 *2.54)</f>
        <v>308761.85752371501</v>
      </c>
      <c r="AF35" s="287">
        <v>576.20000000000005</v>
      </c>
      <c r="AG35" s="288">
        <v>814.86</v>
      </c>
      <c r="AH35" s="78">
        <v>19129770</v>
      </c>
      <c r="AI35" s="65">
        <v>1912977</v>
      </c>
      <c r="AJ35" s="65">
        <v>1912.98</v>
      </c>
      <c r="AK35" s="65">
        <v>191297697</v>
      </c>
      <c r="AL35" s="65">
        <v>191.298</v>
      </c>
      <c r="AM35" s="66">
        <v>191298</v>
      </c>
      <c r="AN35" s="113">
        <v>281722</v>
      </c>
      <c r="AO35" s="67">
        <v>4108443</v>
      </c>
      <c r="AP35" s="67">
        <v>127.78700000000001</v>
      </c>
      <c r="AQ35" s="67">
        <v>127787</v>
      </c>
      <c r="AR35" s="114">
        <v>127786862</v>
      </c>
      <c r="AS35" s="121">
        <v>1.9920100000000001</v>
      </c>
      <c r="AT35" s="121">
        <v>4.9223599999999999E-2</v>
      </c>
      <c r="AU35" s="68">
        <v>1992008</v>
      </c>
      <c r="AV35" s="68">
        <v>19920.099999999999</v>
      </c>
      <c r="AW35" s="68">
        <v>1.99201E-2</v>
      </c>
      <c r="AX35" s="68">
        <v>199.20099999999999</v>
      </c>
      <c r="AY35" s="68">
        <v>199200800</v>
      </c>
      <c r="AZ35" s="68">
        <v>2144.1799999999998</v>
      </c>
      <c r="BA35" s="216">
        <v>308762</v>
      </c>
      <c r="BB35" s="255">
        <f>(J35-AF35)/J35</f>
        <v>-7.6907025923763333E-6</v>
      </c>
      <c r="BC35" s="256">
        <f>(K35-AG35)/K35</f>
        <v>4.4029036569875451E-6</v>
      </c>
      <c r="BD35" s="38">
        <f t="shared" ref="BD35:BW35" si="54">(L35-AH35)/L35</f>
        <v>-1.5405454569927323E-8</v>
      </c>
      <c r="BE35" s="37">
        <f t="shared" si="54"/>
        <v>-1.5405454569927323E-8</v>
      </c>
      <c r="BF35" s="37">
        <f t="shared" si="54"/>
        <v>-1.5836417931677549E-6</v>
      </c>
      <c r="BG35" s="37">
        <f t="shared" si="54"/>
        <v>2.7690881560404288E-10</v>
      </c>
      <c r="BH35" s="37">
        <f t="shared" si="54"/>
        <v>-1.5836417931677549E-6</v>
      </c>
      <c r="BI35" s="38">
        <f t="shared" si="54"/>
        <v>-1.5836417931534917E-6</v>
      </c>
      <c r="BJ35" s="105">
        <f t="shared" si="54"/>
        <v>-6.8887954199143892E-7</v>
      </c>
      <c r="BK35" s="39">
        <f t="shared" si="54"/>
        <v>7.5722098106644697E-10</v>
      </c>
      <c r="BL35" s="39">
        <f t="shared" si="54"/>
        <v>-1.0828078328799722E-6</v>
      </c>
      <c r="BM35" s="39">
        <f t="shared" si="54"/>
        <v>-1.082807832788337E-6</v>
      </c>
      <c r="BN35" s="106">
        <f t="shared" si="54"/>
        <v>-2.8846056528106339E-9</v>
      </c>
      <c r="BO35" s="38">
        <f t="shared" si="54"/>
        <v>-1.0040120322205312E-6</v>
      </c>
      <c r="BP35" s="37">
        <f t="shared" si="54"/>
        <v>-2.0980663063701042E-7</v>
      </c>
      <c r="BQ35" s="37">
        <f t="shared" si="54"/>
        <v>-1.1688238383273041E-16</v>
      </c>
      <c r="BR35" s="37">
        <f t="shared" si="54"/>
        <v>-1.004012032102108E-6</v>
      </c>
      <c r="BS35" s="37">
        <f t="shared" si="54"/>
        <v>-1.0040120320742298E-6</v>
      </c>
      <c r="BT35" s="37">
        <f t="shared" si="54"/>
        <v>-1.0040120321135222E-6</v>
      </c>
      <c r="BU35" s="37">
        <f t="shared" si="54"/>
        <v>0</v>
      </c>
      <c r="BV35" s="37">
        <f t="shared" si="54"/>
        <v>-2.023445687865662E-7</v>
      </c>
      <c r="BW35" s="40">
        <f t="shared" si="54"/>
        <v>-4.6144393007461412E-7</v>
      </c>
    </row>
    <row r="36" spans="2:75" x14ac:dyDescent="0.25">
      <c r="B36" s="159">
        <v>456</v>
      </c>
      <c r="C36" s="93">
        <f t="shared" ref="C36:C42" si="55">B36*SQRT(1/3)</f>
        <v>263.27172275046934</v>
      </c>
      <c r="D36" s="128">
        <f t="shared" ref="D36:D42" si="56">B36*SQRT(2/3)</f>
        <v>372.32244090304306</v>
      </c>
      <c r="E36" s="156" t="s">
        <v>3</v>
      </c>
      <c r="F36" s="11">
        <v>645</v>
      </c>
      <c r="G36" s="58"/>
      <c r="H36" s="58"/>
      <c r="I36" s="55"/>
      <c r="J36" s="289">
        <f t="shared" ref="J36:J42" si="57">B36*SQRT(1/3)</f>
        <v>263.27172275046934</v>
      </c>
      <c r="K36" s="290">
        <f t="shared" ref="K36:K42" si="58">B36*SQRT(2/3)</f>
        <v>372.32244090304306</v>
      </c>
      <c r="L36" s="69">
        <f t="shared" ref="L36:L42" si="59">P36*100000</f>
        <v>51672269176.978783</v>
      </c>
      <c r="M36" s="70">
        <f t="shared" ref="M36:M42" si="60">P36*10000</f>
        <v>5167226917.6978779</v>
      </c>
      <c r="N36" s="70">
        <f t="shared" ref="N36:N42" si="61">P36*10</f>
        <v>5167226.9176978786</v>
      </c>
      <c r="O36" s="70">
        <f t="shared" ref="O36:O42" si="62">P36*1000000</f>
        <v>516722691769.78778</v>
      </c>
      <c r="P36" s="70">
        <f>(C36^3)*0.3048^3</f>
        <v>516722.69176978781</v>
      </c>
      <c r="Q36" s="71">
        <f t="shared" ref="Q36:Q42" si="63">P36*1000</f>
        <v>516722691.76978779</v>
      </c>
      <c r="R36" s="115">
        <f t="shared" ref="R36:R42" si="64">U36/0.45359237</f>
        <v>734770155.39638174</v>
      </c>
      <c r="S36" s="72">
        <f t="shared" ref="S36:S42" si="65">U36*1000/31.1034768</f>
        <v>10715398099.530569</v>
      </c>
      <c r="T36" s="72">
        <f t="shared" ref="T36:T42" si="66">U36/1000</f>
        <v>333286.1361915131</v>
      </c>
      <c r="U36" s="72">
        <f>P36*F36</f>
        <v>333286136.19151312</v>
      </c>
      <c r="V36" s="116">
        <f t="shared" ref="V36:V42" si="67">U36*1000</f>
        <v>333286136191.51312</v>
      </c>
      <c r="W36" s="81">
        <f t="shared" ref="W36:W42" si="68">AB36/100</f>
        <v>386.35773050879999</v>
      </c>
      <c r="X36" s="73">
        <f t="shared" ref="X36:X42" si="69">AB36/4046.8564224</f>
        <v>9.5471074380165284</v>
      </c>
      <c r="Y36" s="73">
        <f t="shared" ref="Y36:Y42" si="70">AB36*10000</f>
        <v>386357730.50880003</v>
      </c>
      <c r="Z36" s="73">
        <f t="shared" ref="Z36:Z42" si="71">AB36*100</f>
        <v>3863577.3050880004</v>
      </c>
      <c r="AA36" s="73">
        <f t="shared" ref="AA36:AA42" si="72">AB36/10000</f>
        <v>3.863577305088</v>
      </c>
      <c r="AB36" s="73">
        <f>(6*C36^2)*0.3048^2</f>
        <v>38635.773050880001</v>
      </c>
      <c r="AC36" s="73">
        <f t="shared" ref="AC36:AC42" si="73">AB36*1000000</f>
        <v>38635773050.880005</v>
      </c>
      <c r="AD36" s="73">
        <f t="shared" ref="AD36:AD42" si="74">AB36/144*10000/(2.54*2.54)</f>
        <v>415872</v>
      </c>
      <c r="AE36" s="81">
        <f t="shared" ref="AE36:AE42" si="75">AB36*10000/(2.54 *2.54)</f>
        <v>59885568.000000007</v>
      </c>
      <c r="AF36" s="289">
        <v>263.27</v>
      </c>
      <c r="AG36" s="290">
        <v>372.32</v>
      </c>
      <c r="AH36" s="69">
        <v>51672269177</v>
      </c>
      <c r="AI36" s="69">
        <v>5167226918</v>
      </c>
      <c r="AJ36" s="70">
        <v>5167227</v>
      </c>
      <c r="AK36" s="70">
        <v>516722691770</v>
      </c>
      <c r="AL36" s="70">
        <v>516723</v>
      </c>
      <c r="AM36" s="71">
        <v>516722692</v>
      </c>
      <c r="AN36" s="115">
        <v>734770155</v>
      </c>
      <c r="AO36" s="72">
        <v>10715398100</v>
      </c>
      <c r="AP36" s="72">
        <v>333286</v>
      </c>
      <c r="AQ36" s="72">
        <v>333286136</v>
      </c>
      <c r="AR36" s="116">
        <v>333286136192</v>
      </c>
      <c r="AS36" s="123">
        <v>386.358</v>
      </c>
      <c r="AT36" s="123">
        <v>9.54711</v>
      </c>
      <c r="AU36" s="73">
        <v>386357731</v>
      </c>
      <c r="AV36" s="73">
        <v>3863577</v>
      </c>
      <c r="AW36" s="73">
        <v>3.8635799999999998</v>
      </c>
      <c r="AX36" s="73">
        <v>38635.800000000003</v>
      </c>
      <c r="AY36" s="73">
        <v>38635773051</v>
      </c>
      <c r="AZ36" s="73">
        <v>415872</v>
      </c>
      <c r="BA36" s="218">
        <v>59885568</v>
      </c>
      <c r="BB36" s="257">
        <f t="shared" ref="BB36:BB42" si="76">(J36-AF36)/J36</f>
        <v>6.5436213633468702E-6</v>
      </c>
      <c r="BC36" s="258">
        <f t="shared" ref="BC36:BC42" si="77">(K36-AG36)/K36</f>
        <v>6.555884832366951E-6</v>
      </c>
      <c r="BD36" s="43">
        <f t="shared" ref="BD36:BI42" si="78">(L36-AH36)/L36</f>
        <v>-4.1061378819529526E-13</v>
      </c>
      <c r="BE36" s="42">
        <f t="shared" si="78"/>
        <v>-5.8468908159247192E-11</v>
      </c>
      <c r="BF36" s="42">
        <f t="shared" si="78"/>
        <v>-1.5927715727685549E-8</v>
      </c>
      <c r="BG36" s="42">
        <f t="shared" si="78"/>
        <v>-4.1070237800936119E-13</v>
      </c>
      <c r="BH36" s="42">
        <f t="shared" si="78"/>
        <v>-5.965099212798722E-7</v>
      </c>
      <c r="BI36" s="43">
        <f t="shared" si="78"/>
        <v>-4.4552371180062616E-10</v>
      </c>
      <c r="BJ36" s="107">
        <f t="shared" ref="BJ36:BJ42" si="79">(R36-AN36)/R36</f>
        <v>5.3946357631777142E-10</v>
      </c>
      <c r="BK36" s="44">
        <f t="shared" ref="BK36:BW42" si="80">(S36-AO36)/S36</f>
        <v>-4.3809004490694508E-11</v>
      </c>
      <c r="BL36" s="44">
        <f t="shared" si="80"/>
        <v>4.086323981386739E-7</v>
      </c>
      <c r="BM36" s="44">
        <f t="shared" si="80"/>
        <v>5.7462072475176367E-10</v>
      </c>
      <c r="BN36" s="108">
        <f t="shared" si="80"/>
        <v>-1.4608391665187061E-12</v>
      </c>
      <c r="BO36" s="43">
        <f t="shared" si="80"/>
        <v>-6.9751729740281081E-7</v>
      </c>
      <c r="BP36" s="42">
        <f t="shared" si="80"/>
        <v>-2.6835180060844109E-7</v>
      </c>
      <c r="BQ36" s="42">
        <f t="shared" si="80"/>
        <v>-1.2713605331475911E-9</v>
      </c>
      <c r="BR36" s="42">
        <f t="shared" si="80"/>
        <v>7.8965160078530705E-8</v>
      </c>
      <c r="BS36" s="42">
        <f t="shared" si="80"/>
        <v>-6.9751729730625911E-7</v>
      </c>
      <c r="BT36" s="42">
        <f t="shared" si="80"/>
        <v>-6.9751729740281081E-7</v>
      </c>
      <c r="BU36" s="42">
        <f t="shared" si="80"/>
        <v>-3.1058034487747067E-12</v>
      </c>
      <c r="BV36" s="42">
        <f t="shared" si="80"/>
        <v>0</v>
      </c>
      <c r="BW36" s="45">
        <f t="shared" si="80"/>
        <v>1.2441362494756377E-16</v>
      </c>
    </row>
    <row r="37" spans="2:75" x14ac:dyDescent="0.25">
      <c r="B37" s="159">
        <v>345</v>
      </c>
      <c r="C37" s="93">
        <f t="shared" si="55"/>
        <v>199.18584287042088</v>
      </c>
      <c r="D37" s="128">
        <f t="shared" si="56"/>
        <v>281.69132042006549</v>
      </c>
      <c r="E37" s="156" t="s">
        <v>4</v>
      </c>
      <c r="F37" s="59"/>
      <c r="G37" s="5">
        <v>1450</v>
      </c>
      <c r="H37" s="56"/>
      <c r="I37" s="55"/>
      <c r="J37" s="289">
        <f t="shared" si="57"/>
        <v>199.18584287042088</v>
      </c>
      <c r="K37" s="290">
        <f t="shared" si="58"/>
        <v>281.69132042006549</v>
      </c>
      <c r="L37" s="69">
        <f t="shared" si="59"/>
        <v>12950202.307508247</v>
      </c>
      <c r="M37" s="70">
        <f t="shared" si="60"/>
        <v>1295020.2307508246</v>
      </c>
      <c r="N37" s="70">
        <f t="shared" si="61"/>
        <v>1295.0202307508246</v>
      </c>
      <c r="O37" s="70">
        <f t="shared" si="62"/>
        <v>129502023.07508247</v>
      </c>
      <c r="P37" s="70">
        <f>(C37^3)*(2.54/100)^3</f>
        <v>129.50202307508246</v>
      </c>
      <c r="Q37" s="71">
        <f t="shared" si="63"/>
        <v>129502.02307508246</v>
      </c>
      <c r="R37" s="115">
        <f t="shared" si="64"/>
        <v>413979479.9874379</v>
      </c>
      <c r="S37" s="72">
        <f t="shared" si="65"/>
        <v>6037200749.816803</v>
      </c>
      <c r="T37" s="72">
        <f t="shared" si="66"/>
        <v>187777.93345886955</v>
      </c>
      <c r="U37" s="72">
        <f>P37*1000*G37</f>
        <v>187777933.45886955</v>
      </c>
      <c r="V37" s="116">
        <f t="shared" si="67"/>
        <v>187777933458.86954</v>
      </c>
      <c r="W37" s="81">
        <f t="shared" si="68"/>
        <v>1.5358033799999999</v>
      </c>
      <c r="X37" s="73">
        <f t="shared" si="69"/>
        <v>3.7950528007346183E-2</v>
      </c>
      <c r="Y37" s="73">
        <f t="shared" si="70"/>
        <v>1535803.38</v>
      </c>
      <c r="Z37" s="73">
        <f t="shared" si="71"/>
        <v>15358.033799999997</v>
      </c>
      <c r="AA37" s="73">
        <f t="shared" si="72"/>
        <v>1.5358033799999999E-2</v>
      </c>
      <c r="AB37" s="73">
        <f>(6*C37^2)*(2.54/100)^2</f>
        <v>153.58033799999998</v>
      </c>
      <c r="AC37" s="73">
        <f t="shared" si="73"/>
        <v>153580337.99999997</v>
      </c>
      <c r="AD37" s="73">
        <f t="shared" si="74"/>
        <v>1653.1249999999998</v>
      </c>
      <c r="AE37" s="81">
        <f t="shared" si="75"/>
        <v>238049.99999999997</v>
      </c>
      <c r="AF37" s="289">
        <v>199.19</v>
      </c>
      <c r="AG37" s="290">
        <v>281.69</v>
      </c>
      <c r="AH37" s="69">
        <v>12950202</v>
      </c>
      <c r="AI37" s="70">
        <v>1295020</v>
      </c>
      <c r="AJ37" s="70">
        <v>1295.02</v>
      </c>
      <c r="AK37" s="70">
        <v>129502023</v>
      </c>
      <c r="AL37" s="70">
        <v>129.50200000000001</v>
      </c>
      <c r="AM37" s="71">
        <v>129502</v>
      </c>
      <c r="AN37" s="115">
        <v>413979480</v>
      </c>
      <c r="AO37" s="72">
        <v>6037200750</v>
      </c>
      <c r="AP37" s="72">
        <v>187778</v>
      </c>
      <c r="AQ37" s="72">
        <v>187777933</v>
      </c>
      <c r="AR37" s="116">
        <v>187777933459</v>
      </c>
      <c r="AS37" s="123">
        <v>1.5358000000000001</v>
      </c>
      <c r="AT37" s="123">
        <v>3.7950499999999998E-2</v>
      </c>
      <c r="AU37" s="73">
        <v>1535803</v>
      </c>
      <c r="AV37" s="73">
        <v>15358</v>
      </c>
      <c r="AW37" s="73">
        <v>1.5358E-2</v>
      </c>
      <c r="AX37" s="73">
        <v>153.58000000000001</v>
      </c>
      <c r="AY37" s="73">
        <v>153580338</v>
      </c>
      <c r="AZ37" s="73">
        <v>1653.12</v>
      </c>
      <c r="BA37" s="218">
        <v>238050</v>
      </c>
      <c r="BB37" s="257">
        <f t="shared" si="76"/>
        <v>-2.0870607665713252E-5</v>
      </c>
      <c r="BC37" s="258">
        <f t="shared" si="77"/>
        <v>4.6874716037674644E-6</v>
      </c>
      <c r="BD37" s="43">
        <f t="shared" si="78"/>
        <v>2.3745439621037449E-8</v>
      </c>
      <c r="BE37" s="42">
        <f t="shared" si="78"/>
        <v>1.7818318129581111E-7</v>
      </c>
      <c r="BF37" s="42">
        <f t="shared" si="78"/>
        <v>1.7818318131688016E-7</v>
      </c>
      <c r="BG37" s="42">
        <f t="shared" si="78"/>
        <v>5.7977832487410489E-10</v>
      </c>
      <c r="BH37" s="42">
        <f t="shared" si="78"/>
        <v>1.781831812729863E-7</v>
      </c>
      <c r="BI37" s="43">
        <f t="shared" si="78"/>
        <v>1.7818318129581111E-7</v>
      </c>
      <c r="BJ37" s="107">
        <f t="shared" si="79"/>
        <v>-3.0344731384531897E-11</v>
      </c>
      <c r="BK37" s="44">
        <f t="shared" si="80"/>
        <v>-3.0344696006660715E-11</v>
      </c>
      <c r="BL37" s="44">
        <f t="shared" si="80"/>
        <v>-3.5436075594772716E-7</v>
      </c>
      <c r="BM37" s="44">
        <f t="shared" si="80"/>
        <v>2.4436819502668027E-9</v>
      </c>
      <c r="BN37" s="108">
        <f t="shared" si="80"/>
        <v>-6.9477091413912725E-13</v>
      </c>
      <c r="BO37" s="43">
        <f t="shared" si="80"/>
        <v>2.2008025531798556E-6</v>
      </c>
      <c r="BP37" s="42">
        <f t="shared" si="80"/>
        <v>7.3799621917981621E-7</v>
      </c>
      <c r="BQ37" s="42">
        <f t="shared" si="80"/>
        <v>2.4742750591435818E-7</v>
      </c>
      <c r="BR37" s="42">
        <f t="shared" si="80"/>
        <v>2.2008025530863999E-6</v>
      </c>
      <c r="BS37" s="42">
        <f t="shared" si="80"/>
        <v>2.2008025531572652E-6</v>
      </c>
      <c r="BT37" s="42">
        <f t="shared" si="80"/>
        <v>2.2008025530641928E-6</v>
      </c>
      <c r="BU37" s="42">
        <f t="shared" si="80"/>
        <v>-1.9405037634241513E-16</v>
      </c>
      <c r="BV37" s="42">
        <f t="shared" si="80"/>
        <v>3.0245746691156244E-6</v>
      </c>
      <c r="BW37" s="45">
        <f t="shared" si="80"/>
        <v>-1.222593171885474E-16</v>
      </c>
    </row>
    <row r="38" spans="2:75" x14ac:dyDescent="0.25">
      <c r="B38" s="159">
        <v>776</v>
      </c>
      <c r="C38" s="93">
        <f t="shared" si="55"/>
        <v>448.02380889114954</v>
      </c>
      <c r="D38" s="128">
        <f t="shared" si="56"/>
        <v>633.6013467999154</v>
      </c>
      <c r="E38" s="156" t="s">
        <v>5</v>
      </c>
      <c r="F38" s="59"/>
      <c r="G38" s="5">
        <v>438</v>
      </c>
      <c r="H38" s="56"/>
      <c r="I38" s="57"/>
      <c r="J38" s="289">
        <f t="shared" si="57"/>
        <v>448.02380889114954</v>
      </c>
      <c r="K38" s="290">
        <f t="shared" si="58"/>
        <v>633.6013467999154</v>
      </c>
      <c r="L38" s="69">
        <f t="shared" si="59"/>
        <v>8992972838094.5586</v>
      </c>
      <c r="M38" s="70">
        <f t="shared" si="60"/>
        <v>899297283809.45593</v>
      </c>
      <c r="N38" s="70">
        <f t="shared" si="61"/>
        <v>899297283.80945587</v>
      </c>
      <c r="O38" s="70">
        <f t="shared" si="62"/>
        <v>89929728380945.594</v>
      </c>
      <c r="P38" s="70">
        <f>C38^3</f>
        <v>89929728.380945593</v>
      </c>
      <c r="Q38" s="71">
        <f t="shared" si="63"/>
        <v>89929728380.945587</v>
      </c>
      <c r="R38" s="115">
        <f t="shared" si="64"/>
        <v>86838367741622.641</v>
      </c>
      <c r="S38" s="72">
        <f t="shared" si="65"/>
        <v>1266392862898663.7</v>
      </c>
      <c r="T38" s="72">
        <f t="shared" si="66"/>
        <v>39389221030.854164</v>
      </c>
      <c r="U38" s="72">
        <f>P38*1000*G38</f>
        <v>39389221030854.164</v>
      </c>
      <c r="V38" s="116">
        <f t="shared" si="67"/>
        <v>3.9389221030854168E+16</v>
      </c>
      <c r="W38" s="81">
        <f t="shared" si="68"/>
        <v>12043.519999999997</v>
      </c>
      <c r="X38" s="73">
        <f t="shared" si="69"/>
        <v>297.60186038074346</v>
      </c>
      <c r="Y38" s="73">
        <f t="shared" si="70"/>
        <v>12043519999.999998</v>
      </c>
      <c r="Z38" s="73">
        <f t="shared" si="71"/>
        <v>120435199.99999997</v>
      </c>
      <c r="AA38" s="73">
        <f t="shared" si="72"/>
        <v>120.43519999999998</v>
      </c>
      <c r="AB38" s="73">
        <f>6*C38^2</f>
        <v>1204351.9999999998</v>
      </c>
      <c r="AC38" s="73">
        <f t="shared" si="73"/>
        <v>1204351999999.9998</v>
      </c>
      <c r="AD38" s="73">
        <f t="shared" si="74"/>
        <v>12963537.038185187</v>
      </c>
      <c r="AE38" s="81">
        <f t="shared" si="75"/>
        <v>1866749333.4986668</v>
      </c>
      <c r="AF38" s="289">
        <v>448.02</v>
      </c>
      <c r="AG38" s="290">
        <v>633.6</v>
      </c>
      <c r="AH38" s="69">
        <v>8992972838095</v>
      </c>
      <c r="AI38" s="70">
        <v>899297283809</v>
      </c>
      <c r="AJ38" s="70">
        <v>899297284</v>
      </c>
      <c r="AK38" s="70">
        <v>89929728380946</v>
      </c>
      <c r="AL38" s="70">
        <v>89929728</v>
      </c>
      <c r="AM38" s="71">
        <v>89929728381</v>
      </c>
      <c r="AN38" s="115">
        <v>86838367741623</v>
      </c>
      <c r="AO38" s="72">
        <v>1266392862898660</v>
      </c>
      <c r="AP38" s="72">
        <v>39389221031</v>
      </c>
      <c r="AQ38" s="72">
        <v>39389221030854</v>
      </c>
      <c r="AR38" s="116">
        <v>3.93892210308542E+16</v>
      </c>
      <c r="AS38" s="123">
        <v>12043.5</v>
      </c>
      <c r="AT38" s="123">
        <v>297.60199999999998</v>
      </c>
      <c r="AU38" s="73">
        <v>12043520000</v>
      </c>
      <c r="AV38" s="73">
        <v>120435200</v>
      </c>
      <c r="AW38" s="73">
        <v>120.435</v>
      </c>
      <c r="AX38" s="73">
        <v>1204352</v>
      </c>
      <c r="AY38" s="73">
        <v>1204352000000</v>
      </c>
      <c r="AZ38" s="73">
        <v>12963537</v>
      </c>
      <c r="BA38" s="218">
        <v>1866749333</v>
      </c>
      <c r="BB38" s="257">
        <f t="shared" si="76"/>
        <v>8.5015373602299303E-6</v>
      </c>
      <c r="BC38" s="258">
        <f t="shared" si="77"/>
        <v>2.1256266612815221E-6</v>
      </c>
      <c r="BD38" s="43">
        <f t="shared" si="78"/>
        <v>-4.9083463049080627E-14</v>
      </c>
      <c r="BE38" s="42">
        <f t="shared" si="78"/>
        <v>5.069876506867149E-13</v>
      </c>
      <c r="BF38" s="42">
        <f t="shared" si="78"/>
        <v>-2.1188113413488466E-10</v>
      </c>
      <c r="BG38" s="42">
        <f t="shared" si="78"/>
        <v>-4.5174160682339691E-15</v>
      </c>
      <c r="BH38" s="42">
        <f t="shared" si="78"/>
        <v>4.2360362916361566E-9</v>
      </c>
      <c r="BI38" s="43">
        <f t="shared" si="78"/>
        <v>-6.0505955901901799E-13</v>
      </c>
      <c r="BJ38" s="107">
        <f t="shared" si="79"/>
        <v>-4.1384356862772694E-15</v>
      </c>
      <c r="BK38" s="44">
        <f t="shared" si="80"/>
        <v>2.9611664040940459E-15</v>
      </c>
      <c r="BL38" s="44">
        <f t="shared" si="80"/>
        <v>-3.7024310876980361E-12</v>
      </c>
      <c r="BM38" s="44">
        <f t="shared" si="80"/>
        <v>4.1651623389933863E-15</v>
      </c>
      <c r="BN38" s="108">
        <f t="shared" si="80"/>
        <v>-8.1240499716747179E-16</v>
      </c>
      <c r="BO38" s="43">
        <f t="shared" si="80"/>
        <v>1.6606440639280363E-6</v>
      </c>
      <c r="BP38" s="42">
        <f t="shared" si="80"/>
        <v>-4.6914779476399702E-7</v>
      </c>
      <c r="BQ38" s="42">
        <f t="shared" si="80"/>
        <v>-1.5837135927141736E-16</v>
      </c>
      <c r="BR38" s="42">
        <f t="shared" si="80"/>
        <v>-2.4745524886158965E-16</v>
      </c>
      <c r="BS38" s="42">
        <f t="shared" si="80"/>
        <v>1.6606440640129931E-6</v>
      </c>
      <c r="BT38" s="42">
        <f t="shared" si="80"/>
        <v>-1.9332441317311689E-16</v>
      </c>
      <c r="BU38" s="42">
        <f t="shared" si="80"/>
        <v>-2.0271533986741422E-16</v>
      </c>
      <c r="BV38" s="42">
        <f t="shared" si="80"/>
        <v>2.9455839537970193E-9</v>
      </c>
      <c r="BW38" s="45">
        <f t="shared" si="80"/>
        <v>2.6713107879945585E-10</v>
      </c>
    </row>
    <row r="39" spans="2:75" x14ac:dyDescent="0.25">
      <c r="B39" s="160">
        <v>12</v>
      </c>
      <c r="C39" s="93">
        <f t="shared" si="55"/>
        <v>6.9282032302755088</v>
      </c>
      <c r="D39" s="128">
        <f t="shared" si="56"/>
        <v>9.7979589711327115</v>
      </c>
      <c r="E39" s="156" t="s">
        <v>6</v>
      </c>
      <c r="F39" s="59"/>
      <c r="G39" s="58"/>
      <c r="H39" s="4">
        <v>2300</v>
      </c>
      <c r="I39" s="55"/>
      <c r="J39" s="289">
        <f t="shared" si="57"/>
        <v>6.9282032302755088</v>
      </c>
      <c r="K39" s="290">
        <f t="shared" si="58"/>
        <v>9.7979589711327115</v>
      </c>
      <c r="L39" s="69">
        <f t="shared" si="59"/>
        <v>1.3861445177948685E+17</v>
      </c>
      <c r="M39" s="70">
        <f t="shared" si="60"/>
        <v>1.3861445177948684E+16</v>
      </c>
      <c r="N39" s="70">
        <f t="shared" si="61"/>
        <v>13861445177948.684</v>
      </c>
      <c r="O39" s="70">
        <f t="shared" si="62"/>
        <v>1.3861445177948685E+18</v>
      </c>
      <c r="P39" s="70">
        <f>(C39^3)*(63360*2.54/100)^3</f>
        <v>1386144517794.8684</v>
      </c>
      <c r="Q39" s="71">
        <f t="shared" si="63"/>
        <v>1386144517794868.5</v>
      </c>
      <c r="R39" s="115">
        <f t="shared" si="64"/>
        <v>1.1258783284961186E+17</v>
      </c>
      <c r="S39" s="72">
        <f t="shared" si="65"/>
        <v>1.6419058957235062E+18</v>
      </c>
      <c r="T39" s="72">
        <f t="shared" si="66"/>
        <v>51068981935419.297</v>
      </c>
      <c r="U39" s="72">
        <f>P39*(0.45359237/0.3048^3)*H39</f>
        <v>5.1068981935419296E+16</v>
      </c>
      <c r="V39" s="116">
        <f t="shared" si="67"/>
        <v>5.1068981935419294E+19</v>
      </c>
      <c r="W39" s="81">
        <f t="shared" si="68"/>
        <v>7459165.7577676782</v>
      </c>
      <c r="X39" s="73">
        <f t="shared" si="69"/>
        <v>184319.99999999994</v>
      </c>
      <c r="Y39" s="73">
        <f t="shared" si="70"/>
        <v>7459165757767.6787</v>
      </c>
      <c r="Z39" s="73">
        <f t="shared" si="71"/>
        <v>74591657577.676788</v>
      </c>
      <c r="AA39" s="73">
        <f t="shared" si="72"/>
        <v>74591.657577676786</v>
      </c>
      <c r="AB39" s="73">
        <f>(6*C39^2)*(63360*2.54/100)^2</f>
        <v>745916575.77676785</v>
      </c>
      <c r="AC39" s="73">
        <f t="shared" si="73"/>
        <v>745916575776767.87</v>
      </c>
      <c r="AD39" s="73">
        <f t="shared" si="74"/>
        <v>8028979199.999999</v>
      </c>
      <c r="AE39" s="81">
        <f t="shared" si="75"/>
        <v>1156173004799.9998</v>
      </c>
      <c r="AF39" s="289">
        <v>6.9282000000000004</v>
      </c>
      <c r="AG39" s="290">
        <v>9.798</v>
      </c>
      <c r="AH39" s="69">
        <v>1.3861445177948701E+17</v>
      </c>
      <c r="AI39" s="70">
        <v>1.38614451779487E+16</v>
      </c>
      <c r="AJ39" s="70">
        <v>13861445177949</v>
      </c>
      <c r="AK39" s="70">
        <v>1.38614451779487E+18</v>
      </c>
      <c r="AL39" s="70">
        <v>1386144517795</v>
      </c>
      <c r="AM39" s="71">
        <v>1386144517794870</v>
      </c>
      <c r="AN39" s="115">
        <v>1.12587832849612E+17</v>
      </c>
      <c r="AO39" s="72">
        <v>1.64190589572351E+18</v>
      </c>
      <c r="AP39" s="72">
        <v>51068981935419</v>
      </c>
      <c r="AQ39" s="72">
        <v>5.1068981935419296E+16</v>
      </c>
      <c r="AR39" s="116">
        <v>5.1068981935419302E+19</v>
      </c>
      <c r="AS39" s="123">
        <v>7459166</v>
      </c>
      <c r="AT39" s="123">
        <v>184320</v>
      </c>
      <c r="AU39" s="73">
        <v>7459165757768</v>
      </c>
      <c r="AV39" s="73">
        <v>74591657578</v>
      </c>
      <c r="AW39" s="73">
        <v>74591.7</v>
      </c>
      <c r="AX39" s="73">
        <v>745916576</v>
      </c>
      <c r="AY39" s="73">
        <v>745916575776768</v>
      </c>
      <c r="AZ39" s="73">
        <v>8028979200</v>
      </c>
      <c r="BA39" s="218">
        <v>1156173004800</v>
      </c>
      <c r="BB39" s="257">
        <f t="shared" si="76"/>
        <v>4.6625010858495513E-7</v>
      </c>
      <c r="BC39" s="258">
        <f t="shared" si="77"/>
        <v>-4.187491232551474E-6</v>
      </c>
      <c r="BD39" s="43">
        <f t="shared" si="78"/>
        <v>-1.1542807978964134E-15</v>
      </c>
      <c r="BE39" s="42">
        <f t="shared" si="78"/>
        <v>-1.1542807978964134E-15</v>
      </c>
      <c r="BF39" s="42">
        <f t="shared" si="78"/>
        <v>-2.2826353669338257E-14</v>
      </c>
      <c r="BG39" s="42">
        <f t="shared" si="78"/>
        <v>-1.1081095659805569E-15</v>
      </c>
      <c r="BH39" s="42">
        <f t="shared" si="78"/>
        <v>-9.4933677683436101E-14</v>
      </c>
      <c r="BI39" s="43">
        <f t="shared" si="78"/>
        <v>-1.0821382480278876E-15</v>
      </c>
      <c r="BJ39" s="107">
        <f t="shared" si="79"/>
        <v>-1.2790014369700734E-15</v>
      </c>
      <c r="BK39" s="44">
        <f t="shared" si="80"/>
        <v>-2.3387454847452772E-15</v>
      </c>
      <c r="BL39" s="44">
        <f t="shared" si="80"/>
        <v>5.8132155517692038E-15</v>
      </c>
      <c r="BM39" s="44">
        <f t="shared" si="80"/>
        <v>0</v>
      </c>
      <c r="BN39" s="108">
        <f t="shared" si="80"/>
        <v>-1.6041048185294593E-16</v>
      </c>
      <c r="BO39" s="43">
        <f t="shared" si="80"/>
        <v>-3.2474452187806311E-8</v>
      </c>
      <c r="BP39" s="42">
        <f t="shared" si="80"/>
        <v>-3.1579677144893353E-16</v>
      </c>
      <c r="BQ39" s="42">
        <f t="shared" si="80"/>
        <v>-4.3073055745600283E-14</v>
      </c>
      <c r="BR39" s="42">
        <f t="shared" si="80"/>
        <v>-4.3330806744077944E-12</v>
      </c>
      <c r="BS39" s="42">
        <f t="shared" si="80"/>
        <v>-5.6872745007758705E-7</v>
      </c>
      <c r="BT39" s="42">
        <f t="shared" si="80"/>
        <v>-2.9927227430943565E-10</v>
      </c>
      <c r="BU39" s="42">
        <f t="shared" si="80"/>
        <v>-1.6757906186738103E-16</v>
      </c>
      <c r="BV39" s="42">
        <f t="shared" si="80"/>
        <v>-1.1877902441274853E-16</v>
      </c>
      <c r="BW39" s="45">
        <f t="shared" si="80"/>
        <v>-2.1116271006710851E-16</v>
      </c>
    </row>
    <row r="40" spans="2:75" x14ac:dyDescent="0.25">
      <c r="B40" s="159">
        <v>42</v>
      </c>
      <c r="C40" s="93">
        <f t="shared" si="55"/>
        <v>24.248711305964282</v>
      </c>
      <c r="D40" s="128">
        <f t="shared" si="56"/>
        <v>34.292856398964496</v>
      </c>
      <c r="E40" s="156" t="s">
        <v>7</v>
      </c>
      <c r="F40" s="59"/>
      <c r="G40" s="58"/>
      <c r="H40" s="4">
        <v>3400</v>
      </c>
      <c r="I40" s="55"/>
      <c r="J40" s="289">
        <f t="shared" si="57"/>
        <v>24.248711305964282</v>
      </c>
      <c r="K40" s="290">
        <f t="shared" si="58"/>
        <v>34.292856398964496</v>
      </c>
      <c r="L40" s="69">
        <f t="shared" si="59"/>
        <v>1.4258242247906998</v>
      </c>
      <c r="M40" s="70">
        <f t="shared" si="60"/>
        <v>0.14258242247906996</v>
      </c>
      <c r="N40" s="70">
        <f t="shared" si="61"/>
        <v>1.4258242247906997E-4</v>
      </c>
      <c r="O40" s="70">
        <f t="shared" si="62"/>
        <v>14.258242247906997</v>
      </c>
      <c r="P40" s="70">
        <f>(C40^3)/1000^3</f>
        <v>1.4258242247906998E-5</v>
      </c>
      <c r="Q40" s="71">
        <f t="shared" si="63"/>
        <v>1.4258242247906998E-2</v>
      </c>
      <c r="R40" s="115">
        <f t="shared" si="64"/>
        <v>1.711985248264885</v>
      </c>
      <c r="S40" s="72">
        <f t="shared" si="65"/>
        <v>24.966451537196242</v>
      </c>
      <c r="T40" s="72">
        <f t="shared" si="66"/>
        <v>7.7654344616550762E-4</v>
      </c>
      <c r="U40" s="72">
        <f>P40*(0.45359237/0.3048^3)*H40</f>
        <v>0.77654344616550763</v>
      </c>
      <c r="V40" s="116">
        <f t="shared" si="67"/>
        <v>776.54344616550759</v>
      </c>
      <c r="W40" s="81">
        <f t="shared" si="68"/>
        <v>3.5280000000000001E-5</v>
      </c>
      <c r="X40" s="73">
        <f t="shared" si="69"/>
        <v>8.7178778581615924E-7</v>
      </c>
      <c r="Y40" s="73">
        <f t="shared" si="70"/>
        <v>35.28</v>
      </c>
      <c r="Z40" s="73">
        <f t="shared" si="71"/>
        <v>0.3528</v>
      </c>
      <c r="AA40" s="73">
        <f t="shared" si="72"/>
        <v>3.5279999999999998E-7</v>
      </c>
      <c r="AB40" s="73">
        <f>(6*C40^2)/1000^2</f>
        <v>3.5279999999999999E-3</v>
      </c>
      <c r="AC40" s="73">
        <f t="shared" si="73"/>
        <v>3528</v>
      </c>
      <c r="AD40" s="73">
        <f t="shared" si="74"/>
        <v>3.7975075950151899E-2</v>
      </c>
      <c r="AE40" s="81">
        <f t="shared" si="75"/>
        <v>5.4684109368218738</v>
      </c>
      <c r="AF40" s="289">
        <v>24.248999999999999</v>
      </c>
      <c r="AG40" s="290">
        <v>34.292999999999999</v>
      </c>
      <c r="AH40" s="69">
        <v>1.4258200000000001</v>
      </c>
      <c r="AI40" s="70">
        <v>0.14258199999999999</v>
      </c>
      <c r="AJ40" s="70">
        <v>1.4258200000000001E-4</v>
      </c>
      <c r="AK40" s="70">
        <v>14.2582</v>
      </c>
      <c r="AL40" s="70">
        <v>1.4258242247906999E-5</v>
      </c>
      <c r="AM40" s="71">
        <v>1.42582E-2</v>
      </c>
      <c r="AN40" s="115">
        <v>1.7119899999999999</v>
      </c>
      <c r="AO40" s="72">
        <v>24.9665</v>
      </c>
      <c r="AP40" s="72">
        <v>7.7654299999999998E-4</v>
      </c>
      <c r="AQ40" s="72">
        <v>0.77654299999999998</v>
      </c>
      <c r="AR40" s="116">
        <v>776.54300000000001</v>
      </c>
      <c r="AS40" s="123">
        <v>3.5280000000000001E-5</v>
      </c>
      <c r="AT40" s="123">
        <v>8.7178778581615998E-7</v>
      </c>
      <c r="AU40" s="73">
        <v>35.28</v>
      </c>
      <c r="AV40" s="73">
        <v>0.3528</v>
      </c>
      <c r="AW40" s="73">
        <v>3.5279999999999998E-7</v>
      </c>
      <c r="AX40" s="73">
        <v>3.5279999999999999E-3</v>
      </c>
      <c r="AY40" s="73">
        <v>3528</v>
      </c>
      <c r="AZ40" s="73">
        <v>3.7975099999999998E-2</v>
      </c>
      <c r="BA40" s="218">
        <v>5.4684100000000004</v>
      </c>
      <c r="BB40" s="257">
        <f t="shared" si="76"/>
        <v>-1.1905541373911167E-5</v>
      </c>
      <c r="BC40" s="258">
        <f t="shared" si="77"/>
        <v>-4.1874912323701742E-6</v>
      </c>
      <c r="BD40" s="43">
        <f t="shared" si="78"/>
        <v>2.9630515643295379E-6</v>
      </c>
      <c r="BE40" s="42">
        <f t="shared" si="78"/>
        <v>2.9630515643684709E-6</v>
      </c>
      <c r="BF40" s="42">
        <f t="shared" si="78"/>
        <v>2.9630515642224733E-6</v>
      </c>
      <c r="BG40" s="42">
        <f t="shared" si="78"/>
        <v>2.963051564298392E-6</v>
      </c>
      <c r="BH40" s="42">
        <f t="shared" si="78"/>
        <v>-1.1881309526476005E-16</v>
      </c>
      <c r="BI40" s="43">
        <f t="shared" si="78"/>
        <v>2.9630515643441377E-6</v>
      </c>
      <c r="BJ40" s="107">
        <f t="shared" si="79"/>
        <v>-2.7755701281622375E-6</v>
      </c>
      <c r="BK40" s="44">
        <f t="shared" si="80"/>
        <v>-1.9411170099757719E-6</v>
      </c>
      <c r="BL40" s="44">
        <f t="shared" si="80"/>
        <v>5.7455318159690048E-7</v>
      </c>
      <c r="BM40" s="44">
        <f t="shared" si="80"/>
        <v>5.7455318160695307E-7</v>
      </c>
      <c r="BN40" s="108">
        <f t="shared" si="80"/>
        <v>5.7455318152002737E-7</v>
      </c>
      <c r="BO40" s="43">
        <f t="shared" si="80"/>
        <v>0</v>
      </c>
      <c r="BP40" s="42">
        <f t="shared" si="80"/>
        <v>-8.50153949052695E-16</v>
      </c>
      <c r="BQ40" s="42">
        <f t="shared" si="80"/>
        <v>0</v>
      </c>
      <c r="BR40" s="42">
        <f t="shared" si="80"/>
        <v>0</v>
      </c>
      <c r="BS40" s="42">
        <f t="shared" si="80"/>
        <v>0</v>
      </c>
      <c r="BT40" s="42">
        <f t="shared" si="80"/>
        <v>0</v>
      </c>
      <c r="BU40" s="42">
        <f t="shared" si="80"/>
        <v>0</v>
      </c>
      <c r="BV40" s="42">
        <f t="shared" si="80"/>
        <v>-6.3330612243372546E-7</v>
      </c>
      <c r="BW40" s="45">
        <f t="shared" si="80"/>
        <v>1.7131519270094581E-7</v>
      </c>
    </row>
    <row r="41" spans="2:75" x14ac:dyDescent="0.25">
      <c r="B41" s="159">
        <v>99</v>
      </c>
      <c r="C41" s="93">
        <f t="shared" si="55"/>
        <v>57.157676649772945</v>
      </c>
      <c r="D41" s="128">
        <f t="shared" si="56"/>
        <v>80.833161511844878</v>
      </c>
      <c r="E41" s="156" t="s">
        <v>8</v>
      </c>
      <c r="F41" s="59"/>
      <c r="G41" s="58"/>
      <c r="H41" s="58"/>
      <c r="I41" s="14">
        <v>399</v>
      </c>
      <c r="J41" s="289">
        <f t="shared" si="57"/>
        <v>57.157676649772945</v>
      </c>
      <c r="K41" s="290">
        <f t="shared" si="58"/>
        <v>80.833161511844878</v>
      </c>
      <c r="L41" s="69">
        <f t="shared" si="59"/>
        <v>14276848594.841553</v>
      </c>
      <c r="M41" s="70">
        <f t="shared" si="60"/>
        <v>1427684859.4841554</v>
      </c>
      <c r="N41" s="70">
        <f t="shared" si="61"/>
        <v>1427684.8594841552</v>
      </c>
      <c r="O41" s="70">
        <f t="shared" si="62"/>
        <v>142768485948.41553</v>
      </c>
      <c r="P41" s="70">
        <f>(C41^3)*0.9144^3</f>
        <v>142768.48594841553</v>
      </c>
      <c r="Q41" s="71">
        <f t="shared" si="63"/>
        <v>142768485.94841552</v>
      </c>
      <c r="R41" s="115">
        <f t="shared" si="64"/>
        <v>125585502889.78139</v>
      </c>
      <c r="S41" s="72">
        <f t="shared" si="65"/>
        <v>1831455250475.979</v>
      </c>
      <c r="T41" s="72">
        <f t="shared" si="66"/>
        <v>56964625.893417791</v>
      </c>
      <c r="U41" s="72">
        <f>P41*1000*I41</f>
        <v>56964625893.417793</v>
      </c>
      <c r="V41" s="116">
        <f t="shared" si="67"/>
        <v>56964625893417.797</v>
      </c>
      <c r="W41" s="81">
        <f t="shared" si="68"/>
        <v>163.89768510719998</v>
      </c>
      <c r="X41" s="73">
        <f t="shared" si="69"/>
        <v>4.0499999999999989</v>
      </c>
      <c r="Y41" s="73">
        <f t="shared" si="70"/>
        <v>163897685.10719997</v>
      </c>
      <c r="Z41" s="73">
        <f t="shared" si="71"/>
        <v>1638976.8510719999</v>
      </c>
      <c r="AA41" s="73">
        <f t="shared" si="72"/>
        <v>1.6389768510719998</v>
      </c>
      <c r="AB41" s="73">
        <f>(6*C41^2)*0.9144^2</f>
        <v>16389.768510719998</v>
      </c>
      <c r="AC41" s="73">
        <f t="shared" si="73"/>
        <v>16389768510.719997</v>
      </c>
      <c r="AD41" s="73">
        <f t="shared" si="74"/>
        <v>176417.99999999997</v>
      </c>
      <c r="AE41" s="81">
        <f t="shared" si="75"/>
        <v>25404191.999999996</v>
      </c>
      <c r="AF41" s="289">
        <v>57.158000000000001</v>
      </c>
      <c r="AG41" s="290">
        <v>80.832999999999998</v>
      </c>
      <c r="AH41" s="69">
        <v>14276848595</v>
      </c>
      <c r="AI41" s="70">
        <v>1427684859</v>
      </c>
      <c r="AJ41" s="70">
        <v>1427685</v>
      </c>
      <c r="AK41" s="70">
        <v>142768485948</v>
      </c>
      <c r="AL41" s="70">
        <v>142768</v>
      </c>
      <c r="AM41" s="71">
        <v>142768486</v>
      </c>
      <c r="AN41" s="115">
        <v>125585502890</v>
      </c>
      <c r="AO41" s="72">
        <v>1831455250476</v>
      </c>
      <c r="AP41" s="72">
        <v>56964626</v>
      </c>
      <c r="AQ41" s="72">
        <v>56964625893</v>
      </c>
      <c r="AR41" s="116">
        <v>56964625893418</v>
      </c>
      <c r="AS41" s="123">
        <v>163.898</v>
      </c>
      <c r="AT41" s="123">
        <v>4.05</v>
      </c>
      <c r="AU41" s="73">
        <v>163897685</v>
      </c>
      <c r="AV41" s="73">
        <v>1638977</v>
      </c>
      <c r="AW41" s="73">
        <v>1.6389800000000001</v>
      </c>
      <c r="AX41" s="73">
        <v>16389.8</v>
      </c>
      <c r="AY41" s="73">
        <v>16389768511</v>
      </c>
      <c r="AZ41" s="73">
        <v>176418</v>
      </c>
      <c r="BA41" s="218">
        <v>25404192</v>
      </c>
      <c r="BB41" s="257">
        <f t="shared" si="76"/>
        <v>-5.6571618373746589E-6</v>
      </c>
      <c r="BC41" s="258">
        <f t="shared" si="77"/>
        <v>1.9980889261148367E-6</v>
      </c>
      <c r="BD41" s="43">
        <f t="shared" si="78"/>
        <v>-1.1098196116070704E-11</v>
      </c>
      <c r="BE41" s="42">
        <f t="shared" si="78"/>
        <v>3.3911924839181968E-10</v>
      </c>
      <c r="BF41" s="42">
        <f t="shared" si="78"/>
        <v>-9.8422172000951279E-8</v>
      </c>
      <c r="BG41" s="42">
        <f t="shared" si="78"/>
        <v>2.9104976563254756E-12</v>
      </c>
      <c r="BH41" s="42">
        <f t="shared" si="78"/>
        <v>3.4037512711796348E-6</v>
      </c>
      <c r="BI41" s="43">
        <f t="shared" si="78"/>
        <v>-3.6131560722463248E-10</v>
      </c>
      <c r="BJ41" s="107">
        <f t="shared" si="79"/>
        <v>-1.7407476648821504E-12</v>
      </c>
      <c r="BK41" s="44">
        <f t="shared" si="80"/>
        <v>-1.1464158758202419E-14</v>
      </c>
      <c r="BL41" s="44">
        <f t="shared" si="80"/>
        <v>-1.8710244787230905E-9</v>
      </c>
      <c r="BM41" s="44">
        <f t="shared" si="80"/>
        <v>7.3342581887131622E-12</v>
      </c>
      <c r="BN41" s="108">
        <f t="shared" si="80"/>
        <v>-3.5658094267142527E-15</v>
      </c>
      <c r="BO41" s="43">
        <f t="shared" si="80"/>
        <v>-1.9212766782770632E-6</v>
      </c>
      <c r="BP41" s="42">
        <f t="shared" si="80"/>
        <v>-2.1930331350620382E-16</v>
      </c>
      <c r="BQ41" s="42">
        <f t="shared" si="80"/>
        <v>6.540663880480394E-10</v>
      </c>
      <c r="BR41" s="42">
        <f t="shared" si="80"/>
        <v>-9.0866445141446138E-8</v>
      </c>
      <c r="BS41" s="42">
        <f t="shared" si="80"/>
        <v>-1.9212766783691878E-6</v>
      </c>
      <c r="BT41" s="42">
        <f t="shared" si="80"/>
        <v>-1.9212766782493174E-6</v>
      </c>
      <c r="BU41" s="42">
        <f t="shared" si="80"/>
        <v>-1.7083987111288384E-11</v>
      </c>
      <c r="BV41" s="42">
        <f t="shared" si="80"/>
        <v>-1.6497086723992852E-16</v>
      </c>
      <c r="BW41" s="45">
        <f t="shared" si="80"/>
        <v>-1.4664077087993646E-16</v>
      </c>
    </row>
    <row r="42" spans="2:75" ht="15.75" thickBot="1" x14ac:dyDescent="0.3">
      <c r="B42" s="161">
        <v>112</v>
      </c>
      <c r="C42" s="95">
        <f t="shared" si="55"/>
        <v>64.663230149238075</v>
      </c>
      <c r="D42" s="142">
        <f t="shared" si="56"/>
        <v>91.447617063905312</v>
      </c>
      <c r="E42" s="157" t="s">
        <v>43</v>
      </c>
      <c r="F42" s="63"/>
      <c r="G42" s="60"/>
      <c r="H42" s="60"/>
      <c r="I42" s="15">
        <v>270</v>
      </c>
      <c r="J42" s="291">
        <f t="shared" si="57"/>
        <v>64.663230149238075</v>
      </c>
      <c r="K42" s="292">
        <f t="shared" si="58"/>
        <v>91.447617063905312</v>
      </c>
      <c r="L42" s="79">
        <f t="shared" si="59"/>
        <v>2.7037851966401405E-8</v>
      </c>
      <c r="M42" s="74">
        <f t="shared" si="60"/>
        <v>2.7037851966401404E-9</v>
      </c>
      <c r="N42" s="74">
        <f t="shared" si="61"/>
        <v>2.7037851966401404E-12</v>
      </c>
      <c r="O42" s="74">
        <f t="shared" si="62"/>
        <v>2.7037851966401405E-7</v>
      </c>
      <c r="P42" s="74">
        <f>(C42^3)/1000000^3</f>
        <v>2.7037851966401404E-13</v>
      </c>
      <c r="Q42" s="75">
        <f t="shared" si="63"/>
        <v>2.7037851966401405E-10</v>
      </c>
      <c r="R42" s="117">
        <f t="shared" si="64"/>
        <v>1.6094230224658272E-7</v>
      </c>
      <c r="S42" s="76">
        <f t="shared" si="65"/>
        <v>2.3470752410959983E-6</v>
      </c>
      <c r="T42" s="76">
        <f t="shared" si="66"/>
        <v>7.3002200309283784E-11</v>
      </c>
      <c r="U42" s="76">
        <f>P42*1000*I42</f>
        <v>7.3002200309283789E-8</v>
      </c>
      <c r="V42" s="118">
        <f t="shared" si="67"/>
        <v>7.3002200309283785E-5</v>
      </c>
      <c r="W42" s="82">
        <f t="shared" si="68"/>
        <v>2.5087999999999991E-10</v>
      </c>
      <c r="X42" s="77">
        <f t="shared" si="69"/>
        <v>6.199379810248242E-12</v>
      </c>
      <c r="Y42" s="77">
        <f t="shared" si="70"/>
        <v>2.5087999999999993E-4</v>
      </c>
      <c r="Z42" s="77">
        <f t="shared" si="71"/>
        <v>2.5087999999999992E-6</v>
      </c>
      <c r="AA42" s="77">
        <f t="shared" si="72"/>
        <v>2.5087999999999992E-12</v>
      </c>
      <c r="AB42" s="77">
        <f>(6*C42^2)/1000000^2</f>
        <v>2.5087999999999993E-8</v>
      </c>
      <c r="AC42" s="77">
        <f t="shared" si="73"/>
        <v>2.5087999999999992E-2</v>
      </c>
      <c r="AD42" s="77">
        <f t="shared" si="74"/>
        <v>2.7004498453441344E-7</v>
      </c>
      <c r="AE42" s="82">
        <f t="shared" si="75"/>
        <v>3.8886477772955537E-5</v>
      </c>
      <c r="AF42" s="291">
        <v>64.662999999999997</v>
      </c>
      <c r="AG42" s="292">
        <v>91.447999999999993</v>
      </c>
      <c r="AH42" s="79">
        <v>2.7037851966401399E-8</v>
      </c>
      <c r="AI42" s="74">
        <v>2.7037851966401399E-9</v>
      </c>
      <c r="AJ42" s="74" t="s">
        <v>97</v>
      </c>
      <c r="AK42" s="74">
        <v>2.70378519664014E-7</v>
      </c>
      <c r="AL42" s="74">
        <v>2.7037851966401399E-13</v>
      </c>
      <c r="AM42" s="75">
        <v>2.7037851966401399E-10</v>
      </c>
      <c r="AN42" s="117">
        <v>1.6094230224658299E-7</v>
      </c>
      <c r="AO42" s="76">
        <v>2.347075241096E-6</v>
      </c>
      <c r="AP42" s="76">
        <v>7.3002200309283797E-11</v>
      </c>
      <c r="AQ42" s="76">
        <v>7.3002200309283802E-8</v>
      </c>
      <c r="AR42" s="118">
        <v>7.3002200309283798E-5</v>
      </c>
      <c r="AS42" s="125">
        <v>2.5088000000000002E-10</v>
      </c>
      <c r="AT42" s="125">
        <v>6.1993798102482404E-12</v>
      </c>
      <c r="AU42" s="77">
        <v>2.5087999999999998E-4</v>
      </c>
      <c r="AV42" s="77">
        <v>2.5088E-6</v>
      </c>
      <c r="AW42" s="77">
        <v>2.5088E-12</v>
      </c>
      <c r="AX42" s="77">
        <v>2.5087999999999999E-8</v>
      </c>
      <c r="AY42" s="77">
        <v>2.5087999999999999E-2</v>
      </c>
      <c r="AZ42" s="77">
        <v>2.7004498453441403E-7</v>
      </c>
      <c r="BA42" s="220">
        <v>3.8886477772955598E-5</v>
      </c>
      <c r="BB42" s="259">
        <f t="shared" si="76"/>
        <v>3.559197979236457E-6</v>
      </c>
      <c r="BC42" s="260">
        <f t="shared" si="77"/>
        <v>-4.1874912324219745E-6</v>
      </c>
      <c r="BD42" s="48">
        <f t="shared" si="78"/>
        <v>2.4474743439853843E-16</v>
      </c>
      <c r="BE42" s="47">
        <f t="shared" si="78"/>
        <v>1.5296714649908652E-16</v>
      </c>
      <c r="BF42" s="47" t="e">
        <f t="shared" si="78"/>
        <v>#VALUE!</v>
      </c>
      <c r="BG42" s="47">
        <f t="shared" si="78"/>
        <v>1.9579794751883075E-16</v>
      </c>
      <c r="BH42" s="47">
        <f t="shared" si="78"/>
        <v>1.8672747375376774E-16</v>
      </c>
      <c r="BI42" s="48">
        <f t="shared" si="78"/>
        <v>1.9120893312385815E-16</v>
      </c>
      <c r="BJ42" s="109">
        <f t="shared" si="79"/>
        <v>-1.6446750936333717E-15</v>
      </c>
      <c r="BK42" s="49">
        <f t="shared" si="80"/>
        <v>-7.2177741252024536E-16</v>
      </c>
      <c r="BL42" s="49">
        <f t="shared" si="80"/>
        <v>-1.7704530844801684E-16</v>
      </c>
      <c r="BM42" s="49">
        <f t="shared" si="80"/>
        <v>-1.8129439585076924E-16</v>
      </c>
      <c r="BN42" s="110">
        <f t="shared" si="80"/>
        <v>-1.856454613511877E-16</v>
      </c>
      <c r="BO42" s="48">
        <f t="shared" si="80"/>
        <v>-4.1213957497261041E-16</v>
      </c>
      <c r="BP42" s="47">
        <f t="shared" si="80"/>
        <v>2.6060463842236165E-16</v>
      </c>
      <c r="BQ42" s="47">
        <f t="shared" si="80"/>
        <v>-2.1607983348323994E-16</v>
      </c>
      <c r="BR42" s="47">
        <f t="shared" si="80"/>
        <v>-3.3762473981756244E-16</v>
      </c>
      <c r="BS42" s="47">
        <f t="shared" si="80"/>
        <v>-3.2198404294735185E-16</v>
      </c>
      <c r="BT42" s="47">
        <f t="shared" si="80"/>
        <v>-2.6376932798247065E-16</v>
      </c>
      <c r="BU42" s="47">
        <f t="shared" si="80"/>
        <v>-2.7658218685854712E-16</v>
      </c>
      <c r="BV42" s="47">
        <f t="shared" si="80"/>
        <v>-2.1564375736929159E-15</v>
      </c>
      <c r="BW42" s="50">
        <f t="shared" si="80"/>
        <v>-1.5683182354130296E-15</v>
      </c>
    </row>
    <row r="43" spans="2:75" ht="15.75" thickTop="1" x14ac:dyDescent="0.25"/>
    <row r="45" spans="2:75" x14ac:dyDescent="0.25">
      <c r="B45" s="317" t="s">
        <v>14</v>
      </c>
      <c r="C45" s="318"/>
      <c r="D45" s="349" t="s">
        <v>15</v>
      </c>
      <c r="E45" s="318"/>
      <c r="F45" s="350"/>
      <c r="H45" s="207"/>
      <c r="I45" s="206"/>
      <c r="J45" s="208"/>
      <c r="K45" s="206"/>
    </row>
    <row r="46" spans="2:75" x14ac:dyDescent="0.25">
      <c r="B46" s="264"/>
      <c r="C46" s="265" t="s">
        <v>16</v>
      </c>
      <c r="D46" s="351">
        <v>41031</v>
      </c>
      <c r="E46" s="352"/>
      <c r="F46" s="353"/>
      <c r="H46" s="206"/>
      <c r="I46" s="207"/>
      <c r="J46" s="205"/>
      <c r="K46" s="206"/>
    </row>
  </sheetData>
  <mergeCells count="82">
    <mergeCell ref="BB4:BC4"/>
    <mergeCell ref="BB5:BB6"/>
    <mergeCell ref="BC5:BC6"/>
    <mergeCell ref="BB18:BC18"/>
    <mergeCell ref="BB19:BB20"/>
    <mergeCell ref="BC19:BC20"/>
    <mergeCell ref="BB33:BB34"/>
    <mergeCell ref="AF18:AG18"/>
    <mergeCell ref="AF19:AF20"/>
    <mergeCell ref="AG19:AG20"/>
    <mergeCell ref="BC33:BC34"/>
    <mergeCell ref="AG33:AG34"/>
    <mergeCell ref="D46:F46"/>
    <mergeCell ref="J19:J20"/>
    <mergeCell ref="AF32:AG32"/>
    <mergeCell ref="AF33:AF34"/>
    <mergeCell ref="AG5:AG6"/>
    <mergeCell ref="E31:I31"/>
    <mergeCell ref="B32:E32"/>
    <mergeCell ref="F32:I33"/>
    <mergeCell ref="D33:D34"/>
    <mergeCell ref="C33:C34"/>
    <mergeCell ref="E33:E34"/>
    <mergeCell ref="L18:Q19"/>
    <mergeCell ref="B18:E18"/>
    <mergeCell ref="F18:I19"/>
    <mergeCell ref="C19:C20"/>
    <mergeCell ref="J18:K18"/>
    <mergeCell ref="E3:I3"/>
    <mergeCell ref="B4:E4"/>
    <mergeCell ref="F4:I5"/>
    <mergeCell ref="E17:I17"/>
    <mergeCell ref="C5:C6"/>
    <mergeCell ref="D5:D6"/>
    <mergeCell ref="BO4:BW5"/>
    <mergeCell ref="B5:B6"/>
    <mergeCell ref="E5:E6"/>
    <mergeCell ref="R4:V5"/>
    <mergeCell ref="W4:AE5"/>
    <mergeCell ref="AH4:AM5"/>
    <mergeCell ref="AN4:AR5"/>
    <mergeCell ref="AS4:BA5"/>
    <mergeCell ref="BD4:BI5"/>
    <mergeCell ref="L4:Q5"/>
    <mergeCell ref="BJ4:BN5"/>
    <mergeCell ref="J4:K4"/>
    <mergeCell ref="J5:J6"/>
    <mergeCell ref="K5:K6"/>
    <mergeCell ref="AF4:AG4"/>
    <mergeCell ref="AF5:AF6"/>
    <mergeCell ref="B1:I1"/>
    <mergeCell ref="BB1:BW1"/>
    <mergeCell ref="AF1:BA1"/>
    <mergeCell ref="J1:AE1"/>
    <mergeCell ref="BO32:BW33"/>
    <mergeCell ref="B33:B34"/>
    <mergeCell ref="BD32:BI33"/>
    <mergeCell ref="BJ32:BN33"/>
    <mergeCell ref="D19:D20"/>
    <mergeCell ref="BB32:BC32"/>
    <mergeCell ref="AS32:BA33"/>
    <mergeCell ref="R32:V33"/>
    <mergeCell ref="W32:AE33"/>
    <mergeCell ref="AH32:AM33"/>
    <mergeCell ref="AN32:AR33"/>
    <mergeCell ref="L32:Q33"/>
    <mergeCell ref="B45:C45"/>
    <mergeCell ref="D45:F45"/>
    <mergeCell ref="BO18:BW19"/>
    <mergeCell ref="B19:B20"/>
    <mergeCell ref="E19:E20"/>
    <mergeCell ref="W18:AE19"/>
    <mergeCell ref="AH18:AM19"/>
    <mergeCell ref="AN18:AR19"/>
    <mergeCell ref="AS18:BA19"/>
    <mergeCell ref="BD18:BI19"/>
    <mergeCell ref="BJ18:BN19"/>
    <mergeCell ref="R18:V19"/>
    <mergeCell ref="K19:K20"/>
    <mergeCell ref="J32:K32"/>
    <mergeCell ref="J33:J34"/>
    <mergeCell ref="K33:K34"/>
  </mergeCells>
  <conditionalFormatting sqref="BB7:BW14 BB21:BW28 BB35:BW42">
    <cfRule type="cellIs" dxfId="23" priority="7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T32"/>
  <sheetViews>
    <sheetView zoomScaleNormal="100" workbookViewId="0">
      <pane ySplit="1" topLeftCell="A2" activePane="bottomLeft" state="frozen"/>
      <selection pane="bottomLeft" activeCell="O14" sqref="O14"/>
    </sheetView>
  </sheetViews>
  <sheetFormatPr defaultRowHeight="15" x14ac:dyDescent="0.25"/>
  <cols>
    <col min="1" max="1" width="3.7109375" customWidth="1"/>
    <col min="6" max="9" width="9.140625" customWidth="1"/>
    <col min="10" max="10" width="8.5703125" bestFit="1" customWidth="1"/>
    <col min="11" max="30" width="12" customWidth="1"/>
    <col min="31" max="31" width="8.5703125" bestFit="1" customWidth="1"/>
    <col min="32" max="51" width="12" bestFit="1" customWidth="1"/>
    <col min="52" max="52" width="14.28515625" bestFit="1" customWidth="1"/>
    <col min="53" max="72" width="15" bestFit="1" customWidth="1"/>
  </cols>
  <sheetData>
    <row r="1" spans="2:72" ht="21.95" customHeight="1" thickBot="1" x14ac:dyDescent="0.4">
      <c r="B1" s="415" t="s">
        <v>98</v>
      </c>
      <c r="C1" s="416"/>
      <c r="D1" s="416"/>
      <c r="E1" s="416"/>
      <c r="F1" s="416"/>
      <c r="G1" s="416"/>
      <c r="H1" s="416"/>
      <c r="I1" s="417"/>
      <c r="J1" s="319" t="s">
        <v>99</v>
      </c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1"/>
      <c r="AE1" s="319" t="s">
        <v>100</v>
      </c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1"/>
      <c r="AZ1" s="319" t="s">
        <v>101</v>
      </c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1"/>
    </row>
    <row r="2" spans="2:72" ht="15" customHeight="1" thickBot="1" x14ac:dyDescent="0.3"/>
    <row r="3" spans="2:72" ht="30.75" customHeight="1" thickTop="1" thickBot="1" x14ac:dyDescent="0.3">
      <c r="B3" s="343" t="s">
        <v>46</v>
      </c>
      <c r="C3" s="344"/>
      <c r="D3" s="356"/>
      <c r="E3" s="346" t="s">
        <v>65</v>
      </c>
      <c r="F3" s="347"/>
      <c r="G3" s="347"/>
      <c r="H3" s="347"/>
      <c r="I3" s="348"/>
    </row>
    <row r="4" spans="2:72" ht="16.5" customHeight="1" thickTop="1" thickBot="1" x14ac:dyDescent="0.3">
      <c r="B4" s="337" t="s">
        <v>66</v>
      </c>
      <c r="C4" s="338"/>
      <c r="D4" s="338"/>
      <c r="E4" s="339"/>
      <c r="F4" s="311" t="s">
        <v>31</v>
      </c>
      <c r="G4" s="312"/>
      <c r="H4" s="312"/>
      <c r="I4" s="312"/>
      <c r="J4" s="165" t="s">
        <v>89</v>
      </c>
      <c r="K4" s="340" t="s">
        <v>21</v>
      </c>
      <c r="L4" s="341"/>
      <c r="M4" s="341"/>
      <c r="N4" s="341"/>
      <c r="O4" s="341"/>
      <c r="P4" s="341"/>
      <c r="Q4" s="294" t="s">
        <v>22</v>
      </c>
      <c r="R4" s="295"/>
      <c r="S4" s="295"/>
      <c r="T4" s="295"/>
      <c r="U4" s="296"/>
      <c r="V4" s="304" t="s">
        <v>44</v>
      </c>
      <c r="W4" s="305"/>
      <c r="X4" s="305"/>
      <c r="Y4" s="305"/>
      <c r="Z4" s="305"/>
      <c r="AA4" s="305"/>
      <c r="AB4" s="305"/>
      <c r="AC4" s="305"/>
      <c r="AD4" s="305"/>
      <c r="AE4" s="165" t="s">
        <v>89</v>
      </c>
      <c r="AF4" s="300" t="s">
        <v>21</v>
      </c>
      <c r="AG4" s="301"/>
      <c r="AH4" s="301"/>
      <c r="AI4" s="301"/>
      <c r="AJ4" s="301"/>
      <c r="AK4" s="301"/>
      <c r="AL4" s="294" t="s">
        <v>22</v>
      </c>
      <c r="AM4" s="295"/>
      <c r="AN4" s="295"/>
      <c r="AO4" s="295"/>
      <c r="AP4" s="296"/>
      <c r="AQ4" s="304" t="s">
        <v>45</v>
      </c>
      <c r="AR4" s="305"/>
      <c r="AS4" s="305"/>
      <c r="AT4" s="305"/>
      <c r="AU4" s="305"/>
      <c r="AV4" s="305"/>
      <c r="AW4" s="305"/>
      <c r="AX4" s="305"/>
      <c r="AY4" s="306"/>
      <c r="AZ4" s="245" t="s">
        <v>89</v>
      </c>
      <c r="BA4" s="328" t="s">
        <v>21</v>
      </c>
      <c r="BB4" s="323"/>
      <c r="BC4" s="323"/>
      <c r="BD4" s="323"/>
      <c r="BE4" s="323"/>
      <c r="BF4" s="323"/>
      <c r="BG4" s="322" t="s">
        <v>22</v>
      </c>
      <c r="BH4" s="323"/>
      <c r="BI4" s="323"/>
      <c r="BJ4" s="323"/>
      <c r="BK4" s="324"/>
      <c r="BL4" s="328" t="s">
        <v>45</v>
      </c>
      <c r="BM4" s="323"/>
      <c r="BN4" s="323"/>
      <c r="BO4" s="323"/>
      <c r="BP4" s="323"/>
      <c r="BQ4" s="323"/>
      <c r="BR4" s="323"/>
      <c r="BS4" s="323"/>
      <c r="BT4" s="329"/>
    </row>
    <row r="5" spans="2:72" s="18" customFormat="1" ht="15" customHeight="1" thickBot="1" x14ac:dyDescent="0.3">
      <c r="B5" s="331" t="s">
        <v>80</v>
      </c>
      <c r="C5" s="333" t="s">
        <v>20</v>
      </c>
      <c r="D5" s="335" t="s">
        <v>81</v>
      </c>
      <c r="E5" s="362" t="s">
        <v>1</v>
      </c>
      <c r="F5" s="314"/>
      <c r="G5" s="315"/>
      <c r="H5" s="315"/>
      <c r="I5" s="315"/>
      <c r="J5" s="399" t="s">
        <v>81</v>
      </c>
      <c r="K5" s="342"/>
      <c r="L5" s="342"/>
      <c r="M5" s="342"/>
      <c r="N5" s="342"/>
      <c r="O5" s="342"/>
      <c r="P5" s="342"/>
      <c r="Q5" s="297"/>
      <c r="R5" s="298"/>
      <c r="S5" s="298"/>
      <c r="T5" s="298"/>
      <c r="U5" s="299"/>
      <c r="V5" s="307"/>
      <c r="W5" s="307"/>
      <c r="X5" s="307"/>
      <c r="Y5" s="307"/>
      <c r="Z5" s="307"/>
      <c r="AA5" s="307"/>
      <c r="AB5" s="307"/>
      <c r="AC5" s="307"/>
      <c r="AD5" s="307"/>
      <c r="AE5" s="399" t="s">
        <v>81</v>
      </c>
      <c r="AF5" s="302"/>
      <c r="AG5" s="303"/>
      <c r="AH5" s="303"/>
      <c r="AI5" s="303"/>
      <c r="AJ5" s="303"/>
      <c r="AK5" s="303"/>
      <c r="AL5" s="297"/>
      <c r="AM5" s="298"/>
      <c r="AN5" s="298"/>
      <c r="AO5" s="298"/>
      <c r="AP5" s="299"/>
      <c r="AQ5" s="307"/>
      <c r="AR5" s="307"/>
      <c r="AS5" s="307"/>
      <c r="AT5" s="307"/>
      <c r="AU5" s="307"/>
      <c r="AV5" s="307"/>
      <c r="AW5" s="307"/>
      <c r="AX5" s="307"/>
      <c r="AY5" s="308"/>
      <c r="AZ5" s="401" t="s">
        <v>81</v>
      </c>
      <c r="BA5" s="326"/>
      <c r="BB5" s="326"/>
      <c r="BC5" s="326"/>
      <c r="BD5" s="326"/>
      <c r="BE5" s="326"/>
      <c r="BF5" s="326"/>
      <c r="BG5" s="325"/>
      <c r="BH5" s="326"/>
      <c r="BI5" s="326"/>
      <c r="BJ5" s="326"/>
      <c r="BK5" s="327"/>
      <c r="BL5" s="326"/>
      <c r="BM5" s="326"/>
      <c r="BN5" s="326"/>
      <c r="BO5" s="326"/>
      <c r="BP5" s="326"/>
      <c r="BQ5" s="326"/>
      <c r="BR5" s="326"/>
      <c r="BS5" s="326"/>
      <c r="BT5" s="330"/>
    </row>
    <row r="6" spans="2:72" s="18" customFormat="1" ht="18" thickBot="1" x14ac:dyDescent="0.3">
      <c r="B6" s="332"/>
      <c r="C6" s="334"/>
      <c r="D6" s="336"/>
      <c r="E6" s="363"/>
      <c r="F6" s="19" t="s">
        <v>29</v>
      </c>
      <c r="G6" s="20" t="s">
        <v>28</v>
      </c>
      <c r="H6" s="20" t="s">
        <v>30</v>
      </c>
      <c r="I6" s="176" t="s">
        <v>27</v>
      </c>
      <c r="J6" s="400"/>
      <c r="K6" s="29" t="s">
        <v>32</v>
      </c>
      <c r="L6" s="24" t="s">
        <v>34</v>
      </c>
      <c r="M6" s="24" t="s">
        <v>33</v>
      </c>
      <c r="N6" s="24" t="s">
        <v>35</v>
      </c>
      <c r="O6" s="24" t="s">
        <v>37</v>
      </c>
      <c r="P6" s="30" t="s">
        <v>36</v>
      </c>
      <c r="Q6" s="111" t="s">
        <v>38</v>
      </c>
      <c r="R6" s="22" t="s">
        <v>39</v>
      </c>
      <c r="S6" s="22" t="s">
        <v>40</v>
      </c>
      <c r="T6" s="22" t="s">
        <v>41</v>
      </c>
      <c r="U6" s="112" t="s">
        <v>42</v>
      </c>
      <c r="V6" s="25" t="s">
        <v>11</v>
      </c>
      <c r="W6" s="23" t="s">
        <v>13</v>
      </c>
      <c r="X6" s="23" t="s">
        <v>23</v>
      </c>
      <c r="Y6" s="23" t="s">
        <v>24</v>
      </c>
      <c r="Z6" s="23" t="s">
        <v>12</v>
      </c>
      <c r="AA6" s="23" t="s">
        <v>25</v>
      </c>
      <c r="AB6" s="23" t="s">
        <v>26</v>
      </c>
      <c r="AC6" s="23" t="s">
        <v>10</v>
      </c>
      <c r="AD6" s="25" t="s">
        <v>9</v>
      </c>
      <c r="AE6" s="400"/>
      <c r="AF6" s="119" t="s">
        <v>32</v>
      </c>
      <c r="AG6" s="24" t="s">
        <v>34</v>
      </c>
      <c r="AH6" s="24" t="s">
        <v>33</v>
      </c>
      <c r="AI6" s="24" t="s">
        <v>35</v>
      </c>
      <c r="AJ6" s="24" t="s">
        <v>37</v>
      </c>
      <c r="AK6" s="30" t="s">
        <v>36</v>
      </c>
      <c r="AL6" s="111" t="s">
        <v>38</v>
      </c>
      <c r="AM6" s="22" t="s">
        <v>39</v>
      </c>
      <c r="AN6" s="22" t="s">
        <v>40</v>
      </c>
      <c r="AO6" s="22" t="s">
        <v>41</v>
      </c>
      <c r="AP6" s="112" t="s">
        <v>42</v>
      </c>
      <c r="AQ6" s="26" t="s">
        <v>11</v>
      </c>
      <c r="AR6" s="27" t="s">
        <v>13</v>
      </c>
      <c r="AS6" s="27" t="s">
        <v>23</v>
      </c>
      <c r="AT6" s="27" t="s">
        <v>24</v>
      </c>
      <c r="AU6" s="27" t="s">
        <v>12</v>
      </c>
      <c r="AV6" s="27" t="s">
        <v>25</v>
      </c>
      <c r="AW6" s="27" t="s">
        <v>26</v>
      </c>
      <c r="AX6" s="27" t="s">
        <v>10</v>
      </c>
      <c r="AY6" s="120" t="s">
        <v>9</v>
      </c>
      <c r="AZ6" s="402"/>
      <c r="BA6" s="34" t="s">
        <v>32</v>
      </c>
      <c r="BB6" s="33" t="s">
        <v>34</v>
      </c>
      <c r="BC6" s="33" t="s">
        <v>33</v>
      </c>
      <c r="BD6" s="33" t="s">
        <v>35</v>
      </c>
      <c r="BE6" s="33" t="s">
        <v>37</v>
      </c>
      <c r="BF6" s="34" t="s">
        <v>36</v>
      </c>
      <c r="BG6" s="103" t="s">
        <v>38</v>
      </c>
      <c r="BH6" s="33" t="s">
        <v>39</v>
      </c>
      <c r="BI6" s="33" t="s">
        <v>40</v>
      </c>
      <c r="BJ6" s="33" t="s">
        <v>41</v>
      </c>
      <c r="BK6" s="104" t="s">
        <v>42</v>
      </c>
      <c r="BL6" s="34" t="s">
        <v>11</v>
      </c>
      <c r="BM6" s="33" t="s">
        <v>13</v>
      </c>
      <c r="BN6" s="33" t="s">
        <v>23</v>
      </c>
      <c r="BO6" s="33" t="s">
        <v>24</v>
      </c>
      <c r="BP6" s="33" t="s">
        <v>12</v>
      </c>
      <c r="BQ6" s="33" t="s">
        <v>25</v>
      </c>
      <c r="BR6" s="33" t="s">
        <v>26</v>
      </c>
      <c r="BS6" s="33" t="s">
        <v>10</v>
      </c>
      <c r="BT6" s="35" t="s">
        <v>9</v>
      </c>
    </row>
    <row r="7" spans="2:72" x14ac:dyDescent="0.25">
      <c r="B7" s="84">
        <v>78</v>
      </c>
      <c r="C7" s="92">
        <v>66</v>
      </c>
      <c r="D7" s="127">
        <f>B7*2</f>
        <v>156</v>
      </c>
      <c r="E7" s="155" t="s">
        <v>2</v>
      </c>
      <c r="F7" s="10">
        <v>667</v>
      </c>
      <c r="G7" s="53"/>
      <c r="H7" s="53"/>
      <c r="I7" s="177"/>
      <c r="J7" s="169">
        <f>B7*2</f>
        <v>156</v>
      </c>
      <c r="K7" s="78">
        <f>O7*100000</f>
        <v>76634.754554607978</v>
      </c>
      <c r="L7" s="65">
        <f>O7*10000</f>
        <v>7663.475455460798</v>
      </c>
      <c r="M7" s="65">
        <f>O7*10</f>
        <v>7.663475455460798</v>
      </c>
      <c r="N7" s="65">
        <f>O7*1000000</f>
        <v>766347.54554607975</v>
      </c>
      <c r="O7" s="65">
        <f>(((PI()*C7)/6)*(3*(SQRT(B7^2-(B7-C7)^2))^2+C7^2))/100^3</f>
        <v>0.76634754554607976</v>
      </c>
      <c r="P7" s="66">
        <f>O7*1000</f>
        <v>766.3475455460798</v>
      </c>
      <c r="Q7" s="113">
        <f>T7/0.45359237</f>
        <v>1126.901259117818</v>
      </c>
      <c r="R7" s="67">
        <f>T7*1000/31.1034768</f>
        <v>16433.97669546818</v>
      </c>
      <c r="S7" s="67">
        <f>T7/1000</f>
        <v>0.51115381287923523</v>
      </c>
      <c r="T7" s="67">
        <f>O7*F7</f>
        <v>511.1538128792352</v>
      </c>
      <c r="U7" s="114">
        <f>T7*1000</f>
        <v>511153.81287923519</v>
      </c>
      <c r="V7" s="80">
        <f>AA7/100</f>
        <v>5.1006898323683887E-2</v>
      </c>
      <c r="W7" s="68">
        <f>AA7/4046.8564224</f>
        <v>1.2604079067730822E-3</v>
      </c>
      <c r="X7" s="68">
        <f>AA7*10000</f>
        <v>51006.898323683883</v>
      </c>
      <c r="Y7" s="68">
        <f>AA7*100</f>
        <v>510.06898323683885</v>
      </c>
      <c r="Z7" s="68">
        <f>AA7/10000</f>
        <v>5.1006898323683887E-4</v>
      </c>
      <c r="AA7" s="68">
        <f>(2*PI()*B7*C7+PI()*(SQRT(B7^2-(B7-C7)^2))^2)/100^2</f>
        <v>5.1006898323683885</v>
      </c>
      <c r="AB7" s="68">
        <f>AA7*1000000</f>
        <v>5100689.8323683888</v>
      </c>
      <c r="AC7" s="68">
        <f>AA7/144*10000/(2.54*2.54)</f>
        <v>54.903368419035466</v>
      </c>
      <c r="AD7" s="80">
        <f>AA7*10000/(2.54 *2.54)</f>
        <v>7906.0850523411063</v>
      </c>
      <c r="AE7" s="169">
        <v>156</v>
      </c>
      <c r="AF7" s="215">
        <v>76634.8</v>
      </c>
      <c r="AG7" s="65">
        <v>7663.48</v>
      </c>
      <c r="AH7" s="65">
        <v>7.6634799999999998</v>
      </c>
      <c r="AI7" s="65">
        <v>766348</v>
      </c>
      <c r="AJ7" s="65">
        <v>0.76634800000000003</v>
      </c>
      <c r="AK7" s="66">
        <v>766.34799999999996</v>
      </c>
      <c r="AL7" s="113">
        <v>1126.9000000000001</v>
      </c>
      <c r="AM7" s="67">
        <v>16434</v>
      </c>
      <c r="AN7" s="67">
        <v>0.511154</v>
      </c>
      <c r="AO7" s="67">
        <v>511.154</v>
      </c>
      <c r="AP7" s="114">
        <v>511154</v>
      </c>
      <c r="AQ7" s="121">
        <v>5.1006900000000001E-2</v>
      </c>
      <c r="AR7" s="121">
        <v>1.26041E-3</v>
      </c>
      <c r="AS7" s="68">
        <v>51006.9</v>
      </c>
      <c r="AT7" s="68">
        <v>510.06900000000002</v>
      </c>
      <c r="AU7" s="68">
        <v>5.1006900000000004E-4</v>
      </c>
      <c r="AV7" s="68">
        <v>5.1006900000000002</v>
      </c>
      <c r="AW7" s="68">
        <v>5100690</v>
      </c>
      <c r="AX7" s="68">
        <v>54.903399999999998</v>
      </c>
      <c r="AY7" s="216">
        <v>7906.09</v>
      </c>
      <c r="AZ7" s="246">
        <f>(J7-AE7)/J7</f>
        <v>0</v>
      </c>
      <c r="BA7" s="36">
        <f t="shared" ref="BA7:BT7" si="0">(K7-AF7)/K7</f>
        <v>-5.9301282151716285E-7</v>
      </c>
      <c r="BB7" s="37">
        <f t="shared" si="0"/>
        <v>-5.9301282139848369E-7</v>
      </c>
      <c r="BC7" s="37">
        <f t="shared" si="0"/>
        <v>-5.9301282143557092E-7</v>
      </c>
      <c r="BD7" s="37">
        <f t="shared" si="0"/>
        <v>-5.9301282151716285E-7</v>
      </c>
      <c r="BE7" s="37">
        <f t="shared" si="0"/>
        <v>-5.9301282155146853E-7</v>
      </c>
      <c r="BF7" s="38">
        <f t="shared" si="0"/>
        <v>-5.9301282139848369E-7</v>
      </c>
      <c r="BG7" s="105">
        <f t="shared" si="0"/>
        <v>1.117327545508816E-6</v>
      </c>
      <c r="BH7" s="39">
        <f t="shared" si="0"/>
        <v>-1.418070151362546E-6</v>
      </c>
      <c r="BI7" s="39">
        <f t="shared" si="0"/>
        <v>-3.6607525965204243E-7</v>
      </c>
      <c r="BJ7" s="39">
        <f t="shared" si="0"/>
        <v>-3.6607525969200714E-7</v>
      </c>
      <c r="BK7" s="106">
        <f t="shared" si="0"/>
        <v>-3.6607525972136556E-7</v>
      </c>
      <c r="BL7" s="38">
        <f t="shared" si="0"/>
        <v>-3.2864498112766564E-8</v>
      </c>
      <c r="BM7" s="37">
        <f t="shared" si="0"/>
        <v>-1.6607535596255392E-6</v>
      </c>
      <c r="BN7" s="37">
        <f t="shared" si="0"/>
        <v>-3.2864498204811199E-8</v>
      </c>
      <c r="BO7" s="37">
        <f t="shared" si="0"/>
        <v>-3.2864498178064969E-8</v>
      </c>
      <c r="BP7" s="37">
        <f t="shared" si="0"/>
        <v>-3.2864498180785738E-8</v>
      </c>
      <c r="BQ7" s="37">
        <f t="shared" si="0"/>
        <v>-3.2864498178064969E-8</v>
      </c>
      <c r="BR7" s="37">
        <f t="shared" si="0"/>
        <v>-3.2864498084988105E-8</v>
      </c>
      <c r="BS7" s="37">
        <f t="shared" si="0"/>
        <v>-5.7520996326586665E-7</v>
      </c>
      <c r="BT7" s="40">
        <f t="shared" si="0"/>
        <v>-6.2580390433982314E-7</v>
      </c>
    </row>
    <row r="8" spans="2:72" x14ac:dyDescent="0.25">
      <c r="B8" s="86">
        <v>112</v>
      </c>
      <c r="C8" s="93">
        <v>99</v>
      </c>
      <c r="D8" s="128">
        <f t="shared" ref="D8:D14" si="1">B8*2</f>
        <v>224</v>
      </c>
      <c r="E8" s="156" t="s">
        <v>3</v>
      </c>
      <c r="F8" s="59"/>
      <c r="G8" s="4">
        <v>12.6</v>
      </c>
      <c r="H8" s="58"/>
      <c r="I8" s="178"/>
      <c r="J8" s="167">
        <f t="shared" ref="J8:J14" si="2">B8*2</f>
        <v>224</v>
      </c>
      <c r="K8" s="69">
        <f t="shared" ref="K8:K14" si="3">O8*100000</f>
        <v>6887985769.2348557</v>
      </c>
      <c r="L8" s="70">
        <f t="shared" ref="L8:L14" si="4">O8*10000</f>
        <v>688798576.92348552</v>
      </c>
      <c r="M8" s="70">
        <f t="shared" ref="M8:M14" si="5">O8*10</f>
        <v>688798.5769234855</v>
      </c>
      <c r="N8" s="70">
        <f t="shared" ref="N8:N14" si="6">O8*1000000</f>
        <v>68879857692.348557</v>
      </c>
      <c r="O8" s="70">
        <f>(((PI()*C8)/6)*(3*(SQRT(B8^2-(B8-C8)^2))^2+C8^2))*0.3048^3</f>
        <v>68879.857692348553</v>
      </c>
      <c r="P8" s="71">
        <f t="shared" ref="P8:P14" si="7">O8*1000</f>
        <v>68879857.692348555</v>
      </c>
      <c r="Q8" s="115">
        <f t="shared" ref="Q8:Q14" si="8">T8/0.45359237</f>
        <v>1913361564.974278</v>
      </c>
      <c r="R8" s="72">
        <f t="shared" ref="R8:R14" si="9">T8*1000/31.1034768</f>
        <v>27903189489.208218</v>
      </c>
      <c r="S8" s="72">
        <f t="shared" ref="S8:S14" si="10">T8/1000</f>
        <v>867886.20692359179</v>
      </c>
      <c r="T8" s="72">
        <f>O8*1000*G8</f>
        <v>867886206.92359173</v>
      </c>
      <c r="U8" s="116">
        <f t="shared" ref="U8:U14" si="11">T8*1000</f>
        <v>867886206923.59167</v>
      </c>
      <c r="V8" s="81">
        <f t="shared" ref="V8:V14" si="12">AA8/100</f>
        <v>100.84176063531444</v>
      </c>
      <c r="W8" s="73">
        <f t="shared" ref="W8:W14" si="13">AA8/4046.8564224</f>
        <v>2.4918541729609953</v>
      </c>
      <c r="X8" s="73">
        <f t="shared" ref="X8:X14" si="14">AA8*10000</f>
        <v>100841760.63531443</v>
      </c>
      <c r="Y8" s="73">
        <f t="shared" ref="Y8:Y14" si="15">AA8*100</f>
        <v>1008417.6063531444</v>
      </c>
      <c r="Z8" s="73">
        <f t="shared" ref="Z8:Z14" si="16">AA8/10000</f>
        <v>1.0084176063531445</v>
      </c>
      <c r="AA8" s="73">
        <f>(2*PI()*B8*C8+PI()*(SQRT(B8^2-(B8-C8)^2))^2)*0.3048^2</f>
        <v>10084.176063531444</v>
      </c>
      <c r="AB8" s="73">
        <f t="shared" ref="AB8:AB14" si="17">AA8*1000000</f>
        <v>10084176063.531445</v>
      </c>
      <c r="AC8" s="73">
        <f t="shared" ref="AC8:AC14" si="18">AA8/144*10000/(2.54*2.54)</f>
        <v>108545.16777418095</v>
      </c>
      <c r="AD8" s="81">
        <f t="shared" ref="AD8:AD14" si="19">AA8*10000/(2.54 *2.54)</f>
        <v>15630504.159482056</v>
      </c>
      <c r="AE8" s="167">
        <v>224</v>
      </c>
      <c r="AF8" s="217">
        <v>6887985769</v>
      </c>
      <c r="AG8" s="69">
        <v>688798577</v>
      </c>
      <c r="AH8" s="70">
        <v>688799</v>
      </c>
      <c r="AI8" s="70">
        <v>68879857692</v>
      </c>
      <c r="AJ8" s="70">
        <v>68879.899999999994</v>
      </c>
      <c r="AK8" s="71">
        <v>68879858</v>
      </c>
      <c r="AL8" s="115">
        <v>1913361565</v>
      </c>
      <c r="AM8" s="72">
        <v>27903189489</v>
      </c>
      <c r="AN8" s="72">
        <v>867886</v>
      </c>
      <c r="AO8" s="72">
        <v>867886207</v>
      </c>
      <c r="AP8" s="116">
        <v>867886206924</v>
      </c>
      <c r="AQ8" s="123">
        <v>100.842</v>
      </c>
      <c r="AR8" s="123">
        <v>2.4918499999999999</v>
      </c>
      <c r="AS8" s="73">
        <v>100841761</v>
      </c>
      <c r="AT8" s="73">
        <v>1008418</v>
      </c>
      <c r="AU8" s="73">
        <v>1.0084200000000001</v>
      </c>
      <c r="AV8" s="73">
        <v>10084.200000000001</v>
      </c>
      <c r="AW8" s="73">
        <v>10084176064</v>
      </c>
      <c r="AX8" s="73">
        <v>108545</v>
      </c>
      <c r="AY8" s="218">
        <v>15630504</v>
      </c>
      <c r="AZ8" s="247">
        <f t="shared" ref="AZ8:AZ14" si="20">(J8-AE8)/J8</f>
        <v>0</v>
      </c>
      <c r="BA8" s="41">
        <f t="shared" ref="BA8:BF14" si="21">(K8-AF8)/K8</f>
        <v>3.4096419435773227E-11</v>
      </c>
      <c r="BB8" s="42">
        <f t="shared" si="21"/>
        <v>-1.1108397296626308E-10</v>
      </c>
      <c r="BC8" s="42">
        <f t="shared" si="21"/>
        <v>-6.1422385103289145E-7</v>
      </c>
      <c r="BD8" s="42">
        <f t="shared" si="21"/>
        <v>5.0603548008405151E-12</v>
      </c>
      <c r="BE8" s="42">
        <f t="shared" si="21"/>
        <v>-6.1422385090613234E-7</v>
      </c>
      <c r="BF8" s="43">
        <f t="shared" si="21"/>
        <v>-4.4664936249390623E-9</v>
      </c>
      <c r="BG8" s="107">
        <f t="shared" ref="BG8:BG14" si="22">(Q8-AL8)/Q8</f>
        <v>-1.3443369667194587E-11</v>
      </c>
      <c r="BH8" s="44">
        <f t="shared" ref="BH8:BT14" si="23">(R8-AM8)/R8</f>
        <v>7.4621441011300591E-12</v>
      </c>
      <c r="BI8" s="44">
        <f t="shared" si="23"/>
        <v>2.3842249149391573E-7</v>
      </c>
      <c r="BJ8" s="44">
        <f t="shared" si="23"/>
        <v>-8.8039499201196706E-11</v>
      </c>
      <c r="BK8" s="108">
        <f t="shared" si="23"/>
        <v>-4.704824112367173E-13</v>
      </c>
      <c r="BL8" s="43">
        <f t="shared" si="23"/>
        <v>-2.3736662673000093E-6</v>
      </c>
      <c r="BM8" s="42">
        <f t="shared" si="23"/>
        <v>1.674640932322399E-6</v>
      </c>
      <c r="BN8" s="42">
        <f t="shared" si="23"/>
        <v>-3.6164141020116122E-9</v>
      </c>
      <c r="BO8" s="42">
        <f t="shared" si="23"/>
        <v>-3.9036095078640705E-7</v>
      </c>
      <c r="BP8" s="42">
        <f t="shared" si="23"/>
        <v>-2.3736662673616627E-6</v>
      </c>
      <c r="BQ8" s="42">
        <f t="shared" si="23"/>
        <v>-2.3736662674183843E-6</v>
      </c>
      <c r="BR8" s="42">
        <f t="shared" si="23"/>
        <v>-4.6464425798151583E-11</v>
      </c>
      <c r="BS8" s="42">
        <f t="shared" si="23"/>
        <v>1.5456623670569899E-6</v>
      </c>
      <c r="BT8" s="45">
        <f t="shared" si="23"/>
        <v>1.0203257338840363E-8</v>
      </c>
    </row>
    <row r="9" spans="2:72" x14ac:dyDescent="0.25">
      <c r="B9" s="86">
        <v>455</v>
      </c>
      <c r="C9" s="93">
        <v>344</v>
      </c>
      <c r="D9" s="128">
        <f t="shared" si="1"/>
        <v>910</v>
      </c>
      <c r="E9" s="156" t="s">
        <v>4</v>
      </c>
      <c r="F9" s="59"/>
      <c r="G9" s="56"/>
      <c r="H9" s="5">
        <v>62.865000000000002</v>
      </c>
      <c r="I9" s="178"/>
      <c r="J9" s="167">
        <f t="shared" si="2"/>
        <v>910</v>
      </c>
      <c r="K9" s="69">
        <f t="shared" si="3"/>
        <v>207334892.10326707</v>
      </c>
      <c r="L9" s="70">
        <f t="shared" si="4"/>
        <v>20733489.210326705</v>
      </c>
      <c r="M9" s="70">
        <f t="shared" si="5"/>
        <v>20733.489210326705</v>
      </c>
      <c r="N9" s="70">
        <f t="shared" si="6"/>
        <v>2073348921.0326707</v>
      </c>
      <c r="O9" s="70">
        <f>(((PI()*C9)/6)*(3*(SQRT(B9^2-(B9-C9)^2))^2+C9^2))*(2.54/100)^3</f>
        <v>2073.3489210326707</v>
      </c>
      <c r="P9" s="71">
        <f t="shared" si="7"/>
        <v>2073348.9210326707</v>
      </c>
      <c r="Q9" s="115">
        <f t="shared" si="8"/>
        <v>4602951.7975190934</v>
      </c>
      <c r="R9" s="72">
        <f t="shared" si="9"/>
        <v>67126380.380486786</v>
      </c>
      <c r="S9" s="72">
        <f t="shared" si="10"/>
        <v>2087.8638148324458</v>
      </c>
      <c r="T9" s="72">
        <f>O9*(0.45359237/0.3048^3)*H9</f>
        <v>2087863.8148324459</v>
      </c>
      <c r="U9" s="116">
        <f t="shared" si="11"/>
        <v>2087863814.8324459</v>
      </c>
      <c r="V9" s="81">
        <f t="shared" si="12"/>
        <v>10.291107290675194</v>
      </c>
      <c r="W9" s="73">
        <f t="shared" si="13"/>
        <v>0.25429879927818205</v>
      </c>
      <c r="X9" s="73">
        <f t="shared" si="14"/>
        <v>10291107.290675195</v>
      </c>
      <c r="Y9" s="73">
        <f t="shared" si="15"/>
        <v>102911.07290675196</v>
      </c>
      <c r="Z9" s="73">
        <f t="shared" si="16"/>
        <v>0.10291107290675196</v>
      </c>
      <c r="AA9" s="73">
        <f>(2*PI()*B9*C9+PI()*(SQRT(B9^2-(B9-C9)^2))^2)*(2.54/100)^2</f>
        <v>1029.1107290675195</v>
      </c>
      <c r="AB9" s="73">
        <f t="shared" si="17"/>
        <v>1029110729.0675195</v>
      </c>
      <c r="AC9" s="73">
        <f t="shared" si="18"/>
        <v>11077.255696557611</v>
      </c>
      <c r="AD9" s="81">
        <f t="shared" si="19"/>
        <v>1595124.8203042957</v>
      </c>
      <c r="AE9" s="167">
        <v>910</v>
      </c>
      <c r="AF9" s="217">
        <v>207334892</v>
      </c>
      <c r="AG9" s="70">
        <v>20733489</v>
      </c>
      <c r="AH9" s="70">
        <v>20733.5</v>
      </c>
      <c r="AI9" s="70">
        <v>2073348921</v>
      </c>
      <c r="AJ9" s="70">
        <v>2073.35</v>
      </c>
      <c r="AK9" s="71">
        <v>2073349</v>
      </c>
      <c r="AL9" s="115">
        <v>4602952</v>
      </c>
      <c r="AM9" s="72">
        <v>67126380</v>
      </c>
      <c r="AN9" s="72">
        <v>2087.86</v>
      </c>
      <c r="AO9" s="72">
        <v>2087864</v>
      </c>
      <c r="AP9" s="116">
        <v>2087863815</v>
      </c>
      <c r="AQ9" s="123">
        <v>10.2911</v>
      </c>
      <c r="AR9" s="123">
        <v>0.254299</v>
      </c>
      <c r="AS9" s="73">
        <v>10291107</v>
      </c>
      <c r="AT9" s="73">
        <v>102911</v>
      </c>
      <c r="AU9" s="73">
        <v>0.102911</v>
      </c>
      <c r="AV9" s="73">
        <v>1029.1099999999999</v>
      </c>
      <c r="AW9" s="73">
        <v>1029110729</v>
      </c>
      <c r="AX9" s="73">
        <v>11077.3</v>
      </c>
      <c r="AY9" s="218">
        <v>1595125</v>
      </c>
      <c r="AZ9" s="247">
        <f t="shared" si="20"/>
        <v>0</v>
      </c>
      <c r="BA9" s="41">
        <f t="shared" si="21"/>
        <v>4.9806895782815224E-10</v>
      </c>
      <c r="BB9" s="42">
        <f t="shared" si="21"/>
        <v>1.0144298578707018E-8</v>
      </c>
      <c r="BC9" s="42">
        <f t="shared" si="21"/>
        <v>-5.2039833651575108E-7</v>
      </c>
      <c r="BD9" s="42">
        <f t="shared" si="21"/>
        <v>1.5757471393958105E-11</v>
      </c>
      <c r="BE9" s="42">
        <f t="shared" si="21"/>
        <v>-5.2039833638415319E-7</v>
      </c>
      <c r="BF9" s="43">
        <f t="shared" si="21"/>
        <v>-3.8086849997334262E-8</v>
      </c>
      <c r="BG9" s="107">
        <f t="shared" si="22"/>
        <v>-4.3989360638048651E-8</v>
      </c>
      <c r="BH9" s="44">
        <f t="shared" si="23"/>
        <v>5.6682154498548553E-9</v>
      </c>
      <c r="BI9" s="44">
        <f t="shared" si="23"/>
        <v>1.8271462049107164E-6</v>
      </c>
      <c r="BJ9" s="44">
        <f t="shared" si="23"/>
        <v>-8.8687563217483011E-8</v>
      </c>
      <c r="BK9" s="108">
        <f t="shared" si="23"/>
        <v>-8.0251469899816643E-11</v>
      </c>
      <c r="BL9" s="43">
        <f t="shared" si="23"/>
        <v>7.0844419247607071E-7</v>
      </c>
      <c r="BM9" s="42">
        <f t="shared" si="23"/>
        <v>-7.8931484739309166E-7</v>
      </c>
      <c r="BN9" s="42">
        <f t="shared" si="23"/>
        <v>2.8245278833832801E-8</v>
      </c>
      <c r="BO9" s="42">
        <f t="shared" si="23"/>
        <v>7.0844419261830194E-7</v>
      </c>
      <c r="BP9" s="42">
        <f t="shared" si="23"/>
        <v>7.0844419260013467E-7</v>
      </c>
      <c r="BQ9" s="42">
        <f t="shared" si="23"/>
        <v>7.0844419266249038E-7</v>
      </c>
      <c r="BR9" s="42">
        <f t="shared" si="23"/>
        <v>6.5609602201207661E-11</v>
      </c>
      <c r="BS9" s="42">
        <f t="shared" si="23"/>
        <v>-3.9994962291669106E-6</v>
      </c>
      <c r="BT9" s="45">
        <f t="shared" si="23"/>
        <v>-1.1265306762583669E-7</v>
      </c>
    </row>
    <row r="10" spans="2:72" x14ac:dyDescent="0.25">
      <c r="B10" s="86">
        <v>322</v>
      </c>
      <c r="C10" s="93">
        <v>223</v>
      </c>
      <c r="D10" s="128">
        <f t="shared" si="1"/>
        <v>644</v>
      </c>
      <c r="E10" s="156" t="s">
        <v>5</v>
      </c>
      <c r="F10" s="59"/>
      <c r="G10" s="56"/>
      <c r="H10" s="56"/>
      <c r="I10" s="173">
        <v>5.43</v>
      </c>
      <c r="J10" s="167">
        <f t="shared" si="2"/>
        <v>644</v>
      </c>
      <c r="K10" s="69">
        <f t="shared" si="3"/>
        <v>3869253265842.7515</v>
      </c>
      <c r="L10" s="70">
        <f t="shared" si="4"/>
        <v>386925326584.27515</v>
      </c>
      <c r="M10" s="70">
        <f t="shared" si="5"/>
        <v>386925326.58427513</v>
      </c>
      <c r="N10" s="70">
        <f t="shared" si="6"/>
        <v>38692532658427.516</v>
      </c>
      <c r="O10" s="70">
        <f>((PI()*C10)/6)*(3*(SQRT(B10^2-(B10-C10)^2))^2+C10^2)</f>
        <v>38692532.658427514</v>
      </c>
      <c r="P10" s="71">
        <f t="shared" si="7"/>
        <v>38692532658.427513</v>
      </c>
      <c r="Q10" s="115">
        <f t="shared" si="8"/>
        <v>463192210078.97766</v>
      </c>
      <c r="R10" s="72">
        <f t="shared" si="9"/>
        <v>6754886396985.0918</v>
      </c>
      <c r="S10" s="72">
        <f t="shared" si="10"/>
        <v>210100452.33526137</v>
      </c>
      <c r="T10" s="72">
        <f>O10*1000*I10</f>
        <v>210100452335.26138</v>
      </c>
      <c r="U10" s="116">
        <f t="shared" si="11"/>
        <v>210100452335261.37</v>
      </c>
      <c r="V10" s="81">
        <f t="shared" si="12"/>
        <v>7461.1254726430789</v>
      </c>
      <c r="W10" s="73">
        <f t="shared" si="13"/>
        <v>184.36842560918521</v>
      </c>
      <c r="X10" s="73">
        <f t="shared" si="14"/>
        <v>7461125472.6430788</v>
      </c>
      <c r="Y10" s="73">
        <f t="shared" si="15"/>
        <v>74611254.726430789</v>
      </c>
      <c r="Z10" s="73">
        <f t="shared" si="16"/>
        <v>74.611254726430786</v>
      </c>
      <c r="AA10" s="73">
        <f>2*PI()*B10*C10+PI()*(SQRT(B10^2-(B10-C10)^2))^2</f>
        <v>746112.54726430785</v>
      </c>
      <c r="AB10" s="73">
        <f t="shared" si="17"/>
        <v>746112547264.30786</v>
      </c>
      <c r="AC10" s="73">
        <f t="shared" si="18"/>
        <v>8031088.6195361083</v>
      </c>
      <c r="AD10" s="81">
        <f t="shared" si="19"/>
        <v>1156476761.2131996</v>
      </c>
      <c r="AE10" s="167">
        <v>644</v>
      </c>
      <c r="AF10" s="217">
        <v>3869253265843</v>
      </c>
      <c r="AG10" s="70">
        <v>386925326584</v>
      </c>
      <c r="AH10" s="70">
        <v>386925327</v>
      </c>
      <c r="AI10" s="70">
        <v>38692532658428</v>
      </c>
      <c r="AJ10" s="70">
        <v>38692533</v>
      </c>
      <c r="AK10" s="71">
        <v>38692532658</v>
      </c>
      <c r="AL10" s="115">
        <v>463192210079</v>
      </c>
      <c r="AM10" s="72">
        <v>6754886396985</v>
      </c>
      <c r="AN10" s="72">
        <v>210100452</v>
      </c>
      <c r="AO10" s="72">
        <v>210100452335</v>
      </c>
      <c r="AP10" s="116">
        <v>210100452335261</v>
      </c>
      <c r="AQ10" s="123">
        <v>7461.13</v>
      </c>
      <c r="AR10" s="123">
        <v>184.36799999999999</v>
      </c>
      <c r="AS10" s="73">
        <v>7461125473</v>
      </c>
      <c r="AT10" s="73">
        <v>74611255</v>
      </c>
      <c r="AU10" s="73">
        <v>74.6113</v>
      </c>
      <c r="AV10" s="73">
        <v>746113</v>
      </c>
      <c r="AW10" s="73">
        <v>746112547264</v>
      </c>
      <c r="AX10" s="73">
        <v>8031089</v>
      </c>
      <c r="AY10" s="218">
        <v>1156476761</v>
      </c>
      <c r="AZ10" s="247">
        <f t="shared" si="20"/>
        <v>0</v>
      </c>
      <c r="BA10" s="41">
        <f t="shared" si="21"/>
        <v>-6.4233364728030347E-14</v>
      </c>
      <c r="BB10" s="42">
        <f t="shared" si="21"/>
        <v>7.1111003976905892E-13</v>
      </c>
      <c r="BC10" s="42">
        <f t="shared" si="21"/>
        <v>-1.0744317959559511E-9</v>
      </c>
      <c r="BD10" s="42">
        <f t="shared" si="21"/>
        <v>-1.2518565385109253E-14</v>
      </c>
      <c r="BE10" s="42">
        <f t="shared" si="21"/>
        <v>-8.8278658024151208E-9</v>
      </c>
      <c r="BF10" s="43">
        <f t="shared" si="21"/>
        <v>1.1048982663725381E-11</v>
      </c>
      <c r="BG10" s="107">
        <f t="shared" si="22"/>
        <v>-4.8228071848814252E-14</v>
      </c>
      <c r="BH10" s="44">
        <f t="shared" si="23"/>
        <v>1.3589699308780633E-14</v>
      </c>
      <c r="BI10" s="44">
        <f t="shared" si="23"/>
        <v>1.5957194331833577E-9</v>
      </c>
      <c r="BJ10" s="44">
        <f t="shared" si="23"/>
        <v>1.2440861204026871E-12</v>
      </c>
      <c r="BK10" s="108">
        <f t="shared" si="23"/>
        <v>1.7848605075899849E-15</v>
      </c>
      <c r="BL10" s="43">
        <f t="shared" si="23"/>
        <v>-6.0679276040110107E-7</v>
      </c>
      <c r="BM10" s="42">
        <f t="shared" si="23"/>
        <v>2.3084711159618808E-6</v>
      </c>
      <c r="BN10" s="42">
        <f t="shared" si="23"/>
        <v>-4.7837447217926037E-11</v>
      </c>
      <c r="BO10" s="42">
        <f t="shared" si="23"/>
        <v>-3.6665944349396049E-9</v>
      </c>
      <c r="BP10" s="42">
        <f t="shared" si="23"/>
        <v>-6.0679276041633824E-7</v>
      </c>
      <c r="BQ10" s="42">
        <f t="shared" si="23"/>
        <v>-6.0679276043035653E-7</v>
      </c>
      <c r="BR10" s="42">
        <f t="shared" si="23"/>
        <v>4.1262049439297414E-13</v>
      </c>
      <c r="BS10" s="42">
        <f t="shared" si="23"/>
        <v>-4.7373887860875529E-8</v>
      </c>
      <c r="BT10" s="45">
        <f t="shared" si="23"/>
        <v>1.8435270178266185E-10</v>
      </c>
    </row>
    <row r="11" spans="2:72" x14ac:dyDescent="0.25">
      <c r="B11" s="86">
        <v>1200</v>
      </c>
      <c r="C11" s="93">
        <v>667</v>
      </c>
      <c r="D11" s="128">
        <f t="shared" si="1"/>
        <v>2400</v>
      </c>
      <c r="E11" s="156" t="s">
        <v>6</v>
      </c>
      <c r="F11" s="11">
        <v>23</v>
      </c>
      <c r="G11" s="58"/>
      <c r="H11" s="58"/>
      <c r="I11" s="178"/>
      <c r="J11" s="167">
        <f t="shared" si="2"/>
        <v>2400</v>
      </c>
      <c r="K11" s="69">
        <f t="shared" si="3"/>
        <v>5.6955937448930242E+23</v>
      </c>
      <c r="L11" s="70">
        <f t="shared" si="4"/>
        <v>5.6955937448930239E+22</v>
      </c>
      <c r="M11" s="70">
        <f t="shared" si="5"/>
        <v>5.6955937448930247E+19</v>
      </c>
      <c r="N11" s="70">
        <f t="shared" si="6"/>
        <v>5.6955937448930239E+24</v>
      </c>
      <c r="O11" s="70">
        <f>(((PI()*C11)/6)*(3*(SQRT(B11^2-(B11-C11)^2))^2+C11^2))*(63360*2.54/100)^3</f>
        <v>5.6955937448930243E+18</v>
      </c>
      <c r="P11" s="71">
        <f t="shared" si="7"/>
        <v>5.6955937448930239E+21</v>
      </c>
      <c r="Q11" s="115">
        <f t="shared" si="8"/>
        <v>2.8880260074158558E+20</v>
      </c>
      <c r="R11" s="72">
        <f t="shared" si="9"/>
        <v>4.2117045941481232E+21</v>
      </c>
      <c r="S11" s="72">
        <f t="shared" si="10"/>
        <v>1.3099865613253957E+17</v>
      </c>
      <c r="T11" s="72">
        <f>O11*F11</f>
        <v>1.3099865613253956E+20</v>
      </c>
      <c r="U11" s="116">
        <f t="shared" si="11"/>
        <v>1.3099865613253956E+23</v>
      </c>
      <c r="V11" s="81">
        <f t="shared" si="12"/>
        <v>224304962664.90286</v>
      </c>
      <c r="W11" s="73">
        <f t="shared" si="13"/>
        <v>5542696336.4289093</v>
      </c>
      <c r="X11" s="73">
        <f t="shared" si="14"/>
        <v>2.2430496266490285E+17</v>
      </c>
      <c r="Y11" s="73">
        <f t="shared" si="15"/>
        <v>2243049626649028.5</v>
      </c>
      <c r="Z11" s="73">
        <f t="shared" si="16"/>
        <v>2243049626.6490283</v>
      </c>
      <c r="AA11" s="73">
        <f>(2*PI()*B11*C11+PI()*(SQRT(B11^2-(B11-C11)^2))^2)*(63360*2.54/100)^2</f>
        <v>22430496266490.285</v>
      </c>
      <c r="AB11" s="73">
        <f t="shared" si="17"/>
        <v>2.2430496266490286E+19</v>
      </c>
      <c r="AC11" s="73">
        <f t="shared" si="18"/>
        <v>241439852414843.34</v>
      </c>
      <c r="AD11" s="81">
        <f t="shared" si="19"/>
        <v>3.4767338747737436E+16</v>
      </c>
      <c r="AE11" s="167">
        <v>2400</v>
      </c>
      <c r="AF11" s="217">
        <v>5.6955937448930202E+23</v>
      </c>
      <c r="AG11" s="70">
        <v>5.6955937448930197E+22</v>
      </c>
      <c r="AH11" s="70">
        <v>5.6955937448930198E+19</v>
      </c>
      <c r="AI11" s="70">
        <v>5.6955937448930197E+24</v>
      </c>
      <c r="AJ11" s="70">
        <v>5.6955937448930202E+18</v>
      </c>
      <c r="AK11" s="71">
        <v>5.6955937448930197E+21</v>
      </c>
      <c r="AL11" s="115">
        <v>2.8880260074158499E+20</v>
      </c>
      <c r="AM11" s="72">
        <v>4.2117045941481201E+21</v>
      </c>
      <c r="AN11" s="72">
        <v>1.3099865613254E+17</v>
      </c>
      <c r="AO11" s="72">
        <v>1.3099865613254001E+20</v>
      </c>
      <c r="AP11" s="116">
        <v>1.3099865613253999E+23</v>
      </c>
      <c r="AQ11" s="123">
        <v>224304962665</v>
      </c>
      <c r="AR11" s="123">
        <v>5542696336</v>
      </c>
      <c r="AS11" s="73">
        <v>2.2430496266490301E+17</v>
      </c>
      <c r="AT11" s="73">
        <v>2243049626649030</v>
      </c>
      <c r="AU11" s="73">
        <v>2243049627</v>
      </c>
      <c r="AV11" s="73">
        <v>22430496266490</v>
      </c>
      <c r="AW11" s="73">
        <v>2.2430496266490298E+19</v>
      </c>
      <c r="AX11" s="73">
        <v>241439852414843</v>
      </c>
      <c r="AY11" s="218">
        <v>3.47673387477374E+16</v>
      </c>
      <c r="AZ11" s="247">
        <f t="shared" si="20"/>
        <v>0</v>
      </c>
      <c r="BA11" s="41">
        <f t="shared" si="21"/>
        <v>7.069555906459103E-16</v>
      </c>
      <c r="BB11" s="42">
        <f t="shared" si="21"/>
        <v>7.3641207358948997E-16</v>
      </c>
      <c r="BC11" s="42">
        <f t="shared" si="21"/>
        <v>8.6298289873768336E-16</v>
      </c>
      <c r="BD11" s="42">
        <f t="shared" si="21"/>
        <v>7.5408596335563771E-16</v>
      </c>
      <c r="BE11" s="42">
        <f t="shared" si="21"/>
        <v>7.1915241561473625E-16</v>
      </c>
      <c r="BF11" s="43">
        <f t="shared" si="21"/>
        <v>7.3641207358948997E-16</v>
      </c>
      <c r="BG11" s="107">
        <f t="shared" si="22"/>
        <v>2.0423084781281523E-15</v>
      </c>
      <c r="BH11" s="44">
        <f t="shared" si="23"/>
        <v>7.4690138628686703E-16</v>
      </c>
      <c r="BI11" s="44">
        <f t="shared" si="23"/>
        <v>-3.2977437536681176E-15</v>
      </c>
      <c r="BJ11" s="44">
        <f t="shared" si="23"/>
        <v>-3.3768896037561525E-15</v>
      </c>
      <c r="BK11" s="108">
        <f t="shared" si="23"/>
        <v>-3.3298632892742151E-15</v>
      </c>
      <c r="BL11" s="43">
        <f t="shared" si="23"/>
        <v>-4.3305975051917189E-13</v>
      </c>
      <c r="BM11" s="42">
        <f t="shared" si="23"/>
        <v>7.7382789119952662E-11</v>
      </c>
      <c r="BN11" s="42">
        <f t="shared" si="23"/>
        <v>-7.1331457895129E-16</v>
      </c>
      <c r="BO11" s="42">
        <f t="shared" si="23"/>
        <v>-6.6873241776683435E-16</v>
      </c>
      <c r="BP11" s="42">
        <f t="shared" si="23"/>
        <v>-1.5647076845344499E-10</v>
      </c>
      <c r="BQ11" s="42">
        <f t="shared" si="23"/>
        <v>1.2712881900254924E-14</v>
      </c>
      <c r="BR11" s="42">
        <f t="shared" si="23"/>
        <v>-5.4782559663459067E-16</v>
      </c>
      <c r="BS11" s="42">
        <f t="shared" si="23"/>
        <v>1.4237500419332878E-15</v>
      </c>
      <c r="BT11" s="45">
        <f t="shared" si="23"/>
        <v>1.0354545759514821E-15</v>
      </c>
    </row>
    <row r="12" spans="2:72" x14ac:dyDescent="0.25">
      <c r="B12" s="86">
        <v>279</v>
      </c>
      <c r="C12" s="93">
        <v>213</v>
      </c>
      <c r="D12" s="128">
        <f t="shared" si="1"/>
        <v>558</v>
      </c>
      <c r="E12" s="156" t="s">
        <v>7</v>
      </c>
      <c r="F12" s="59"/>
      <c r="G12" s="4">
        <v>1998</v>
      </c>
      <c r="H12" s="58"/>
      <c r="I12" s="178"/>
      <c r="J12" s="167">
        <f t="shared" si="2"/>
        <v>558</v>
      </c>
      <c r="K12" s="69">
        <f t="shared" si="3"/>
        <v>2964.6430756948785</v>
      </c>
      <c r="L12" s="70">
        <f t="shared" si="4"/>
        <v>296.46430756948786</v>
      </c>
      <c r="M12" s="70">
        <f t="shared" si="5"/>
        <v>0.29646430756948788</v>
      </c>
      <c r="N12" s="70">
        <f t="shared" si="6"/>
        <v>29646.430756948786</v>
      </c>
      <c r="O12" s="70">
        <f>(((PI()*C12)/6)*(3*(SQRT(B12^2-(B12-C12)^2))^2+C12^2))/1000^3</f>
        <v>2.9646430756948786E-2</v>
      </c>
      <c r="P12" s="71">
        <f t="shared" si="7"/>
        <v>29.646430756948785</v>
      </c>
      <c r="Q12" s="115">
        <f t="shared" si="8"/>
        <v>130587.66542387754</v>
      </c>
      <c r="R12" s="72">
        <f t="shared" si="9"/>
        <v>1904403.4540982142</v>
      </c>
      <c r="S12" s="72">
        <f t="shared" si="10"/>
        <v>59.233568652383667</v>
      </c>
      <c r="T12" s="72">
        <f>O12*1000*G12</f>
        <v>59233.56865238367</v>
      </c>
      <c r="U12" s="116">
        <f t="shared" si="11"/>
        <v>59233568.65238367</v>
      </c>
      <c r="V12" s="81">
        <f t="shared" si="12"/>
        <v>6.0425078939880719E-3</v>
      </c>
      <c r="W12" s="73">
        <f t="shared" si="13"/>
        <v>1.4931362181622802E-4</v>
      </c>
      <c r="X12" s="73">
        <f t="shared" si="14"/>
        <v>6042.5078939880714</v>
      </c>
      <c r="Y12" s="73">
        <f t="shared" si="15"/>
        <v>60.42507893988072</v>
      </c>
      <c r="Z12" s="73">
        <f t="shared" si="16"/>
        <v>6.042507893988072E-5</v>
      </c>
      <c r="AA12" s="73">
        <f>(2*PI()*B12*C12+PI()*(SQRT(B12^2-(B12-C12)^2))^2)/1000^2</f>
        <v>0.60425078939880716</v>
      </c>
      <c r="AB12" s="73">
        <f t="shared" si="17"/>
        <v>604250.78939880722</v>
      </c>
      <c r="AC12" s="73">
        <f t="shared" si="18"/>
        <v>6.5041013663148934</v>
      </c>
      <c r="AD12" s="81">
        <f t="shared" si="19"/>
        <v>936.59059674934451</v>
      </c>
      <c r="AE12" s="167">
        <v>558</v>
      </c>
      <c r="AF12" s="217">
        <v>2964.64</v>
      </c>
      <c r="AG12" s="70">
        <v>296.464</v>
      </c>
      <c r="AH12" s="70">
        <v>0.29646400000000001</v>
      </c>
      <c r="AI12" s="70">
        <v>29646.400000000001</v>
      </c>
      <c r="AJ12" s="70">
        <v>2.96464E-2</v>
      </c>
      <c r="AK12" s="71">
        <v>29.6464</v>
      </c>
      <c r="AL12" s="115">
        <v>130588</v>
      </c>
      <c r="AM12" s="72">
        <v>1904403</v>
      </c>
      <c r="AN12" s="72">
        <v>59.233600000000003</v>
      </c>
      <c r="AO12" s="72">
        <v>59233.599999999999</v>
      </c>
      <c r="AP12" s="116">
        <v>59233569</v>
      </c>
      <c r="AQ12" s="123">
        <v>6.0425100000000001E-3</v>
      </c>
      <c r="AR12" s="123">
        <v>1.49314E-4</v>
      </c>
      <c r="AS12" s="73">
        <v>6042.51</v>
      </c>
      <c r="AT12" s="73">
        <v>60.4251</v>
      </c>
      <c r="AU12" s="73">
        <v>6.0425078939880699E-5</v>
      </c>
      <c r="AV12" s="73">
        <v>0.60425099999999998</v>
      </c>
      <c r="AW12" s="73">
        <v>604251</v>
      </c>
      <c r="AX12" s="73">
        <v>6.5041000000000002</v>
      </c>
      <c r="AY12" s="218">
        <v>936.59100000000001</v>
      </c>
      <c r="AZ12" s="247">
        <f t="shared" si="20"/>
        <v>0</v>
      </c>
      <c r="BA12" s="41">
        <f t="shared" si="21"/>
        <v>1.0374587429444155E-6</v>
      </c>
      <c r="BB12" s="42">
        <f t="shared" si="21"/>
        <v>1.0374587429444155E-6</v>
      </c>
      <c r="BC12" s="42">
        <f t="shared" si="21"/>
        <v>1.0374587430103253E-6</v>
      </c>
      <c r="BD12" s="42">
        <f t="shared" si="21"/>
        <v>1.0374587429137375E-6</v>
      </c>
      <c r="BE12" s="42">
        <f t="shared" si="21"/>
        <v>1.0374587429635144E-6</v>
      </c>
      <c r="BF12" s="43">
        <f t="shared" si="21"/>
        <v>1.0374587429204483E-6</v>
      </c>
      <c r="BG12" s="107">
        <f t="shared" si="22"/>
        <v>-2.5620805868359856E-6</v>
      </c>
      <c r="BH12" s="44">
        <f t="shared" si="23"/>
        <v>2.3844643485880528E-7</v>
      </c>
      <c r="BI12" s="44">
        <f t="shared" si="23"/>
        <v>-5.2922045807461369E-7</v>
      </c>
      <c r="BJ12" s="44">
        <f t="shared" si="23"/>
        <v>-5.2922045795081898E-7</v>
      </c>
      <c r="BK12" s="108">
        <f t="shared" si="23"/>
        <v>-5.8685697603190579E-9</v>
      </c>
      <c r="BL12" s="43">
        <f t="shared" si="23"/>
        <v>-3.4853275579704768E-7</v>
      </c>
      <c r="BM12" s="42">
        <f t="shared" si="23"/>
        <v>-2.5328149393027963E-6</v>
      </c>
      <c r="BN12" s="42">
        <f t="shared" si="23"/>
        <v>-3.485327559009593E-7</v>
      </c>
      <c r="BO12" s="42">
        <f t="shared" si="23"/>
        <v>-3.4853275576925769E-7</v>
      </c>
      <c r="BP12" s="42">
        <f t="shared" si="23"/>
        <v>3.3642969261701946E-16</v>
      </c>
      <c r="BQ12" s="42">
        <f t="shared" si="23"/>
        <v>-3.4853275579130596E-7</v>
      </c>
      <c r="BR12" s="42">
        <f t="shared" si="23"/>
        <v>-3.4853275573238121E-7</v>
      </c>
      <c r="BS12" s="42">
        <f t="shared" si="23"/>
        <v>2.1006974157897859E-7</v>
      </c>
      <c r="BT12" s="45">
        <f t="shared" si="23"/>
        <v>-4.3055168063242673E-7</v>
      </c>
    </row>
    <row r="13" spans="2:72" x14ac:dyDescent="0.25">
      <c r="B13" s="86">
        <v>145</v>
      </c>
      <c r="C13" s="93">
        <v>67</v>
      </c>
      <c r="D13" s="128">
        <f t="shared" si="1"/>
        <v>290</v>
      </c>
      <c r="E13" s="156" t="s">
        <v>8</v>
      </c>
      <c r="F13" s="59"/>
      <c r="G13" s="58"/>
      <c r="H13" s="4">
        <v>135.69999999999999</v>
      </c>
      <c r="I13" s="178"/>
      <c r="J13" s="167">
        <f t="shared" si="2"/>
        <v>290</v>
      </c>
      <c r="K13" s="69">
        <f t="shared" si="3"/>
        <v>132261880804.11777</v>
      </c>
      <c r="L13" s="70">
        <f t="shared" si="4"/>
        <v>13226188080.411777</v>
      </c>
      <c r="M13" s="70">
        <f t="shared" si="5"/>
        <v>13226188.080411777</v>
      </c>
      <c r="N13" s="70">
        <f t="shared" si="6"/>
        <v>1322618808041.1777</v>
      </c>
      <c r="O13" s="70">
        <f>(((PI()*C13)/6)*(3*(SQRT(B13^2-(B13-C13)^2))^2+C13^2))*0.9144^3</f>
        <v>1322618.8080411777</v>
      </c>
      <c r="P13" s="71">
        <f t="shared" si="7"/>
        <v>1322618808.0411777</v>
      </c>
      <c r="Q13" s="115">
        <f t="shared" si="8"/>
        <v>6338254214.432683</v>
      </c>
      <c r="R13" s="72">
        <f t="shared" si="9"/>
        <v>92432873960.476639</v>
      </c>
      <c r="S13" s="72">
        <f t="shared" si="10"/>
        <v>2874983.750787009</v>
      </c>
      <c r="T13" s="72">
        <f>O13*(0.45359237/0.3048^3)*H13</f>
        <v>2874983750.7870092</v>
      </c>
      <c r="U13" s="116">
        <f t="shared" si="11"/>
        <v>2874983750787.0093</v>
      </c>
      <c r="V13" s="81">
        <f t="shared" si="12"/>
        <v>902.84765688887524</v>
      </c>
      <c r="W13" s="73">
        <f t="shared" si="13"/>
        <v>22.309851466226192</v>
      </c>
      <c r="X13" s="73">
        <f t="shared" si="14"/>
        <v>902847656.88887525</v>
      </c>
      <c r="Y13" s="73">
        <f t="shared" si="15"/>
        <v>9028476.5688887518</v>
      </c>
      <c r="Z13" s="73">
        <f t="shared" si="16"/>
        <v>9.0284765688887525</v>
      </c>
      <c r="AA13" s="73">
        <f>(2*PI()*B13*C13+PI()*(SQRT(B13^2-(B13-C13)^2))^2)*0.9144^2</f>
        <v>90284.765688887521</v>
      </c>
      <c r="AB13" s="73">
        <f t="shared" si="17"/>
        <v>90284765688.887527</v>
      </c>
      <c r="AC13" s="73">
        <f t="shared" si="18"/>
        <v>971817.12986881298</v>
      </c>
      <c r="AD13" s="81">
        <f t="shared" si="19"/>
        <v>139941666.70110905</v>
      </c>
      <c r="AE13" s="167">
        <v>290</v>
      </c>
      <c r="AF13" s="217">
        <v>132261880804</v>
      </c>
      <c r="AG13" s="70">
        <v>13226188080</v>
      </c>
      <c r="AH13" s="70">
        <v>13226188</v>
      </c>
      <c r="AI13" s="70">
        <v>1322618808041</v>
      </c>
      <c r="AJ13" s="70">
        <v>1322619</v>
      </c>
      <c r="AK13" s="71">
        <v>1322618808</v>
      </c>
      <c r="AL13" s="115">
        <v>6338254214</v>
      </c>
      <c r="AM13" s="72">
        <v>92432873960</v>
      </c>
      <c r="AN13" s="72">
        <v>2874984</v>
      </c>
      <c r="AO13" s="72">
        <v>2874983751</v>
      </c>
      <c r="AP13" s="116">
        <v>2874983750787</v>
      </c>
      <c r="AQ13" s="123">
        <v>902.84799999999996</v>
      </c>
      <c r="AR13" s="123">
        <v>22.309899999999999</v>
      </c>
      <c r="AS13" s="73">
        <v>902847657</v>
      </c>
      <c r="AT13" s="73">
        <v>9028477</v>
      </c>
      <c r="AU13" s="73">
        <v>9.0284800000000001</v>
      </c>
      <c r="AV13" s="73">
        <v>90284.800000000003</v>
      </c>
      <c r="AW13" s="73">
        <v>90284765689</v>
      </c>
      <c r="AX13" s="73">
        <v>971817</v>
      </c>
      <c r="AY13" s="218">
        <v>139941667</v>
      </c>
      <c r="AZ13" s="247">
        <f t="shared" si="20"/>
        <v>0</v>
      </c>
      <c r="BA13" s="41">
        <f t="shared" si="21"/>
        <v>8.9041024721847522E-13</v>
      </c>
      <c r="BB13" s="42">
        <f t="shared" si="21"/>
        <v>3.1133497711841898E-11</v>
      </c>
      <c r="BC13" s="42">
        <f t="shared" si="21"/>
        <v>6.0797394087705995E-9</v>
      </c>
      <c r="BD13" s="42">
        <f t="shared" si="21"/>
        <v>1.3438064990413058E-13</v>
      </c>
      <c r="BE13" s="42">
        <f t="shared" si="21"/>
        <v>-1.45135409494339E-7</v>
      </c>
      <c r="BF13" s="43">
        <f t="shared" si="21"/>
        <v>3.1133497711841898E-11</v>
      </c>
      <c r="BG13" s="107">
        <f t="shared" si="22"/>
        <v>6.8265326127592083E-11</v>
      </c>
      <c r="BH13" s="44">
        <f t="shared" si="23"/>
        <v>5.1565938991480288E-12</v>
      </c>
      <c r="BI13" s="44">
        <f t="shared" si="23"/>
        <v>-8.6683269396696531E-8</v>
      </c>
      <c r="BJ13" s="44">
        <f t="shared" si="23"/>
        <v>-7.4084161604363057E-11</v>
      </c>
      <c r="BK13" s="108">
        <f t="shared" si="23"/>
        <v>3.2269204121450717E-15</v>
      </c>
      <c r="BL13" s="43">
        <f t="shared" si="23"/>
        <v>-3.8003213731903588E-7</v>
      </c>
      <c r="BM13" s="42">
        <f t="shared" si="23"/>
        <v>-2.1754413686013617E-6</v>
      </c>
      <c r="BN13" s="42">
        <f t="shared" si="23"/>
        <v>-1.2308250800024381E-10</v>
      </c>
      <c r="BO13" s="42">
        <f t="shared" si="23"/>
        <v>-4.7750165259955348E-8</v>
      </c>
      <c r="BP13" s="42">
        <f t="shared" si="23"/>
        <v>-3.8003213735838596E-7</v>
      </c>
      <c r="BQ13" s="42">
        <f t="shared" si="23"/>
        <v>-3.8003213742984573E-7</v>
      </c>
      <c r="BR13" s="42">
        <f t="shared" si="23"/>
        <v>-1.2457531824057323E-12</v>
      </c>
      <c r="BS13" s="42">
        <f t="shared" si="23"/>
        <v>1.3363503171939858E-7</v>
      </c>
      <c r="BT13" s="45">
        <f t="shared" si="23"/>
        <v>-2.1358252716395905E-9</v>
      </c>
    </row>
    <row r="14" spans="2:72" ht="15.75" thickBot="1" x14ac:dyDescent="0.3">
      <c r="B14" s="88">
        <v>113</v>
      </c>
      <c r="C14" s="95">
        <v>88</v>
      </c>
      <c r="D14" s="142">
        <f t="shared" si="1"/>
        <v>226</v>
      </c>
      <c r="E14" s="157" t="s">
        <v>43</v>
      </c>
      <c r="F14" s="63"/>
      <c r="G14" s="60"/>
      <c r="H14" s="60"/>
      <c r="I14" s="179">
        <v>3588</v>
      </c>
      <c r="J14" s="168">
        <f t="shared" si="2"/>
        <v>226</v>
      </c>
      <c r="K14" s="79">
        <f t="shared" si="3"/>
        <v>2.035483956953079E-7</v>
      </c>
      <c r="L14" s="74">
        <f t="shared" si="4"/>
        <v>2.035483956953079E-8</v>
      </c>
      <c r="M14" s="74">
        <f t="shared" si="5"/>
        <v>2.0354839569530791E-11</v>
      </c>
      <c r="N14" s="74">
        <f t="shared" si="6"/>
        <v>2.035483956953079E-6</v>
      </c>
      <c r="O14" s="74">
        <f>(((PI()*C14)/6)*(3*(SQRT(B14^2-(B14-C14)^2))^2+C14^2))/1000000^3</f>
        <v>2.0354839569530791E-12</v>
      </c>
      <c r="P14" s="75">
        <f t="shared" si="7"/>
        <v>2.0354839569530789E-9</v>
      </c>
      <c r="Q14" s="117">
        <f t="shared" si="8"/>
        <v>1.6101056632737552E-5</v>
      </c>
      <c r="R14" s="76">
        <f t="shared" si="9"/>
        <v>2.3480707589408934E-4</v>
      </c>
      <c r="S14" s="76">
        <f t="shared" si="10"/>
        <v>7.3033164375476471E-9</v>
      </c>
      <c r="T14" s="76">
        <f>O14*1000*I14</f>
        <v>7.3033164375476469E-6</v>
      </c>
      <c r="U14" s="118">
        <f t="shared" si="11"/>
        <v>7.3033164375476472E-3</v>
      </c>
      <c r="V14" s="82">
        <f t="shared" si="12"/>
        <v>1.0063149587978824E-9</v>
      </c>
      <c r="W14" s="77">
        <f t="shared" si="13"/>
        <v>2.4866584176986552E-11</v>
      </c>
      <c r="X14" s="77">
        <f t="shared" si="14"/>
        <v>1.0063149587978824E-3</v>
      </c>
      <c r="Y14" s="77">
        <f t="shared" si="15"/>
        <v>1.0063149587978824E-5</v>
      </c>
      <c r="Z14" s="77">
        <f t="shared" si="16"/>
        <v>1.0063149587978824E-11</v>
      </c>
      <c r="AA14" s="77">
        <f>(2*PI()*B14*C14+PI()*(SQRT(B14^2-(B14-C14)^2))^2)/1000000^2</f>
        <v>1.0063149587978825E-7</v>
      </c>
      <c r="AB14" s="77">
        <f t="shared" si="17"/>
        <v>0.10063149587978824</v>
      </c>
      <c r="AC14" s="77">
        <f t="shared" si="18"/>
        <v>1.0831884067495343E-6</v>
      </c>
      <c r="AD14" s="82">
        <f t="shared" si="19"/>
        <v>1.559791305719329E-4</v>
      </c>
      <c r="AE14" s="168">
        <v>226</v>
      </c>
      <c r="AF14" s="219">
        <v>2.0354839569530801E-7</v>
      </c>
      <c r="AG14" s="74">
        <v>2.03548395695308E-8</v>
      </c>
      <c r="AH14" s="74">
        <v>2.03548395695308E-11</v>
      </c>
      <c r="AI14" s="74">
        <v>2.0354839569530798E-6</v>
      </c>
      <c r="AJ14" s="74">
        <v>2.0354839569530799E-12</v>
      </c>
      <c r="AK14" s="75">
        <v>2.0354839569530802E-9</v>
      </c>
      <c r="AL14" s="117">
        <v>1.61010566327376E-5</v>
      </c>
      <c r="AM14" s="76">
        <v>2.3480699999999999E-4</v>
      </c>
      <c r="AN14" s="76">
        <v>7.3033164375476496E-9</v>
      </c>
      <c r="AO14" s="76">
        <v>7.3033164375476502E-6</v>
      </c>
      <c r="AP14" s="118">
        <v>7.3033200000000003E-3</v>
      </c>
      <c r="AQ14" s="125">
        <v>1.0063149587978799E-9</v>
      </c>
      <c r="AR14" s="125">
        <v>2.4866584176986501E-11</v>
      </c>
      <c r="AS14" s="77">
        <v>1.0063100000000001E-3</v>
      </c>
      <c r="AT14" s="77">
        <v>1.0063149587978801E-5</v>
      </c>
      <c r="AU14" s="77">
        <v>1.00631495879788E-11</v>
      </c>
      <c r="AV14" s="77">
        <v>1.0063149587978799E-7</v>
      </c>
      <c r="AW14" s="77">
        <v>0.100631</v>
      </c>
      <c r="AX14" s="77">
        <v>1.0831884067495301E-6</v>
      </c>
      <c r="AY14" s="220">
        <v>1.5597899999999999E-4</v>
      </c>
      <c r="AZ14" s="248">
        <f t="shared" si="20"/>
        <v>0</v>
      </c>
      <c r="BA14" s="46">
        <f t="shared" si="21"/>
        <v>-5.2016680379676517E-16</v>
      </c>
      <c r="BB14" s="47">
        <f t="shared" si="21"/>
        <v>-4.8765637855946729E-16</v>
      </c>
      <c r="BC14" s="47">
        <f t="shared" si="21"/>
        <v>-4.7622693218697981E-16</v>
      </c>
      <c r="BD14" s="47">
        <f t="shared" si="21"/>
        <v>-4.1613344303741212E-16</v>
      </c>
      <c r="BE14" s="47">
        <f t="shared" si="21"/>
        <v>-3.9685577682248319E-16</v>
      </c>
      <c r="BF14" s="48">
        <f t="shared" si="21"/>
        <v>-6.0957047319933424E-16</v>
      </c>
      <c r="BG14" s="109">
        <f t="shared" si="22"/>
        <v>-2.9460082110260839E-15</v>
      </c>
      <c r="BH14" s="49">
        <f t="shared" si="23"/>
        <v>3.2321891946357679E-7</v>
      </c>
      <c r="BI14" s="49">
        <f t="shared" si="23"/>
        <v>-3.39782872463397E-16</v>
      </c>
      <c r="BJ14" s="49">
        <f t="shared" si="23"/>
        <v>-4.6391688187002468E-16</v>
      </c>
      <c r="BK14" s="110">
        <f t="shared" si="23"/>
        <v>-4.8778556749397126E-7</v>
      </c>
      <c r="BL14" s="48">
        <f t="shared" si="23"/>
        <v>2.4659693428620681E-15</v>
      </c>
      <c r="BM14" s="47">
        <f t="shared" si="23"/>
        <v>2.0790466401255973E-15</v>
      </c>
      <c r="BN14" s="47">
        <f t="shared" si="23"/>
        <v>4.9276797874707418E-6</v>
      </c>
      <c r="BO14" s="47">
        <f t="shared" si="23"/>
        <v>2.3568090999513737E-15</v>
      </c>
      <c r="BP14" s="47">
        <f t="shared" si="23"/>
        <v>2.408173186388738E-15</v>
      </c>
      <c r="BQ14" s="47">
        <f t="shared" si="23"/>
        <v>2.4988489341002286E-15</v>
      </c>
      <c r="BR14" s="47">
        <f t="shared" si="23"/>
        <v>4.9276797876258869E-6</v>
      </c>
      <c r="BS14" s="47">
        <f t="shared" si="23"/>
        <v>3.9099058943776152E-15</v>
      </c>
      <c r="BT14" s="50">
        <f t="shared" si="23"/>
        <v>8.3711155733327093E-7</v>
      </c>
    </row>
    <row r="15" spans="2:72" ht="15.75" thickTop="1" x14ac:dyDescent="0.25"/>
    <row r="16" spans="2:72" ht="15.75" thickBot="1" x14ac:dyDescent="0.3"/>
    <row r="17" spans="2:72" ht="30.75" customHeight="1" thickTop="1" thickBot="1" x14ac:dyDescent="0.3">
      <c r="B17" s="343" t="s">
        <v>46</v>
      </c>
      <c r="C17" s="344"/>
      <c r="D17" s="356"/>
      <c r="E17" s="346" t="s">
        <v>65</v>
      </c>
      <c r="F17" s="347"/>
      <c r="G17" s="347"/>
      <c r="H17" s="347"/>
      <c r="I17" s="348"/>
    </row>
    <row r="18" spans="2:72" ht="16.5" customHeight="1" thickTop="1" thickBot="1" x14ac:dyDescent="0.3">
      <c r="B18" s="337" t="s">
        <v>67</v>
      </c>
      <c r="C18" s="338"/>
      <c r="D18" s="338"/>
      <c r="E18" s="339"/>
      <c r="F18" s="311" t="s">
        <v>31</v>
      </c>
      <c r="G18" s="312"/>
      <c r="H18" s="312"/>
      <c r="I18" s="312"/>
      <c r="J18" s="165" t="s">
        <v>89</v>
      </c>
      <c r="K18" s="340" t="s">
        <v>21</v>
      </c>
      <c r="L18" s="341"/>
      <c r="M18" s="341"/>
      <c r="N18" s="341"/>
      <c r="O18" s="341"/>
      <c r="P18" s="341"/>
      <c r="Q18" s="294" t="s">
        <v>22</v>
      </c>
      <c r="R18" s="295"/>
      <c r="S18" s="295"/>
      <c r="T18" s="295"/>
      <c r="U18" s="296"/>
      <c r="V18" s="304" t="s">
        <v>44</v>
      </c>
      <c r="W18" s="305"/>
      <c r="X18" s="305"/>
      <c r="Y18" s="305"/>
      <c r="Z18" s="305"/>
      <c r="AA18" s="305"/>
      <c r="AB18" s="305"/>
      <c r="AC18" s="305"/>
      <c r="AD18" s="305"/>
      <c r="AE18" s="165" t="s">
        <v>89</v>
      </c>
      <c r="AF18" s="300" t="s">
        <v>21</v>
      </c>
      <c r="AG18" s="301"/>
      <c r="AH18" s="301"/>
      <c r="AI18" s="301"/>
      <c r="AJ18" s="301"/>
      <c r="AK18" s="301"/>
      <c r="AL18" s="294" t="s">
        <v>22</v>
      </c>
      <c r="AM18" s="295"/>
      <c r="AN18" s="295"/>
      <c r="AO18" s="295"/>
      <c r="AP18" s="296"/>
      <c r="AQ18" s="304" t="s">
        <v>45</v>
      </c>
      <c r="AR18" s="305"/>
      <c r="AS18" s="305"/>
      <c r="AT18" s="305"/>
      <c r="AU18" s="305"/>
      <c r="AV18" s="305"/>
      <c r="AW18" s="305"/>
      <c r="AX18" s="305"/>
      <c r="AY18" s="306"/>
      <c r="AZ18" s="245" t="s">
        <v>89</v>
      </c>
      <c r="BA18" s="328" t="s">
        <v>21</v>
      </c>
      <c r="BB18" s="323"/>
      <c r="BC18" s="323"/>
      <c r="BD18" s="323"/>
      <c r="BE18" s="323"/>
      <c r="BF18" s="323"/>
      <c r="BG18" s="322" t="s">
        <v>22</v>
      </c>
      <c r="BH18" s="323"/>
      <c r="BI18" s="323"/>
      <c r="BJ18" s="323"/>
      <c r="BK18" s="324"/>
      <c r="BL18" s="328" t="s">
        <v>45</v>
      </c>
      <c r="BM18" s="323"/>
      <c r="BN18" s="323"/>
      <c r="BO18" s="323"/>
      <c r="BP18" s="323"/>
      <c r="BQ18" s="323"/>
      <c r="BR18" s="323"/>
      <c r="BS18" s="323"/>
      <c r="BT18" s="329"/>
    </row>
    <row r="19" spans="2:72" s="18" customFormat="1" ht="15" customHeight="1" thickBot="1" x14ac:dyDescent="0.3">
      <c r="B19" s="331" t="s">
        <v>81</v>
      </c>
      <c r="C19" s="373" t="s">
        <v>20</v>
      </c>
      <c r="D19" s="433" t="s">
        <v>80</v>
      </c>
      <c r="E19" s="362" t="s">
        <v>1</v>
      </c>
      <c r="F19" s="314"/>
      <c r="G19" s="315"/>
      <c r="H19" s="315"/>
      <c r="I19" s="315"/>
      <c r="J19" s="399" t="s">
        <v>80</v>
      </c>
      <c r="K19" s="342"/>
      <c r="L19" s="342"/>
      <c r="M19" s="342"/>
      <c r="N19" s="342"/>
      <c r="O19" s="342"/>
      <c r="P19" s="342"/>
      <c r="Q19" s="297"/>
      <c r="R19" s="298"/>
      <c r="S19" s="298"/>
      <c r="T19" s="298"/>
      <c r="U19" s="299"/>
      <c r="V19" s="307"/>
      <c r="W19" s="307"/>
      <c r="X19" s="307"/>
      <c r="Y19" s="307"/>
      <c r="Z19" s="307"/>
      <c r="AA19" s="307"/>
      <c r="AB19" s="307"/>
      <c r="AC19" s="307"/>
      <c r="AD19" s="307"/>
      <c r="AE19" s="399" t="s">
        <v>80</v>
      </c>
      <c r="AF19" s="302"/>
      <c r="AG19" s="303"/>
      <c r="AH19" s="303"/>
      <c r="AI19" s="303"/>
      <c r="AJ19" s="303"/>
      <c r="AK19" s="303"/>
      <c r="AL19" s="297"/>
      <c r="AM19" s="298"/>
      <c r="AN19" s="298"/>
      <c r="AO19" s="298"/>
      <c r="AP19" s="299"/>
      <c r="AQ19" s="307"/>
      <c r="AR19" s="307"/>
      <c r="AS19" s="307"/>
      <c r="AT19" s="307"/>
      <c r="AU19" s="307"/>
      <c r="AV19" s="307"/>
      <c r="AW19" s="307"/>
      <c r="AX19" s="307"/>
      <c r="AY19" s="308"/>
      <c r="AZ19" s="401" t="s">
        <v>80</v>
      </c>
      <c r="BA19" s="326"/>
      <c r="BB19" s="326"/>
      <c r="BC19" s="326"/>
      <c r="BD19" s="326"/>
      <c r="BE19" s="326"/>
      <c r="BF19" s="326"/>
      <c r="BG19" s="325"/>
      <c r="BH19" s="326"/>
      <c r="BI19" s="326"/>
      <c r="BJ19" s="326"/>
      <c r="BK19" s="327"/>
      <c r="BL19" s="326"/>
      <c r="BM19" s="326"/>
      <c r="BN19" s="326"/>
      <c r="BO19" s="326"/>
      <c r="BP19" s="326"/>
      <c r="BQ19" s="326"/>
      <c r="BR19" s="326"/>
      <c r="BS19" s="326"/>
      <c r="BT19" s="330"/>
    </row>
    <row r="20" spans="2:72" s="18" customFormat="1" ht="18" thickBot="1" x14ac:dyDescent="0.3">
      <c r="B20" s="431"/>
      <c r="C20" s="432"/>
      <c r="D20" s="434"/>
      <c r="E20" s="363"/>
      <c r="F20" s="19" t="s">
        <v>29</v>
      </c>
      <c r="G20" s="20" t="s">
        <v>28</v>
      </c>
      <c r="H20" s="20" t="s">
        <v>30</v>
      </c>
      <c r="I20" s="176" t="s">
        <v>27</v>
      </c>
      <c r="J20" s="400"/>
      <c r="K20" s="29" t="s">
        <v>32</v>
      </c>
      <c r="L20" s="24" t="s">
        <v>34</v>
      </c>
      <c r="M20" s="24" t="s">
        <v>33</v>
      </c>
      <c r="N20" s="24" t="s">
        <v>35</v>
      </c>
      <c r="O20" s="24" t="s">
        <v>37</v>
      </c>
      <c r="P20" s="30" t="s">
        <v>36</v>
      </c>
      <c r="Q20" s="111" t="s">
        <v>38</v>
      </c>
      <c r="R20" s="22" t="s">
        <v>39</v>
      </c>
      <c r="S20" s="22" t="s">
        <v>40</v>
      </c>
      <c r="T20" s="22" t="s">
        <v>41</v>
      </c>
      <c r="U20" s="112" t="s">
        <v>42</v>
      </c>
      <c r="V20" s="25" t="s">
        <v>11</v>
      </c>
      <c r="W20" s="23" t="s">
        <v>13</v>
      </c>
      <c r="X20" s="23" t="s">
        <v>23</v>
      </c>
      <c r="Y20" s="23" t="s">
        <v>24</v>
      </c>
      <c r="Z20" s="23" t="s">
        <v>12</v>
      </c>
      <c r="AA20" s="23" t="s">
        <v>25</v>
      </c>
      <c r="AB20" s="23" t="s">
        <v>26</v>
      </c>
      <c r="AC20" s="23" t="s">
        <v>10</v>
      </c>
      <c r="AD20" s="25" t="s">
        <v>9</v>
      </c>
      <c r="AE20" s="400"/>
      <c r="AF20" s="119" t="s">
        <v>32</v>
      </c>
      <c r="AG20" s="24" t="s">
        <v>34</v>
      </c>
      <c r="AH20" s="24" t="s">
        <v>33</v>
      </c>
      <c r="AI20" s="24" t="s">
        <v>35</v>
      </c>
      <c r="AJ20" s="24" t="s">
        <v>37</v>
      </c>
      <c r="AK20" s="30" t="s">
        <v>36</v>
      </c>
      <c r="AL20" s="111" t="s">
        <v>38</v>
      </c>
      <c r="AM20" s="22" t="s">
        <v>39</v>
      </c>
      <c r="AN20" s="22" t="s">
        <v>40</v>
      </c>
      <c r="AO20" s="22" t="s">
        <v>41</v>
      </c>
      <c r="AP20" s="112" t="s">
        <v>42</v>
      </c>
      <c r="AQ20" s="26" t="s">
        <v>11</v>
      </c>
      <c r="AR20" s="27" t="s">
        <v>13</v>
      </c>
      <c r="AS20" s="27" t="s">
        <v>23</v>
      </c>
      <c r="AT20" s="27" t="s">
        <v>24</v>
      </c>
      <c r="AU20" s="27" t="s">
        <v>12</v>
      </c>
      <c r="AV20" s="27" t="s">
        <v>25</v>
      </c>
      <c r="AW20" s="27" t="s">
        <v>26</v>
      </c>
      <c r="AX20" s="27" t="s">
        <v>10</v>
      </c>
      <c r="AY20" s="120" t="s">
        <v>9</v>
      </c>
      <c r="AZ20" s="402"/>
      <c r="BA20" s="34" t="s">
        <v>32</v>
      </c>
      <c r="BB20" s="33" t="s">
        <v>34</v>
      </c>
      <c r="BC20" s="33" t="s">
        <v>33</v>
      </c>
      <c r="BD20" s="33" t="s">
        <v>35</v>
      </c>
      <c r="BE20" s="33" t="s">
        <v>37</v>
      </c>
      <c r="BF20" s="34" t="s">
        <v>36</v>
      </c>
      <c r="BG20" s="103" t="s">
        <v>38</v>
      </c>
      <c r="BH20" s="33" t="s">
        <v>39</v>
      </c>
      <c r="BI20" s="33" t="s">
        <v>40</v>
      </c>
      <c r="BJ20" s="33" t="s">
        <v>41</v>
      </c>
      <c r="BK20" s="104" t="s">
        <v>42</v>
      </c>
      <c r="BL20" s="34" t="s">
        <v>11</v>
      </c>
      <c r="BM20" s="33" t="s">
        <v>13</v>
      </c>
      <c r="BN20" s="33" t="s">
        <v>23</v>
      </c>
      <c r="BO20" s="33" t="s">
        <v>24</v>
      </c>
      <c r="BP20" s="33" t="s">
        <v>12</v>
      </c>
      <c r="BQ20" s="33" t="s">
        <v>25</v>
      </c>
      <c r="BR20" s="33" t="s">
        <v>26</v>
      </c>
      <c r="BS20" s="33" t="s">
        <v>10</v>
      </c>
      <c r="BT20" s="35" t="s">
        <v>9</v>
      </c>
    </row>
    <row r="21" spans="2:72" x14ac:dyDescent="0.25">
      <c r="B21" s="84">
        <v>155</v>
      </c>
      <c r="C21" s="92">
        <v>77</v>
      </c>
      <c r="D21" s="135">
        <f>B21/2</f>
        <v>77.5</v>
      </c>
      <c r="E21" s="155" t="s">
        <v>2</v>
      </c>
      <c r="F21" s="62"/>
      <c r="G21" s="53"/>
      <c r="H21" s="53"/>
      <c r="I21" s="180">
        <v>67</v>
      </c>
      <c r="J21" s="169">
        <f>B21/2</f>
        <v>77.5</v>
      </c>
      <c r="K21" s="78">
        <f>O21*100000</f>
        <v>96547.373070243964</v>
      </c>
      <c r="L21" s="65">
        <f>O21*10000</f>
        <v>9654.7373070243975</v>
      </c>
      <c r="M21" s="65">
        <f>O21*10</f>
        <v>9.6547373070243978</v>
      </c>
      <c r="N21" s="65">
        <f>O21*1000000</f>
        <v>965473.73070243967</v>
      </c>
      <c r="O21" s="65">
        <f>(((PI()*C21)/6)*(3*(SQRT(D21^2-(D21-C21)^2))^2+C21^2))/100^3</f>
        <v>0.96547373070243969</v>
      </c>
      <c r="P21" s="66">
        <f>O21*1000</f>
        <v>965.47373070243964</v>
      </c>
      <c r="Q21" s="113">
        <f>T21/0.45359237</f>
        <v>142609.8502429912</v>
      </c>
      <c r="R21" s="67">
        <f>T21*1000/31.1034768</f>
        <v>2079726.9827102886</v>
      </c>
      <c r="S21" s="67">
        <f>T21/1000</f>
        <v>64.686739957063452</v>
      </c>
      <c r="T21" s="67">
        <f>O21*1000*I21</f>
        <v>64686.739957063459</v>
      </c>
      <c r="U21" s="114">
        <f>T21*1000</f>
        <v>64686739.957063459</v>
      </c>
      <c r="V21" s="80">
        <f>AA21/100</f>
        <v>5.6363313798054475E-2</v>
      </c>
      <c r="W21" s="68">
        <f>AA21/4046.8564224</f>
        <v>1.3927678156821794E-3</v>
      </c>
      <c r="X21" s="68">
        <f>AA21*10000</f>
        <v>56363.313798054478</v>
      </c>
      <c r="Y21" s="68">
        <f>AA21*100</f>
        <v>563.6331379805448</v>
      </c>
      <c r="Z21" s="68">
        <f>AA21/10000</f>
        <v>5.6363313798054476E-4</v>
      </c>
      <c r="AA21" s="68">
        <f>((2*PI()*D21*C21)+(PI()*(SQRT(D21^2-(D21-C21)^2))^2))/100^2</f>
        <v>5.6363313798054477</v>
      </c>
      <c r="AB21" s="68">
        <f>AA21*1000000</f>
        <v>5636331.3798054475</v>
      </c>
      <c r="AC21" s="68">
        <f>AA21/144*10000/(2.54*2.54)</f>
        <v>60.668966051115746</v>
      </c>
      <c r="AD21" s="80">
        <f>AA21*10000/(2.54 *2.54)</f>
        <v>8736.3311113606669</v>
      </c>
      <c r="AE21" s="169">
        <v>77.5</v>
      </c>
      <c r="AF21" s="215">
        <v>96547.4</v>
      </c>
      <c r="AG21" s="65">
        <v>9654.74</v>
      </c>
      <c r="AH21" s="65">
        <v>9.6547400000000003</v>
      </c>
      <c r="AI21" s="65">
        <v>965474</v>
      </c>
      <c r="AJ21" s="65">
        <v>0.96547400000000005</v>
      </c>
      <c r="AK21" s="66">
        <v>965.47400000000005</v>
      </c>
      <c r="AL21" s="113">
        <v>142610</v>
      </c>
      <c r="AM21" s="67">
        <v>2079727</v>
      </c>
      <c r="AN21" s="67">
        <v>64.686700000000002</v>
      </c>
      <c r="AO21" s="67">
        <v>64686.7</v>
      </c>
      <c r="AP21" s="114">
        <v>64686740</v>
      </c>
      <c r="AQ21" s="121">
        <v>5.6363299999999998E-2</v>
      </c>
      <c r="AR21" s="121">
        <v>1.39277E-3</v>
      </c>
      <c r="AS21" s="68">
        <v>56363.3</v>
      </c>
      <c r="AT21" s="68">
        <v>563.63300000000004</v>
      </c>
      <c r="AU21" s="68">
        <v>5.6363300000000002E-4</v>
      </c>
      <c r="AV21" s="68">
        <v>5.6363300000000001</v>
      </c>
      <c r="AW21" s="68">
        <v>5636331</v>
      </c>
      <c r="AX21" s="68">
        <v>60.668999999999997</v>
      </c>
      <c r="AY21" s="216">
        <v>8736.33</v>
      </c>
      <c r="AZ21" s="246">
        <f>(J21-AE21)/J21</f>
        <v>0</v>
      </c>
      <c r="BA21" s="36">
        <f t="shared" ref="BA21:BT21" si="24">(K21-AF21)/K21</f>
        <v>-2.7892790009175344E-7</v>
      </c>
      <c r="BB21" s="37">
        <f t="shared" si="24"/>
        <v>-2.7892790001639186E-7</v>
      </c>
      <c r="BC21" s="37">
        <f t="shared" si="24"/>
        <v>-2.7892790004288615E-7</v>
      </c>
      <c r="BD21" s="37">
        <f t="shared" si="24"/>
        <v>-2.7892790012189802E-7</v>
      </c>
      <c r="BE21" s="37">
        <f t="shared" si="24"/>
        <v>-2.7892790015787876E-7</v>
      </c>
      <c r="BF21" s="38">
        <f t="shared" si="24"/>
        <v>-2.7892790020479571E-7</v>
      </c>
      <c r="BG21" s="105">
        <f t="shared" si="24"/>
        <v>-1.0501168645832678E-6</v>
      </c>
      <c r="BH21" s="39">
        <f t="shared" si="24"/>
        <v>-8.313452457469546E-9</v>
      </c>
      <c r="BI21" s="39">
        <f t="shared" si="24"/>
        <v>6.1770099214257548E-7</v>
      </c>
      <c r="BJ21" s="39">
        <f t="shared" si="24"/>
        <v>6.1770099232535523E-7</v>
      </c>
      <c r="BK21" s="106">
        <f t="shared" si="24"/>
        <v>-6.6376109181849484E-10</v>
      </c>
      <c r="BL21" s="38">
        <f t="shared" si="24"/>
        <v>2.4480559333688463E-7</v>
      </c>
      <c r="BM21" s="37">
        <f t="shared" si="24"/>
        <v>-1.568328759461246E-6</v>
      </c>
      <c r="BN21" s="37">
        <f t="shared" si="24"/>
        <v>2.4480559330637693E-7</v>
      </c>
      <c r="BO21" s="37">
        <f t="shared" si="24"/>
        <v>2.4480559333058138E-7</v>
      </c>
      <c r="BP21" s="37">
        <f t="shared" si="24"/>
        <v>2.4480559329071831E-7</v>
      </c>
      <c r="BQ21" s="37">
        <f t="shared" si="24"/>
        <v>2.4480559333688463E-7</v>
      </c>
      <c r="BR21" s="37">
        <f t="shared" si="24"/>
        <v>6.7385223107097846E-8</v>
      </c>
      <c r="BS21" s="37">
        <f t="shared" si="24"/>
        <v>-5.5957578414541538E-7</v>
      </c>
      <c r="BT21" s="40">
        <f t="shared" si="24"/>
        <v>1.2721137200685513E-7</v>
      </c>
    </row>
    <row r="22" spans="2:72" x14ac:dyDescent="0.25">
      <c r="B22" s="86">
        <v>277</v>
      </c>
      <c r="C22" s="93">
        <v>88</v>
      </c>
      <c r="D22" s="184">
        <f t="shared" ref="D22:D28" si="25">B22/2</f>
        <v>138.5</v>
      </c>
      <c r="E22" s="156" t="s">
        <v>3</v>
      </c>
      <c r="F22" s="11">
        <v>266</v>
      </c>
      <c r="G22" s="58"/>
      <c r="H22" s="58"/>
      <c r="I22" s="178"/>
      <c r="J22" s="167">
        <f t="shared" ref="J22:J28" si="26">B22/2</f>
        <v>138.5</v>
      </c>
      <c r="K22" s="69">
        <f t="shared" ref="K22:K28" si="27">O22*100000</f>
        <v>7520559552.1780825</v>
      </c>
      <c r="L22" s="70">
        <f t="shared" ref="L22:L28" si="28">O22*10000</f>
        <v>752055955.21780825</v>
      </c>
      <c r="M22" s="70">
        <f t="shared" ref="M22:M28" si="29">O22*10</f>
        <v>752055.95521780825</v>
      </c>
      <c r="N22" s="70">
        <f t="shared" ref="N22:N28" si="30">O22*1000000</f>
        <v>75205595521.780823</v>
      </c>
      <c r="O22" s="70">
        <f>(((PI()*C22)/6)*(3*(SQRT(D22^2-(D22-C22)^2))^2+C22^2))*0.3048^3</f>
        <v>75205.595521780822</v>
      </c>
      <c r="P22" s="71">
        <f t="shared" ref="P22:P28" si="31">O22*1000</f>
        <v>75205595.521780819</v>
      </c>
      <c r="Q22" s="115">
        <f t="shared" ref="Q22:Q28" si="32">T22/0.45359237</f>
        <v>44102788.609062575</v>
      </c>
      <c r="R22" s="72">
        <f t="shared" ref="R22:R28" si="33">T22*1000/31.1034768</f>
        <v>643165667.21549594</v>
      </c>
      <c r="S22" s="72">
        <f t="shared" ref="S22:S28" si="34">T22/1000</f>
        <v>20004.6884087937</v>
      </c>
      <c r="T22" s="72">
        <f>O22*F22</f>
        <v>20004688.408793699</v>
      </c>
      <c r="U22" s="116">
        <f t="shared" ref="U22:U28" si="35">T22*1000</f>
        <v>20004688408.793697</v>
      </c>
      <c r="V22" s="81">
        <f t="shared" ref="V22:V28" si="36">AA22/100</f>
        <v>119.6873873443019</v>
      </c>
      <c r="W22" s="73">
        <f t="shared" ref="W22:W28" si="37">AA22/4046.8564224</f>
        <v>2.9575397506522099</v>
      </c>
      <c r="X22" s="73">
        <f t="shared" ref="X22:X28" si="38">AA22*10000</f>
        <v>119687387.34430189</v>
      </c>
      <c r="Y22" s="73">
        <f t="shared" ref="Y22:Y28" si="39">AA22*100</f>
        <v>1196873.8734430189</v>
      </c>
      <c r="Z22" s="73">
        <f t="shared" ref="Z22:Z28" si="40">AA22/10000</f>
        <v>1.1968738734430189</v>
      </c>
      <c r="AA22" s="73">
        <f>((2*PI()*D22*C22)+(PI()*(SQRT(D22^2-(D22-C22)^2))^2))*0.3048^2</f>
        <v>11968.73873443019</v>
      </c>
      <c r="AB22" s="73">
        <f t="shared" ref="AB22:AB28" si="41">AA22*1000000</f>
        <v>11968738734.430189</v>
      </c>
      <c r="AC22" s="73">
        <f t="shared" ref="AC22:AC28" si="42">AA22/144*10000/(2.54*2.54)</f>
        <v>128830.43153841024</v>
      </c>
      <c r="AD22" s="81">
        <f t="shared" ref="AD22:AD28" si="43">AA22*10000/(2.54 *2.54)</f>
        <v>18551582.141531076</v>
      </c>
      <c r="AE22" s="167">
        <v>138.5</v>
      </c>
      <c r="AF22" s="217">
        <v>7520559552</v>
      </c>
      <c r="AG22" s="69">
        <v>752055955</v>
      </c>
      <c r="AH22" s="70">
        <v>752056</v>
      </c>
      <c r="AI22" s="70">
        <v>75205595522</v>
      </c>
      <c r="AJ22" s="70">
        <v>75205.600000000006</v>
      </c>
      <c r="AK22" s="71">
        <v>75205596</v>
      </c>
      <c r="AL22" s="115">
        <v>44102789</v>
      </c>
      <c r="AM22" s="72">
        <v>643165667</v>
      </c>
      <c r="AN22" s="72">
        <v>20004.7</v>
      </c>
      <c r="AO22" s="72">
        <v>20004688</v>
      </c>
      <c r="AP22" s="116">
        <v>20004688409</v>
      </c>
      <c r="AQ22" s="123">
        <v>119.687</v>
      </c>
      <c r="AR22" s="123">
        <v>2.9575399999999998</v>
      </c>
      <c r="AS22" s="73">
        <v>119687387</v>
      </c>
      <c r="AT22" s="73">
        <v>1196874</v>
      </c>
      <c r="AU22" s="73">
        <v>1.1968700000000001</v>
      </c>
      <c r="AV22" s="73">
        <v>11968.7</v>
      </c>
      <c r="AW22" s="73">
        <v>11968738734</v>
      </c>
      <c r="AX22" s="73">
        <v>128830</v>
      </c>
      <c r="AY22" s="218">
        <v>18551582</v>
      </c>
      <c r="AZ22" s="247">
        <f t="shared" ref="AZ22:AZ28" si="44">(J22-AE22)/J22</f>
        <v>0</v>
      </c>
      <c r="BA22" s="41">
        <f t="shared" ref="BA22:BF28" si="45">(K22-AF22)/K22</f>
        <v>2.3679417055332346E-11</v>
      </c>
      <c r="BB22" s="42">
        <f t="shared" si="45"/>
        <v>2.8961707583243303E-10</v>
      </c>
      <c r="BC22" s="42">
        <f t="shared" si="45"/>
        <v>-5.9546356141585008E-8</v>
      </c>
      <c r="BD22" s="42">
        <f t="shared" si="45"/>
        <v>-2.9143741841692157E-12</v>
      </c>
      <c r="BE22" s="42">
        <f t="shared" si="45"/>
        <v>-5.9546356257682077E-8</v>
      </c>
      <c r="BF22" s="43">
        <f t="shared" si="45"/>
        <v>-6.3588244728506828E-9</v>
      </c>
      <c r="BG22" s="107">
        <f t="shared" ref="BG22:BG28" si="46">(Q22-AL22)/Q22</f>
        <v>-8.8642337032592546E-9</v>
      </c>
      <c r="BH22" s="44">
        <f t="shared" ref="BH22:BT28" si="47">(R22-AM22)/R22</f>
        <v>3.3505511100443938E-10</v>
      </c>
      <c r="BI22" s="44">
        <f t="shared" si="47"/>
        <v>-5.7942448611175171E-7</v>
      </c>
      <c r="BJ22" s="44">
        <f t="shared" si="47"/>
        <v>2.0434894592839905E-8</v>
      </c>
      <c r="BK22" s="108">
        <f t="shared" si="47"/>
        <v>-1.0312714630015369E-11</v>
      </c>
      <c r="BL22" s="43">
        <f t="shared" si="47"/>
        <v>3.2363000855273263E-6</v>
      </c>
      <c r="BM22" s="42">
        <f t="shared" si="47"/>
        <v>-8.4309193111004901E-8</v>
      </c>
      <c r="BN22" s="42">
        <f t="shared" si="47"/>
        <v>2.876676498223588E-9</v>
      </c>
      <c r="BO22" s="42">
        <f t="shared" si="47"/>
        <v>-1.0573961378073842E-7</v>
      </c>
      <c r="BP22" s="42">
        <f t="shared" si="47"/>
        <v>3.2363000853492266E-6</v>
      </c>
      <c r="BQ22" s="42">
        <f t="shared" si="47"/>
        <v>3.2363000854465876E-6</v>
      </c>
      <c r="BR22" s="42">
        <f t="shared" si="47"/>
        <v>3.5942728990558941E-11</v>
      </c>
      <c r="BS22" s="42">
        <f t="shared" si="47"/>
        <v>3.3496620719518969E-6</v>
      </c>
      <c r="BT22" s="45">
        <f t="shared" si="47"/>
        <v>7.6290569290809902E-9</v>
      </c>
    </row>
    <row r="23" spans="2:72" x14ac:dyDescent="0.25">
      <c r="B23" s="86">
        <v>599</v>
      </c>
      <c r="C23" s="93">
        <v>117</v>
      </c>
      <c r="D23" s="184">
        <f t="shared" si="25"/>
        <v>299.5</v>
      </c>
      <c r="E23" s="156" t="s">
        <v>4</v>
      </c>
      <c r="F23" s="59"/>
      <c r="G23" s="5">
        <v>588</v>
      </c>
      <c r="H23" s="56"/>
      <c r="I23" s="178"/>
      <c r="J23" s="167">
        <f t="shared" si="26"/>
        <v>299.5</v>
      </c>
      <c r="K23" s="69">
        <f t="shared" si="27"/>
        <v>18358215.92759683</v>
      </c>
      <c r="L23" s="70">
        <f t="shared" si="28"/>
        <v>1835821.5927596828</v>
      </c>
      <c r="M23" s="70">
        <f t="shared" si="29"/>
        <v>1835.8215927596827</v>
      </c>
      <c r="N23" s="70">
        <f t="shared" si="30"/>
        <v>183582159.27596828</v>
      </c>
      <c r="O23" s="70">
        <f>(((PI()*C23)/6)*(3*(SQRT(D23^2-(D23-C23)^2))^2+C23^2))*(2.54/100)^3</f>
        <v>183.58215927596828</v>
      </c>
      <c r="P23" s="71">
        <f t="shared" si="31"/>
        <v>183582.15927596827</v>
      </c>
      <c r="Q23" s="115">
        <f t="shared" si="32"/>
        <v>237980876.20889509</v>
      </c>
      <c r="R23" s="72">
        <f t="shared" si="33"/>
        <v>3470554444.7130532</v>
      </c>
      <c r="S23" s="72">
        <f t="shared" si="34"/>
        <v>107946.30965426934</v>
      </c>
      <c r="T23" s="72">
        <f>O23*1000*G23</f>
        <v>107946309.65426934</v>
      </c>
      <c r="U23" s="116">
        <f t="shared" si="35"/>
        <v>107946309654.26933</v>
      </c>
      <c r="V23" s="81">
        <f t="shared" si="36"/>
        <v>2.5634736733525689</v>
      </c>
      <c r="W23" s="73">
        <f t="shared" si="37"/>
        <v>6.3344813993482213E-2</v>
      </c>
      <c r="X23" s="73">
        <f t="shared" si="38"/>
        <v>2563473.6733525689</v>
      </c>
      <c r="Y23" s="73">
        <f t="shared" si="39"/>
        <v>25634.736733525686</v>
      </c>
      <c r="Z23" s="73">
        <f t="shared" si="40"/>
        <v>2.5634736733525686E-2</v>
      </c>
      <c r="AA23" s="73">
        <f>((2*PI()*D23*C23)+(PI()*(SQRT(D23^2-((B23/2)-C23)^2))^2))*(2.54/100)^2</f>
        <v>256.34736733525688</v>
      </c>
      <c r="AB23" s="73">
        <f t="shared" si="41"/>
        <v>256347367.33525687</v>
      </c>
      <c r="AC23" s="73">
        <f t="shared" si="42"/>
        <v>2759.3000975560853</v>
      </c>
      <c r="AD23" s="81">
        <f t="shared" si="43"/>
        <v>397339.21404807625</v>
      </c>
      <c r="AE23" s="167">
        <v>299.5</v>
      </c>
      <c r="AF23" s="217">
        <v>18358216</v>
      </c>
      <c r="AG23" s="70">
        <v>1835822</v>
      </c>
      <c r="AH23" s="70">
        <v>1835.82</v>
      </c>
      <c r="AI23" s="70">
        <v>183582159</v>
      </c>
      <c r="AJ23" s="70">
        <v>183.58199999999999</v>
      </c>
      <c r="AK23" s="71">
        <v>183582</v>
      </c>
      <c r="AL23" s="115">
        <v>237980876</v>
      </c>
      <c r="AM23" s="72">
        <v>3470554445</v>
      </c>
      <c r="AN23" s="72">
        <v>107946</v>
      </c>
      <c r="AO23" s="72">
        <v>107946310</v>
      </c>
      <c r="AP23" s="116">
        <v>107946309654</v>
      </c>
      <c r="AQ23" s="123">
        <v>2.5634700000000001</v>
      </c>
      <c r="AR23" s="123">
        <v>6.3344800000000007E-2</v>
      </c>
      <c r="AS23" s="73">
        <v>2563474</v>
      </c>
      <c r="AT23" s="73">
        <v>25634.7</v>
      </c>
      <c r="AU23" s="73">
        <v>2.56347E-2</v>
      </c>
      <c r="AV23" s="73">
        <v>256.34699999999998</v>
      </c>
      <c r="AW23" s="73">
        <v>256347367</v>
      </c>
      <c r="AX23" s="73">
        <v>2759.3</v>
      </c>
      <c r="AY23" s="218">
        <v>397339</v>
      </c>
      <c r="AZ23" s="247">
        <f t="shared" si="44"/>
        <v>0</v>
      </c>
      <c r="BA23" s="41">
        <f t="shared" si="45"/>
        <v>-3.9439110234867854E-9</v>
      </c>
      <c r="BB23" s="42">
        <f t="shared" si="45"/>
        <v>-2.2183000723448516E-7</v>
      </c>
      <c r="BC23" s="42">
        <f t="shared" si="45"/>
        <v>8.6760047331914611E-7</v>
      </c>
      <c r="BD23" s="42">
        <f t="shared" si="45"/>
        <v>1.5032412980827499E-9</v>
      </c>
      <c r="BE23" s="42">
        <f t="shared" si="45"/>
        <v>8.6760047335010951E-7</v>
      </c>
      <c r="BF23" s="43">
        <f t="shared" si="45"/>
        <v>8.6760047324978799E-7</v>
      </c>
      <c r="BG23" s="107">
        <f t="shared" si="46"/>
        <v>8.7778098211035381E-10</v>
      </c>
      <c r="BH23" s="44">
        <f t="shared" si="47"/>
        <v>-8.2680383811923629E-11</v>
      </c>
      <c r="BI23" s="44">
        <f t="shared" si="47"/>
        <v>2.8685952334092193E-6</v>
      </c>
      <c r="BJ23" s="44">
        <f t="shared" si="47"/>
        <v>-3.2028020545879994E-9</v>
      </c>
      <c r="BK23" s="108">
        <f t="shared" si="47"/>
        <v>2.4950633940595786E-12</v>
      </c>
      <c r="BL23" s="43">
        <f t="shared" si="47"/>
        <v>1.432958959935492E-6</v>
      </c>
      <c r="BM23" s="42">
        <f t="shared" si="47"/>
        <v>2.2090967395942142E-7</v>
      </c>
      <c r="BN23" s="42">
        <f t="shared" si="47"/>
        <v>-1.2742375102951803E-7</v>
      </c>
      <c r="BO23" s="42">
        <f t="shared" si="47"/>
        <v>1.4329589598273919E-6</v>
      </c>
      <c r="BP23" s="42">
        <f t="shared" si="47"/>
        <v>1.4329589598813553E-6</v>
      </c>
      <c r="BQ23" s="42">
        <f t="shared" si="47"/>
        <v>1.4329589600047869E-6</v>
      </c>
      <c r="BR23" s="42">
        <f t="shared" si="47"/>
        <v>1.3078225770224249E-9</v>
      </c>
      <c r="BS23" s="42">
        <f t="shared" si="47"/>
        <v>3.5355373361568022E-8</v>
      </c>
      <c r="BT23" s="45">
        <f t="shared" si="47"/>
        <v>5.3870362823162122E-7</v>
      </c>
    </row>
    <row r="24" spans="2:72" x14ac:dyDescent="0.25">
      <c r="B24" s="86">
        <v>45</v>
      </c>
      <c r="C24" s="93">
        <v>16</v>
      </c>
      <c r="D24" s="184">
        <f t="shared" si="25"/>
        <v>22.5</v>
      </c>
      <c r="E24" s="156" t="s">
        <v>5</v>
      </c>
      <c r="F24" s="59"/>
      <c r="G24" s="56"/>
      <c r="H24" s="5">
        <v>960</v>
      </c>
      <c r="I24" s="181"/>
      <c r="J24" s="167">
        <f t="shared" si="26"/>
        <v>22.5</v>
      </c>
      <c r="K24" s="69">
        <f t="shared" si="27"/>
        <v>1380625251.4975941</v>
      </c>
      <c r="L24" s="70">
        <f t="shared" si="28"/>
        <v>138062525.14975941</v>
      </c>
      <c r="M24" s="70">
        <f t="shared" si="29"/>
        <v>138062.5251497594</v>
      </c>
      <c r="N24" s="70">
        <f t="shared" si="30"/>
        <v>13806252514.975941</v>
      </c>
      <c r="O24" s="70">
        <f>((PI()*C24)/6)*(3*(SQRT(D24^2-(D24-C24)^2))^2+C24^2)</f>
        <v>13806.25251497594</v>
      </c>
      <c r="P24" s="71">
        <f t="shared" si="31"/>
        <v>13806252.514975941</v>
      </c>
      <c r="Q24" s="115">
        <f t="shared" si="32"/>
        <v>468060677.98952538</v>
      </c>
      <c r="R24" s="72">
        <f t="shared" si="33"/>
        <v>6825884887.3472452</v>
      </c>
      <c r="S24" s="72">
        <f t="shared" si="34"/>
        <v>212308.75223307565</v>
      </c>
      <c r="T24" s="72">
        <f>O24*(0.45359237/0.3048^3)*H24</f>
        <v>212308752.23307565</v>
      </c>
      <c r="U24" s="116">
        <f t="shared" si="35"/>
        <v>212308752233.07565</v>
      </c>
      <c r="V24" s="81">
        <f t="shared" si="36"/>
        <v>37.196457018503153</v>
      </c>
      <c r="W24" s="73">
        <f t="shared" si="37"/>
        <v>0.91914447007842404</v>
      </c>
      <c r="X24" s="73">
        <f t="shared" si="38"/>
        <v>37196457.018503152</v>
      </c>
      <c r="Y24" s="73">
        <f t="shared" si="39"/>
        <v>371964.57018503151</v>
      </c>
      <c r="Z24" s="73">
        <f t="shared" si="40"/>
        <v>0.37196457018503154</v>
      </c>
      <c r="AA24" s="73">
        <f>(2*PI()*D24*C24)+(PI()*(SQRT(D24^2-(D24-C24)^2))^2)</f>
        <v>3719.6457018503152</v>
      </c>
      <c r="AB24" s="73">
        <f t="shared" si="41"/>
        <v>3719645701.8503151</v>
      </c>
      <c r="AC24" s="73">
        <f t="shared" si="42"/>
        <v>40037.93311661615</v>
      </c>
      <c r="AD24" s="81">
        <f t="shared" si="43"/>
        <v>5765462.3687927257</v>
      </c>
      <c r="AE24" s="167">
        <v>22.5</v>
      </c>
      <c r="AF24" s="217">
        <v>1380625251</v>
      </c>
      <c r="AG24" s="70">
        <v>138062525</v>
      </c>
      <c r="AH24" s="70">
        <v>138063</v>
      </c>
      <c r="AI24" s="70">
        <v>13806252515</v>
      </c>
      <c r="AJ24" s="70">
        <v>13806.3</v>
      </c>
      <c r="AK24" s="71">
        <v>13806253</v>
      </c>
      <c r="AL24" s="115">
        <v>468060678</v>
      </c>
      <c r="AM24" s="72">
        <v>6825884887</v>
      </c>
      <c r="AN24" s="72">
        <v>212309</v>
      </c>
      <c r="AO24" s="72">
        <v>212308752</v>
      </c>
      <c r="AP24" s="116">
        <v>212308752233</v>
      </c>
      <c r="AQ24" s="123">
        <v>37.1965</v>
      </c>
      <c r="AR24" s="123">
        <v>0.91914399999999996</v>
      </c>
      <c r="AS24" s="73">
        <v>37196457</v>
      </c>
      <c r="AT24" s="73">
        <v>371965</v>
      </c>
      <c r="AU24" s="73">
        <v>0.37196499999999999</v>
      </c>
      <c r="AV24" s="73">
        <v>3719.65</v>
      </c>
      <c r="AW24" s="73">
        <v>3719645702</v>
      </c>
      <c r="AX24" s="73">
        <v>40037.9</v>
      </c>
      <c r="AY24" s="218">
        <v>5765462</v>
      </c>
      <c r="AZ24" s="247">
        <f t="shared" si="44"/>
        <v>0</v>
      </c>
      <c r="BA24" s="41">
        <f t="shared" si="45"/>
        <v>3.6041215208727712E-10</v>
      </c>
      <c r="BB24" s="42">
        <f t="shared" si="45"/>
        <v>1.0847216625176263E-9</v>
      </c>
      <c r="BC24" s="42">
        <f t="shared" si="45"/>
        <v>-3.4393854529676481E-6</v>
      </c>
      <c r="BD24" s="42">
        <f t="shared" si="45"/>
        <v>-1.7426376656662796E-12</v>
      </c>
      <c r="BE24" s="42">
        <f t="shared" si="45"/>
        <v>-3.4393854528885971E-6</v>
      </c>
      <c r="BF24" s="43">
        <f t="shared" si="45"/>
        <v>-3.5130753885982463E-8</v>
      </c>
      <c r="BG24" s="107">
        <f t="shared" si="46"/>
        <v>-2.2378769980411987E-11</v>
      </c>
      <c r="BH24" s="44">
        <f t="shared" si="47"/>
        <v>5.087182425436116E-11</v>
      </c>
      <c r="BI24" s="44">
        <f t="shared" si="47"/>
        <v>-1.1670122957560214E-6</v>
      </c>
      <c r="BJ24" s="44">
        <f t="shared" si="47"/>
        <v>1.0978146030001863E-9</v>
      </c>
      <c r="BK24" s="108">
        <f t="shared" si="47"/>
        <v>3.5633517401497397E-13</v>
      </c>
      <c r="BL24" s="43">
        <f t="shared" si="47"/>
        <v>-1.1555266359273032E-6</v>
      </c>
      <c r="BM24" s="42">
        <f t="shared" si="47"/>
        <v>5.1143040009270346E-7</v>
      </c>
      <c r="BN24" s="42">
        <f t="shared" si="47"/>
        <v>4.9744393195316422E-10</v>
      </c>
      <c r="BO24" s="42">
        <f t="shared" si="47"/>
        <v>-1.1555266359835407E-6</v>
      </c>
      <c r="BP24" s="42">
        <f t="shared" si="47"/>
        <v>-1.1555266358735776E-6</v>
      </c>
      <c r="BQ24" s="42">
        <f t="shared" si="47"/>
        <v>-1.1555266359884311E-6</v>
      </c>
      <c r="BR24" s="42">
        <f t="shared" si="47"/>
        <v>-4.0241710636956504E-11</v>
      </c>
      <c r="BS24" s="42">
        <f t="shared" si="47"/>
        <v>8.2713101228680349E-7</v>
      </c>
      <c r="BT24" s="45">
        <f t="shared" si="47"/>
        <v>6.3965854277908749E-8</v>
      </c>
    </row>
    <row r="25" spans="2:72" x14ac:dyDescent="0.25">
      <c r="B25" s="86">
        <v>2166</v>
      </c>
      <c r="C25" s="93">
        <v>965</v>
      </c>
      <c r="D25" s="184">
        <f t="shared" si="25"/>
        <v>1083</v>
      </c>
      <c r="E25" s="156" t="s">
        <v>6</v>
      </c>
      <c r="F25" s="59"/>
      <c r="G25" s="58"/>
      <c r="H25" s="58"/>
      <c r="I25" s="182">
        <v>1200</v>
      </c>
      <c r="J25" s="167">
        <f t="shared" si="26"/>
        <v>1083</v>
      </c>
      <c r="K25" s="69">
        <f t="shared" si="27"/>
        <v>9.283804786661485E+23</v>
      </c>
      <c r="L25" s="70">
        <f t="shared" si="28"/>
        <v>9.283804786661484E+22</v>
      </c>
      <c r="M25" s="70">
        <f t="shared" si="29"/>
        <v>9.2838047866614841E+19</v>
      </c>
      <c r="N25" s="70">
        <f t="shared" si="30"/>
        <v>9.2838047866614845E+24</v>
      </c>
      <c r="O25" s="70">
        <f>(((PI()*C25)/6)*(3*(SQRT(D25^2-(D25-C25)^2))^2+C25^2))*(63360*2.54/100)^3</f>
        <v>9.2838047866614845E+18</v>
      </c>
      <c r="P25" s="71">
        <f t="shared" si="31"/>
        <v>9.2838047866614847E+21</v>
      </c>
      <c r="Q25" s="115">
        <f t="shared" si="32"/>
        <v>2.4560743259402225E+25</v>
      </c>
      <c r="R25" s="72">
        <f t="shared" si="33"/>
        <v>3.5817750586628245E+26</v>
      </c>
      <c r="S25" s="72">
        <f t="shared" si="34"/>
        <v>1.1140565743993782E+22</v>
      </c>
      <c r="T25" s="72">
        <f>O25*1000*I25</f>
        <v>1.1140565743993781E+25</v>
      </c>
      <c r="U25" s="116">
        <f t="shared" si="35"/>
        <v>1.1140565743993781E+28</v>
      </c>
      <c r="V25" s="81">
        <f t="shared" si="36"/>
        <v>264373592649.89423</v>
      </c>
      <c r="W25" s="73">
        <f t="shared" si="37"/>
        <v>6532813746.159709</v>
      </c>
      <c r="X25" s="73">
        <f t="shared" si="38"/>
        <v>2.6437359264989421E+17</v>
      </c>
      <c r="Y25" s="73">
        <f t="shared" si="39"/>
        <v>2643735926498942</v>
      </c>
      <c r="Z25" s="73">
        <f t="shared" si="40"/>
        <v>2643735926.4989424</v>
      </c>
      <c r="AA25" s="73">
        <f>((2*PI()*D25*C25)+(PI()*(SQRT(D25^2-(D25-C25)^2))^2))*(63360*2.54/100)^2</f>
        <v>26437359264989.422</v>
      </c>
      <c r="AB25" s="73">
        <f t="shared" si="41"/>
        <v>2.6437359264989422E+19</v>
      </c>
      <c r="AC25" s="73">
        <f t="shared" si="42"/>
        <v>284569366782716.94</v>
      </c>
      <c r="AD25" s="81">
        <f t="shared" si="43"/>
        <v>4.0977988816711232E+16</v>
      </c>
      <c r="AE25" s="167">
        <v>1083</v>
      </c>
      <c r="AF25" s="217">
        <v>9.2838047866614904E+23</v>
      </c>
      <c r="AG25" s="70">
        <v>9.2838047866614807E+22</v>
      </c>
      <c r="AH25" s="70">
        <v>9.2838047866614792E+19</v>
      </c>
      <c r="AI25" s="70">
        <v>9.2838047866614802E+24</v>
      </c>
      <c r="AJ25" s="70">
        <v>9.2838047866614804E+18</v>
      </c>
      <c r="AK25" s="71">
        <v>9.2838047866614805E+21</v>
      </c>
      <c r="AL25" s="115">
        <v>2.45607432594022E+25</v>
      </c>
      <c r="AM25" s="72">
        <v>3.5817750586628197E+26</v>
      </c>
      <c r="AN25" s="72">
        <v>1.1140565743993801E+22</v>
      </c>
      <c r="AO25" s="72">
        <v>1.11405657439938E+25</v>
      </c>
      <c r="AP25" s="116">
        <v>1.1140565743993801E+28</v>
      </c>
      <c r="AQ25" s="123">
        <v>264373592650</v>
      </c>
      <c r="AR25" s="123">
        <v>6532813746</v>
      </c>
      <c r="AS25" s="73">
        <v>2.6437359264989402E+17</v>
      </c>
      <c r="AT25" s="73">
        <v>2643735926498940</v>
      </c>
      <c r="AU25" s="73">
        <v>2643735926</v>
      </c>
      <c r="AV25" s="73">
        <v>26437359264989</v>
      </c>
      <c r="AW25" s="73">
        <v>2.6437359264989401E+19</v>
      </c>
      <c r="AX25" s="73">
        <v>284569366782717</v>
      </c>
      <c r="AY25" s="218">
        <v>4.09779888167112E+16</v>
      </c>
      <c r="AZ25" s="247">
        <f t="shared" si="44"/>
        <v>0</v>
      </c>
      <c r="BA25" s="41">
        <f t="shared" si="45"/>
        <v>-5.7828759257341319E-16</v>
      </c>
      <c r="BB25" s="42">
        <f t="shared" si="45"/>
        <v>3.6142974535838329E-16</v>
      </c>
      <c r="BC25" s="42">
        <f t="shared" si="45"/>
        <v>5.2943810355231927E-16</v>
      </c>
      <c r="BD25" s="42">
        <f t="shared" si="45"/>
        <v>4.6263007405873055E-16</v>
      </c>
      <c r="BE25" s="42">
        <f t="shared" si="45"/>
        <v>4.4119841962693268E-16</v>
      </c>
      <c r="BF25" s="43">
        <f t="shared" si="45"/>
        <v>4.5178718169797903E-16</v>
      </c>
      <c r="BG25" s="107">
        <f t="shared" si="46"/>
        <v>1.0492273586278756E-15</v>
      </c>
      <c r="BH25" s="44">
        <f t="shared" si="47"/>
        <v>1.343011019043681E-15</v>
      </c>
      <c r="BI25" s="44">
        <f t="shared" si="47"/>
        <v>-1.6942019313674214E-15</v>
      </c>
      <c r="BJ25" s="44">
        <f t="shared" si="47"/>
        <v>-1.7348627777202398E-15</v>
      </c>
      <c r="BK25" s="108">
        <f t="shared" si="47"/>
        <v>-1.7764994843855255E-15</v>
      </c>
      <c r="BL25" s="43">
        <f t="shared" si="47"/>
        <v>-4.0009262922611464E-13</v>
      </c>
      <c r="BM25" s="42">
        <f t="shared" si="47"/>
        <v>2.4447195795148731E-11</v>
      </c>
      <c r="BN25" s="42">
        <f t="shared" si="47"/>
        <v>7.2624500077911555E-16</v>
      </c>
      <c r="BO25" s="42">
        <f t="shared" si="47"/>
        <v>7.5650520914491207E-16</v>
      </c>
      <c r="BP25" s="42">
        <f t="shared" si="47"/>
        <v>1.8872625294457717E-10</v>
      </c>
      <c r="BQ25" s="42">
        <f t="shared" si="47"/>
        <v>1.5957531755400488E-14</v>
      </c>
      <c r="BR25" s="42">
        <f t="shared" si="47"/>
        <v>7.7466133416438992E-16</v>
      </c>
      <c r="BS25" s="42">
        <f t="shared" si="47"/>
        <v>-2.1963010532936914E-16</v>
      </c>
      <c r="BT25" s="45">
        <f t="shared" si="47"/>
        <v>7.8090704117109038E-16</v>
      </c>
    </row>
    <row r="26" spans="2:72" x14ac:dyDescent="0.25">
      <c r="B26" s="86">
        <v>2011</v>
      </c>
      <c r="C26" s="93">
        <v>78</v>
      </c>
      <c r="D26" s="184">
        <f t="shared" si="25"/>
        <v>1005.5</v>
      </c>
      <c r="E26" s="156" t="s">
        <v>7</v>
      </c>
      <c r="F26" s="11">
        <v>655</v>
      </c>
      <c r="G26" s="58"/>
      <c r="H26" s="58"/>
      <c r="I26" s="178"/>
      <c r="J26" s="167">
        <f t="shared" si="26"/>
        <v>1005.5</v>
      </c>
      <c r="K26" s="69">
        <f t="shared" si="27"/>
        <v>1872.1623985499275</v>
      </c>
      <c r="L26" s="70">
        <f t="shared" si="28"/>
        <v>187.21623985499275</v>
      </c>
      <c r="M26" s="70">
        <f t="shared" si="29"/>
        <v>0.18721623985499275</v>
      </c>
      <c r="N26" s="70">
        <f t="shared" si="30"/>
        <v>18721.623985499275</v>
      </c>
      <c r="O26" s="70">
        <f>(((PI()*C26)/6)*(3*(SQRT(D26^2-(D26-C26)^2))^2+C26^2))/1000^3</f>
        <v>1.8721623985499276E-2</v>
      </c>
      <c r="P26" s="71">
        <f t="shared" si="31"/>
        <v>18.721623985499274</v>
      </c>
      <c r="Q26" s="115">
        <f t="shared" si="32"/>
        <v>27.03454582029681</v>
      </c>
      <c r="R26" s="72">
        <f t="shared" si="33"/>
        <v>394.25379321266189</v>
      </c>
      <c r="S26" s="72">
        <f t="shared" si="34"/>
        <v>1.2262663710502025E-2</v>
      </c>
      <c r="T26" s="72">
        <f>O26*F26</f>
        <v>12.262663710502025</v>
      </c>
      <c r="U26" s="116">
        <f t="shared" si="35"/>
        <v>12262.663710502025</v>
      </c>
      <c r="V26" s="81">
        <f t="shared" si="36"/>
        <v>9.6645443120913516E-3</v>
      </c>
      <c r="W26" s="73">
        <f t="shared" si="37"/>
        <v>2.3881609089456565E-4</v>
      </c>
      <c r="X26" s="73">
        <f t="shared" si="38"/>
        <v>9664.5443120913515</v>
      </c>
      <c r="Y26" s="73">
        <f t="shared" si="39"/>
        <v>96.645443120913527</v>
      </c>
      <c r="Z26" s="73">
        <f t="shared" si="40"/>
        <v>9.6645443120913518E-5</v>
      </c>
      <c r="AA26" s="73">
        <f>((2*PI()*D26*C26)+(PI()*(SQRT(D26^2-(D26-C26)^2))^2))/1000^2</f>
        <v>0.96645443120913521</v>
      </c>
      <c r="AB26" s="73">
        <f t="shared" si="41"/>
        <v>966454.43120913522</v>
      </c>
      <c r="AC26" s="73">
        <f t="shared" si="42"/>
        <v>10.40282891936728</v>
      </c>
      <c r="AD26" s="81">
        <f t="shared" si="43"/>
        <v>1498.0073643888882</v>
      </c>
      <c r="AE26" s="167">
        <v>1005.5</v>
      </c>
      <c r="AF26" s="217">
        <v>1872.16</v>
      </c>
      <c r="AG26" s="70">
        <v>187.21600000000001</v>
      </c>
      <c r="AH26" s="70">
        <v>0.18721599999999999</v>
      </c>
      <c r="AI26" s="70">
        <v>18721.599999999999</v>
      </c>
      <c r="AJ26" s="70">
        <v>1.8721600000000001E-2</v>
      </c>
      <c r="AK26" s="71">
        <v>18.721599999999999</v>
      </c>
      <c r="AL26" s="115">
        <v>27.034500000000001</v>
      </c>
      <c r="AM26" s="72">
        <v>394.25400000000002</v>
      </c>
      <c r="AN26" s="72">
        <v>1.22627E-2</v>
      </c>
      <c r="AO26" s="72">
        <v>12.262700000000001</v>
      </c>
      <c r="AP26" s="116">
        <v>12262.7</v>
      </c>
      <c r="AQ26" s="123">
        <v>9.6645399999999992E-3</v>
      </c>
      <c r="AR26" s="123">
        <v>2.3881600000000001E-4</v>
      </c>
      <c r="AS26" s="73">
        <v>9664.5400000000009</v>
      </c>
      <c r="AT26" s="73">
        <v>96.645399999999995</v>
      </c>
      <c r="AU26" s="73">
        <v>9.6645443120913505E-5</v>
      </c>
      <c r="AV26" s="73">
        <v>0.96645400000000004</v>
      </c>
      <c r="AW26" s="73">
        <v>966454</v>
      </c>
      <c r="AX26" s="73">
        <v>10.402799999999999</v>
      </c>
      <c r="AY26" s="218">
        <v>1498.01</v>
      </c>
      <c r="AZ26" s="247">
        <f t="shared" si="44"/>
        <v>0</v>
      </c>
      <c r="BA26" s="41">
        <f t="shared" si="45"/>
        <v>1.281165527775888E-6</v>
      </c>
      <c r="BB26" s="42">
        <f t="shared" si="45"/>
        <v>1.281165527775888E-6</v>
      </c>
      <c r="BC26" s="42">
        <f t="shared" si="45"/>
        <v>1.2811655278517942E-6</v>
      </c>
      <c r="BD26" s="42">
        <f t="shared" si="45"/>
        <v>1.2811655278730478E-6</v>
      </c>
      <c r="BE26" s="42">
        <f t="shared" si="45"/>
        <v>1.281165527777667E-6</v>
      </c>
      <c r="BF26" s="43">
        <f t="shared" si="45"/>
        <v>1.2811655278517942E-6</v>
      </c>
      <c r="BG26" s="107">
        <f t="shared" si="46"/>
        <v>1.6948794743179757E-6</v>
      </c>
      <c r="BH26" s="44">
        <f t="shared" si="47"/>
        <v>-5.2450310355732348E-7</v>
      </c>
      <c r="BI26" s="44">
        <f t="shared" si="47"/>
        <v>-2.9593487052293597E-6</v>
      </c>
      <c r="BJ26" s="44">
        <f t="shared" si="47"/>
        <v>-2.9593487053255552E-6</v>
      </c>
      <c r="BK26" s="108">
        <f t="shared" si="47"/>
        <v>-2.9593487053081719E-6</v>
      </c>
      <c r="BL26" s="43">
        <f t="shared" si="47"/>
        <v>4.461763755374815E-7</v>
      </c>
      <c r="BM26" s="42">
        <f t="shared" si="47"/>
        <v>3.8060486333521765E-7</v>
      </c>
      <c r="BN26" s="42">
        <f t="shared" si="47"/>
        <v>4.4617637535063587E-7</v>
      </c>
      <c r="BO26" s="42">
        <f t="shared" si="47"/>
        <v>4.4617637561530985E-7</v>
      </c>
      <c r="BP26" s="42">
        <f t="shared" si="47"/>
        <v>1.4022934468946644E-16</v>
      </c>
      <c r="BQ26" s="42">
        <f t="shared" si="47"/>
        <v>4.4617637547286379E-7</v>
      </c>
      <c r="BR26" s="42">
        <f t="shared" si="47"/>
        <v>4.4617637551626295E-7</v>
      </c>
      <c r="BS26" s="42">
        <f t="shared" si="47"/>
        <v>2.7799522135265037E-6</v>
      </c>
      <c r="BT26" s="45">
        <f t="shared" si="47"/>
        <v>-1.7594113183166669E-6</v>
      </c>
    </row>
    <row r="27" spans="2:72" x14ac:dyDescent="0.25">
      <c r="B27" s="86">
        <v>177</v>
      </c>
      <c r="C27" s="93">
        <v>64</v>
      </c>
      <c r="D27" s="184">
        <f t="shared" si="25"/>
        <v>88.5</v>
      </c>
      <c r="E27" s="156" t="s">
        <v>8</v>
      </c>
      <c r="F27" s="59"/>
      <c r="G27" s="4">
        <v>710</v>
      </c>
      <c r="H27" s="58"/>
      <c r="I27" s="178"/>
      <c r="J27" s="167">
        <f t="shared" si="26"/>
        <v>88.5</v>
      </c>
      <c r="K27" s="69">
        <f t="shared" si="27"/>
        <v>66080339955.636612</v>
      </c>
      <c r="L27" s="70">
        <f t="shared" si="28"/>
        <v>6608033995.5636616</v>
      </c>
      <c r="M27" s="70">
        <f t="shared" si="29"/>
        <v>6608033.9955636617</v>
      </c>
      <c r="N27" s="70">
        <f t="shared" si="30"/>
        <v>660803399556.36609</v>
      </c>
      <c r="O27" s="70">
        <f>(((PI()*C27)/6)*(3*(SQRT(D27^2-(D27-C27)^2))^2+C27^2))*0.9144^3</f>
        <v>660803.39955636614</v>
      </c>
      <c r="P27" s="71">
        <f t="shared" si="31"/>
        <v>660803399.55636609</v>
      </c>
      <c r="Q27" s="115">
        <f t="shared" si="32"/>
        <v>1034343707512.1433</v>
      </c>
      <c r="R27" s="72">
        <f t="shared" si="33"/>
        <v>15084179067885.424</v>
      </c>
      <c r="S27" s="72">
        <f t="shared" si="34"/>
        <v>469170413.68501991</v>
      </c>
      <c r="T27" s="72">
        <f>O27*1000*G27</f>
        <v>469170413685.0199</v>
      </c>
      <c r="U27" s="116">
        <f t="shared" si="35"/>
        <v>469170413685019.87</v>
      </c>
      <c r="V27" s="81">
        <f t="shared" si="36"/>
        <v>487.52880369664911</v>
      </c>
      <c r="W27" s="73">
        <f t="shared" si="37"/>
        <v>12.047099101369124</v>
      </c>
      <c r="X27" s="73">
        <f t="shared" si="38"/>
        <v>487528803.69664913</v>
      </c>
      <c r="Y27" s="73">
        <f t="shared" si="39"/>
        <v>4875288.0369664915</v>
      </c>
      <c r="Z27" s="73">
        <f t="shared" si="40"/>
        <v>4.8752880369664915</v>
      </c>
      <c r="AA27" s="73">
        <f>((2*PI()*D27*C27)+(PI()*(SQRT(D27^2-(D27-C27)^2))^2))*0.9144^2</f>
        <v>48752.880369664912</v>
      </c>
      <c r="AB27" s="73">
        <f t="shared" si="41"/>
        <v>48752880369.664909</v>
      </c>
      <c r="AC27" s="73">
        <f t="shared" si="42"/>
        <v>524771.63685563905</v>
      </c>
      <c r="AD27" s="81">
        <f t="shared" si="43"/>
        <v>75567115.707212031</v>
      </c>
      <c r="AE27" s="167">
        <v>88.5</v>
      </c>
      <c r="AF27" s="217">
        <v>66080339956</v>
      </c>
      <c r="AG27" s="70">
        <v>6608033996</v>
      </c>
      <c r="AH27" s="70">
        <v>6608034</v>
      </c>
      <c r="AI27" s="70">
        <v>660803399556</v>
      </c>
      <c r="AJ27" s="70">
        <v>660803</v>
      </c>
      <c r="AK27" s="71">
        <v>660803400</v>
      </c>
      <c r="AL27" s="115">
        <v>1034343707512</v>
      </c>
      <c r="AM27" s="72">
        <v>15084179067885</v>
      </c>
      <c r="AN27" s="72">
        <v>469170414</v>
      </c>
      <c r="AO27" s="72">
        <v>469170413685</v>
      </c>
      <c r="AP27" s="116">
        <v>469170413685020</v>
      </c>
      <c r="AQ27" s="123">
        <v>487.529</v>
      </c>
      <c r="AR27" s="123">
        <v>12.0471</v>
      </c>
      <c r="AS27" s="73">
        <v>487528804</v>
      </c>
      <c r="AT27" s="73">
        <v>4875288</v>
      </c>
      <c r="AU27" s="73">
        <v>4.8752899999999997</v>
      </c>
      <c r="AV27" s="73">
        <v>48752.9</v>
      </c>
      <c r="AW27" s="73">
        <v>48752880370</v>
      </c>
      <c r="AX27" s="73">
        <v>524772</v>
      </c>
      <c r="AY27" s="218">
        <v>75567116</v>
      </c>
      <c r="AZ27" s="247">
        <f t="shared" si="44"/>
        <v>0</v>
      </c>
      <c r="BA27" s="41">
        <f t="shared" si="45"/>
        <v>-5.4991857149554623E-12</v>
      </c>
      <c r="BB27" s="42">
        <f t="shared" si="45"/>
        <v>-6.6031504222822598E-11</v>
      </c>
      <c r="BC27" s="42">
        <f t="shared" si="45"/>
        <v>-6.7135525079817199E-10</v>
      </c>
      <c r="BD27" s="42">
        <f t="shared" si="45"/>
        <v>5.5400572611048264E-13</v>
      </c>
      <c r="BE27" s="42">
        <f t="shared" si="45"/>
        <v>6.0465240707436394E-7</v>
      </c>
      <c r="BF27" s="43">
        <f t="shared" si="45"/>
        <v>-6.7135537482354275E-10</v>
      </c>
      <c r="BG27" s="107">
        <f t="shared" si="46"/>
        <v>1.3855215228185406E-13</v>
      </c>
      <c r="BH27" s="44">
        <f t="shared" si="47"/>
        <v>2.8097526759168495E-14</v>
      </c>
      <c r="BI27" s="44">
        <f t="shared" si="47"/>
        <v>-6.7135539769121672E-10</v>
      </c>
      <c r="BJ27" s="44">
        <f t="shared" si="47"/>
        <v>4.2409879986290584E-14</v>
      </c>
      <c r="BK27" s="108">
        <f t="shared" si="47"/>
        <v>-2.6642771230651262E-16</v>
      </c>
      <c r="BL27" s="43">
        <f t="shared" si="47"/>
        <v>-4.0264974992573402E-7</v>
      </c>
      <c r="BM27" s="42">
        <f t="shared" si="47"/>
        <v>-7.4593133900256982E-8</v>
      </c>
      <c r="BN27" s="42">
        <f t="shared" si="47"/>
        <v>-6.2222142269498252E-10</v>
      </c>
      <c r="BO27" s="42">
        <f t="shared" si="47"/>
        <v>7.5824220456939056E-9</v>
      </c>
      <c r="BP27" s="42">
        <f t="shared" si="47"/>
        <v>-4.026497497799902E-7</v>
      </c>
      <c r="BQ27" s="42">
        <f t="shared" si="47"/>
        <v>-4.026497499350616E-7</v>
      </c>
      <c r="BR27" s="42">
        <f t="shared" si="47"/>
        <v>-6.873247994092506E-12</v>
      </c>
      <c r="BS27" s="42">
        <f t="shared" si="47"/>
        <v>-6.9200455101625932E-7</v>
      </c>
      <c r="BT27" s="45">
        <f t="shared" si="47"/>
        <v>-3.8745420725969683E-9</v>
      </c>
    </row>
    <row r="28" spans="2:72" ht="15.75" thickBot="1" x14ac:dyDescent="0.3">
      <c r="B28" s="88">
        <v>622</v>
      </c>
      <c r="C28" s="95">
        <v>133</v>
      </c>
      <c r="D28" s="142">
        <f t="shared" si="25"/>
        <v>311</v>
      </c>
      <c r="E28" s="157" t="s">
        <v>43</v>
      </c>
      <c r="F28" s="63"/>
      <c r="G28" s="60"/>
      <c r="H28" s="9">
        <v>830</v>
      </c>
      <c r="I28" s="183"/>
      <c r="J28" s="168">
        <f t="shared" si="26"/>
        <v>311</v>
      </c>
      <c r="K28" s="79">
        <f t="shared" si="27"/>
        <v>1.4819101986493292E-6</v>
      </c>
      <c r="L28" s="74">
        <f t="shared" si="28"/>
        <v>1.4819101986493292E-7</v>
      </c>
      <c r="M28" s="74">
        <f t="shared" si="29"/>
        <v>1.4819101986493294E-10</v>
      </c>
      <c r="N28" s="74">
        <f t="shared" si="30"/>
        <v>1.4819101986493293E-5</v>
      </c>
      <c r="O28" s="74">
        <f>(((PI()*C28)/6)*(3*(SQRT(D28^2-(D28-C28)^2))^2+C28^2))/1000000^3</f>
        <v>1.4819101986493293E-11</v>
      </c>
      <c r="P28" s="75">
        <f t="shared" si="31"/>
        <v>1.4819101986493293E-8</v>
      </c>
      <c r="Q28" s="117">
        <f t="shared" si="32"/>
        <v>4.3436526764475081E-7</v>
      </c>
      <c r="R28" s="76">
        <f t="shared" si="33"/>
        <v>6.33449348648595E-6</v>
      </c>
      <c r="S28" s="76">
        <f t="shared" si="34"/>
        <v>1.9702477119666685E-10</v>
      </c>
      <c r="T28" s="76">
        <f>O28*(0.45359237/0.3048^3)*H28</f>
        <v>1.9702477119666686E-7</v>
      </c>
      <c r="U28" s="118">
        <f t="shared" si="35"/>
        <v>1.9702477119666685E-4</v>
      </c>
      <c r="V28" s="82">
        <f t="shared" si="36"/>
        <v>4.6421115527238862E-9</v>
      </c>
      <c r="W28" s="77">
        <f t="shared" si="37"/>
        <v>1.147090746048971E-10</v>
      </c>
      <c r="X28" s="77">
        <f t="shared" si="38"/>
        <v>4.6421115527238857E-3</v>
      </c>
      <c r="Y28" s="77">
        <f t="shared" si="39"/>
        <v>4.6421115527238859E-5</v>
      </c>
      <c r="Z28" s="77">
        <f t="shared" si="40"/>
        <v>4.6421115527238858E-11</v>
      </c>
      <c r="AA28" s="77">
        <f>((2*PI()*D28*C28)+(PI()*(SQRT(D28^2-(D28-C28)^2))^2))/1000000^2</f>
        <v>4.642111552723886E-7</v>
      </c>
      <c r="AB28" s="77">
        <f t="shared" si="41"/>
        <v>0.4642111552723886</v>
      </c>
      <c r="AC28" s="77">
        <f t="shared" si="42"/>
        <v>4.996727289789318E-6</v>
      </c>
      <c r="AD28" s="82">
        <f t="shared" si="43"/>
        <v>7.1952872972966177E-4</v>
      </c>
      <c r="AE28" s="168">
        <v>311</v>
      </c>
      <c r="AF28" s="219">
        <v>1.48191019864933E-6</v>
      </c>
      <c r="AG28" s="74">
        <v>1.48191019864933E-7</v>
      </c>
      <c r="AH28" s="74">
        <v>1.4819101986493299E-10</v>
      </c>
      <c r="AI28" s="74">
        <v>1.48191019864933E-5</v>
      </c>
      <c r="AJ28" s="74">
        <v>1.4819101986493299E-11</v>
      </c>
      <c r="AK28" s="75">
        <v>1.48191019864933E-8</v>
      </c>
      <c r="AL28" s="117">
        <v>4.3436526764475103E-7</v>
      </c>
      <c r="AM28" s="76">
        <v>6.33449348648595E-6</v>
      </c>
      <c r="AN28" s="76">
        <v>1.97024771196667E-10</v>
      </c>
      <c r="AO28" s="76">
        <v>1.9702477119666699E-7</v>
      </c>
      <c r="AP28" s="118">
        <v>1.9702500000000001E-4</v>
      </c>
      <c r="AQ28" s="125">
        <v>4.6421115527238903E-9</v>
      </c>
      <c r="AR28" s="125">
        <v>1.14709074604897E-10</v>
      </c>
      <c r="AS28" s="77">
        <v>4.6421099999999996E-3</v>
      </c>
      <c r="AT28" s="77">
        <v>4.64211155272389E-5</v>
      </c>
      <c r="AU28" s="77">
        <v>4.6421115527238903E-11</v>
      </c>
      <c r="AV28" s="77">
        <v>4.6421115527238902E-7</v>
      </c>
      <c r="AW28" s="77">
        <v>0.46421099999999998</v>
      </c>
      <c r="AX28" s="77">
        <v>4.9967272897893197E-6</v>
      </c>
      <c r="AY28" s="220">
        <v>7.19529E-4</v>
      </c>
      <c r="AZ28" s="248">
        <f t="shared" si="44"/>
        <v>0</v>
      </c>
      <c r="BA28" s="46">
        <f t="shared" si="45"/>
        <v>-5.7158183270910699E-16</v>
      </c>
      <c r="BB28" s="47">
        <f t="shared" si="45"/>
        <v>-5.3585796816478774E-16</v>
      </c>
      <c r="BC28" s="47">
        <f t="shared" si="45"/>
        <v>-3.4886586469061698E-16</v>
      </c>
      <c r="BD28" s="47">
        <f t="shared" si="45"/>
        <v>-4.5726546616728553E-16</v>
      </c>
      <c r="BE28" s="47">
        <f t="shared" si="45"/>
        <v>-4.3608233086327125E-16</v>
      </c>
      <c r="BF28" s="48">
        <f t="shared" si="45"/>
        <v>-4.4654830680398974E-16</v>
      </c>
      <c r="BG28" s="109">
        <f t="shared" si="46"/>
        <v>-4.8751189974692747E-16</v>
      </c>
      <c r="BH28" s="49">
        <f t="shared" si="47"/>
        <v>0</v>
      </c>
      <c r="BI28" s="49">
        <f t="shared" si="47"/>
        <v>-7.871922089374137E-16</v>
      </c>
      <c r="BJ28" s="49">
        <f t="shared" si="47"/>
        <v>-6.7173735162659296E-16</v>
      </c>
      <c r="BK28" s="110">
        <f t="shared" si="47"/>
        <v>-1.1612922160475007E-6</v>
      </c>
      <c r="BL28" s="48">
        <f t="shared" si="47"/>
        <v>-8.9095296737069669E-16</v>
      </c>
      <c r="BM28" s="47">
        <f t="shared" si="47"/>
        <v>9.0138968451511037E-16</v>
      </c>
      <c r="BN28" s="47">
        <f t="shared" si="47"/>
        <v>3.3448655174770204E-7</v>
      </c>
      <c r="BO28" s="47">
        <f t="shared" si="47"/>
        <v>-8.7584240504408964E-16</v>
      </c>
      <c r="BP28" s="47">
        <f t="shared" si="47"/>
        <v>-9.7447980806169958E-16</v>
      </c>
      <c r="BQ28" s="47">
        <f t="shared" si="47"/>
        <v>-9.1233583858759337E-16</v>
      </c>
      <c r="BR28" s="47">
        <f t="shared" si="47"/>
        <v>3.3448655175517589E-7</v>
      </c>
      <c r="BS28" s="47">
        <f t="shared" si="47"/>
        <v>-3.3903509162294694E-16</v>
      </c>
      <c r="BT28" s="50">
        <f t="shared" si="47"/>
        <v>-3.7562132971281669E-7</v>
      </c>
    </row>
    <row r="29" spans="2:72" ht="15.75" thickTop="1" x14ac:dyDescent="0.25"/>
    <row r="31" spans="2:72" x14ac:dyDescent="0.25">
      <c r="B31" s="317" t="s">
        <v>14</v>
      </c>
      <c r="C31" s="318"/>
      <c r="D31" s="349" t="s">
        <v>15</v>
      </c>
      <c r="E31" s="318"/>
      <c r="F31" s="350"/>
      <c r="H31" s="207"/>
      <c r="I31" s="206"/>
      <c r="J31" s="208"/>
      <c r="K31" s="206"/>
    </row>
    <row r="32" spans="2:72" x14ac:dyDescent="0.25">
      <c r="B32" s="264"/>
      <c r="C32" s="265" t="s">
        <v>16</v>
      </c>
      <c r="D32" s="351">
        <v>41031</v>
      </c>
      <c r="E32" s="352"/>
      <c r="F32" s="353"/>
      <c r="H32" s="206"/>
      <c r="I32" s="207"/>
      <c r="J32" s="205"/>
      <c r="K32" s="206"/>
    </row>
  </sheetData>
  <mergeCells count="47">
    <mergeCell ref="E3:I3"/>
    <mergeCell ref="B4:E4"/>
    <mergeCell ref="F4:I5"/>
    <mergeCell ref="D5:D6"/>
    <mergeCell ref="B3:D3"/>
    <mergeCell ref="BG4:BK5"/>
    <mergeCell ref="BL4:BT5"/>
    <mergeCell ref="B5:B6"/>
    <mergeCell ref="C5:C6"/>
    <mergeCell ref="E5:E6"/>
    <mergeCell ref="Q4:U5"/>
    <mergeCell ref="V4:AD5"/>
    <mergeCell ref="AF4:AK5"/>
    <mergeCell ref="AL4:AP5"/>
    <mergeCell ref="AQ4:AY5"/>
    <mergeCell ref="BA4:BF5"/>
    <mergeCell ref="K4:P5"/>
    <mergeCell ref="J5:J6"/>
    <mergeCell ref="AE5:AE6"/>
    <mergeCell ref="AZ5:AZ6"/>
    <mergeCell ref="BG18:BK19"/>
    <mergeCell ref="Q18:U19"/>
    <mergeCell ref="AE19:AE20"/>
    <mergeCell ref="AZ19:AZ20"/>
    <mergeCell ref="E17:I17"/>
    <mergeCell ref="B18:E18"/>
    <mergeCell ref="F18:I19"/>
    <mergeCell ref="K18:P19"/>
    <mergeCell ref="D19:D20"/>
    <mergeCell ref="J19:J20"/>
    <mergeCell ref="B17:D17"/>
    <mergeCell ref="D32:F32"/>
    <mergeCell ref="J1:AD1"/>
    <mergeCell ref="AE1:AY1"/>
    <mergeCell ref="AZ1:BT1"/>
    <mergeCell ref="B1:I1"/>
    <mergeCell ref="B31:C31"/>
    <mergeCell ref="D31:F31"/>
    <mergeCell ref="BL18:BT19"/>
    <mergeCell ref="B19:B20"/>
    <mergeCell ref="C19:C20"/>
    <mergeCell ref="E19:E20"/>
    <mergeCell ref="V18:AD19"/>
    <mergeCell ref="AF18:AK19"/>
    <mergeCell ref="AL18:AP19"/>
    <mergeCell ref="AQ18:AY19"/>
    <mergeCell ref="BA18:BF19"/>
  </mergeCells>
  <conditionalFormatting sqref="BA7:BF14 BL7:BT14">
    <cfRule type="cellIs" dxfId="22" priority="5" operator="notBetween">
      <formula>0.0001</formula>
      <formula>-0.0001</formula>
    </cfRule>
  </conditionalFormatting>
  <conditionalFormatting sqref="BG7:BK14">
    <cfRule type="cellIs" dxfId="21" priority="4" operator="notBetween">
      <formula>0.0001</formula>
      <formula>-0.0001</formula>
    </cfRule>
  </conditionalFormatting>
  <conditionalFormatting sqref="BA21:BF28 BL21:BT28">
    <cfRule type="cellIs" dxfId="20" priority="3" operator="notBetween">
      <formula>0.0001</formula>
      <formula>-0.0001</formula>
    </cfRule>
  </conditionalFormatting>
  <conditionalFormatting sqref="BG21:BK28">
    <cfRule type="cellIs" dxfId="19" priority="2" operator="notBetween">
      <formula>0.0001</formula>
      <formula>-0.0001</formula>
    </cfRule>
  </conditionalFormatting>
  <conditionalFormatting sqref="AZ21:AZ28 AZ7:AZ14">
    <cfRule type="cellIs" dxfId="18" priority="1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U32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.7109375" customWidth="1"/>
    <col min="4" max="4" width="15.28515625" customWidth="1"/>
    <col min="5" max="5" width="9" customWidth="1"/>
    <col min="7" max="10" width="9.140625" customWidth="1"/>
    <col min="11" max="11" width="8.5703125" bestFit="1" customWidth="1"/>
    <col min="12" max="31" width="12" bestFit="1" customWidth="1"/>
    <col min="32" max="32" width="8.5703125" bestFit="1" customWidth="1"/>
    <col min="33" max="52" width="12" bestFit="1" customWidth="1"/>
    <col min="53" max="53" width="14.28515625" bestFit="1" customWidth="1"/>
    <col min="54" max="59" width="15.28515625" bestFit="1" customWidth="1"/>
    <col min="60" max="63" width="19.140625" bestFit="1" customWidth="1"/>
    <col min="64" max="64" width="20.140625" bestFit="1" customWidth="1"/>
    <col min="65" max="73" width="15" bestFit="1" customWidth="1"/>
  </cols>
  <sheetData>
    <row r="1" spans="2:73" ht="21.95" customHeight="1" thickBot="1" x14ac:dyDescent="0.4">
      <c r="B1" s="319" t="s">
        <v>98</v>
      </c>
      <c r="C1" s="320"/>
      <c r="D1" s="320"/>
      <c r="E1" s="320"/>
      <c r="F1" s="320"/>
      <c r="G1" s="320"/>
      <c r="H1" s="320"/>
      <c r="I1" s="320"/>
      <c r="J1" s="321"/>
      <c r="K1" s="319" t="s">
        <v>99</v>
      </c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1"/>
      <c r="AF1" s="319" t="s">
        <v>100</v>
      </c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1"/>
      <c r="BA1" s="319" t="s">
        <v>101</v>
      </c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1"/>
    </row>
    <row r="2" spans="2:73" ht="15" customHeight="1" thickBot="1" x14ac:dyDescent="0.3"/>
    <row r="3" spans="2:73" ht="30.75" customHeight="1" thickTop="1" thickBot="1" x14ac:dyDescent="0.3">
      <c r="B3" s="343" t="s">
        <v>46</v>
      </c>
      <c r="C3" s="344"/>
      <c r="D3" s="345"/>
      <c r="E3" s="147"/>
      <c r="F3" s="436" t="s">
        <v>68</v>
      </c>
      <c r="G3" s="347"/>
      <c r="H3" s="347"/>
      <c r="I3" s="347"/>
      <c r="J3" s="348"/>
    </row>
    <row r="4" spans="2:73" ht="16.5" customHeight="1" thickTop="1" thickBot="1" x14ac:dyDescent="0.3">
      <c r="B4" s="337" t="s">
        <v>69</v>
      </c>
      <c r="C4" s="338"/>
      <c r="D4" s="338"/>
      <c r="E4" s="338"/>
      <c r="F4" s="339"/>
      <c r="G4" s="311" t="s">
        <v>31</v>
      </c>
      <c r="H4" s="312"/>
      <c r="I4" s="312"/>
      <c r="J4" s="312"/>
      <c r="K4" s="165" t="s">
        <v>89</v>
      </c>
      <c r="L4" s="340" t="s">
        <v>21</v>
      </c>
      <c r="M4" s="341"/>
      <c r="N4" s="341"/>
      <c r="O4" s="341"/>
      <c r="P4" s="341"/>
      <c r="Q4" s="341"/>
      <c r="R4" s="294" t="s">
        <v>22</v>
      </c>
      <c r="S4" s="295"/>
      <c r="T4" s="295"/>
      <c r="U4" s="295"/>
      <c r="V4" s="296"/>
      <c r="W4" s="304" t="s">
        <v>44</v>
      </c>
      <c r="X4" s="305"/>
      <c r="Y4" s="305"/>
      <c r="Z4" s="305"/>
      <c r="AA4" s="305"/>
      <c r="AB4" s="305"/>
      <c r="AC4" s="305"/>
      <c r="AD4" s="305"/>
      <c r="AE4" s="305"/>
      <c r="AF4" s="165" t="s">
        <v>89</v>
      </c>
      <c r="AG4" s="300" t="s">
        <v>21</v>
      </c>
      <c r="AH4" s="301"/>
      <c r="AI4" s="301"/>
      <c r="AJ4" s="301"/>
      <c r="AK4" s="301"/>
      <c r="AL4" s="301"/>
      <c r="AM4" s="294" t="s">
        <v>22</v>
      </c>
      <c r="AN4" s="295"/>
      <c r="AO4" s="295"/>
      <c r="AP4" s="295"/>
      <c r="AQ4" s="296"/>
      <c r="AR4" s="304" t="s">
        <v>45</v>
      </c>
      <c r="AS4" s="305"/>
      <c r="AT4" s="305"/>
      <c r="AU4" s="305"/>
      <c r="AV4" s="305"/>
      <c r="AW4" s="305"/>
      <c r="AX4" s="305"/>
      <c r="AY4" s="305"/>
      <c r="AZ4" s="306"/>
      <c r="BA4" s="245" t="s">
        <v>89</v>
      </c>
      <c r="BB4" s="328" t="s">
        <v>21</v>
      </c>
      <c r="BC4" s="323"/>
      <c r="BD4" s="323"/>
      <c r="BE4" s="323"/>
      <c r="BF4" s="323"/>
      <c r="BG4" s="323"/>
      <c r="BH4" s="322" t="s">
        <v>22</v>
      </c>
      <c r="BI4" s="323"/>
      <c r="BJ4" s="323"/>
      <c r="BK4" s="323"/>
      <c r="BL4" s="324"/>
      <c r="BM4" s="328" t="s">
        <v>45</v>
      </c>
      <c r="BN4" s="323"/>
      <c r="BO4" s="323"/>
      <c r="BP4" s="323"/>
      <c r="BQ4" s="323"/>
      <c r="BR4" s="323"/>
      <c r="BS4" s="323"/>
      <c r="BT4" s="323"/>
      <c r="BU4" s="329"/>
    </row>
    <row r="5" spans="2:73" s="18" customFormat="1" ht="15" customHeight="1" thickBot="1" x14ac:dyDescent="0.3">
      <c r="B5" s="331" t="s">
        <v>80</v>
      </c>
      <c r="C5" s="333" t="s">
        <v>20</v>
      </c>
      <c r="D5" s="333" t="s">
        <v>90</v>
      </c>
      <c r="E5" s="437" t="s">
        <v>81</v>
      </c>
      <c r="F5" s="362" t="s">
        <v>1</v>
      </c>
      <c r="G5" s="314"/>
      <c r="H5" s="315"/>
      <c r="I5" s="315"/>
      <c r="J5" s="315"/>
      <c r="K5" s="399" t="s">
        <v>81</v>
      </c>
      <c r="L5" s="342"/>
      <c r="M5" s="342"/>
      <c r="N5" s="342"/>
      <c r="O5" s="342"/>
      <c r="P5" s="342"/>
      <c r="Q5" s="342"/>
      <c r="R5" s="297"/>
      <c r="S5" s="298"/>
      <c r="T5" s="298"/>
      <c r="U5" s="298"/>
      <c r="V5" s="299"/>
      <c r="W5" s="307"/>
      <c r="X5" s="307"/>
      <c r="Y5" s="307"/>
      <c r="Z5" s="307"/>
      <c r="AA5" s="307"/>
      <c r="AB5" s="307"/>
      <c r="AC5" s="307"/>
      <c r="AD5" s="307"/>
      <c r="AE5" s="307"/>
      <c r="AF5" s="399" t="s">
        <v>81</v>
      </c>
      <c r="AG5" s="302"/>
      <c r="AH5" s="303"/>
      <c r="AI5" s="303"/>
      <c r="AJ5" s="303"/>
      <c r="AK5" s="303"/>
      <c r="AL5" s="303"/>
      <c r="AM5" s="297"/>
      <c r="AN5" s="298"/>
      <c r="AO5" s="298"/>
      <c r="AP5" s="298"/>
      <c r="AQ5" s="299"/>
      <c r="AR5" s="307"/>
      <c r="AS5" s="307"/>
      <c r="AT5" s="307"/>
      <c r="AU5" s="307"/>
      <c r="AV5" s="307"/>
      <c r="AW5" s="307"/>
      <c r="AX5" s="307"/>
      <c r="AY5" s="307"/>
      <c r="AZ5" s="308"/>
      <c r="BA5" s="401" t="s">
        <v>81</v>
      </c>
      <c r="BB5" s="326"/>
      <c r="BC5" s="326"/>
      <c r="BD5" s="326"/>
      <c r="BE5" s="326"/>
      <c r="BF5" s="326"/>
      <c r="BG5" s="326"/>
      <c r="BH5" s="325"/>
      <c r="BI5" s="326"/>
      <c r="BJ5" s="326"/>
      <c r="BK5" s="326"/>
      <c r="BL5" s="327"/>
      <c r="BM5" s="326"/>
      <c r="BN5" s="326"/>
      <c r="BO5" s="326"/>
      <c r="BP5" s="326"/>
      <c r="BQ5" s="326"/>
      <c r="BR5" s="326"/>
      <c r="BS5" s="326"/>
      <c r="BT5" s="326"/>
      <c r="BU5" s="330"/>
    </row>
    <row r="6" spans="2:73" s="18" customFormat="1" ht="18" thickBot="1" x14ac:dyDescent="0.3">
      <c r="B6" s="332"/>
      <c r="C6" s="334"/>
      <c r="D6" s="334"/>
      <c r="E6" s="438"/>
      <c r="F6" s="435"/>
      <c r="G6" s="19" t="s">
        <v>29</v>
      </c>
      <c r="H6" s="20" t="s">
        <v>28</v>
      </c>
      <c r="I6" s="20" t="s">
        <v>30</v>
      </c>
      <c r="J6" s="176" t="s">
        <v>27</v>
      </c>
      <c r="K6" s="400"/>
      <c r="L6" s="29" t="s">
        <v>32</v>
      </c>
      <c r="M6" s="24" t="s">
        <v>34</v>
      </c>
      <c r="N6" s="24" t="s">
        <v>33</v>
      </c>
      <c r="O6" s="24" t="s">
        <v>35</v>
      </c>
      <c r="P6" s="24" t="s">
        <v>37</v>
      </c>
      <c r="Q6" s="30" t="s">
        <v>36</v>
      </c>
      <c r="R6" s="111" t="s">
        <v>38</v>
      </c>
      <c r="S6" s="22" t="s">
        <v>39</v>
      </c>
      <c r="T6" s="22" t="s">
        <v>40</v>
      </c>
      <c r="U6" s="22" t="s">
        <v>41</v>
      </c>
      <c r="V6" s="112" t="s">
        <v>42</v>
      </c>
      <c r="W6" s="25" t="s">
        <v>11</v>
      </c>
      <c r="X6" s="23" t="s">
        <v>13</v>
      </c>
      <c r="Y6" s="23" t="s">
        <v>23</v>
      </c>
      <c r="Z6" s="23" t="s">
        <v>24</v>
      </c>
      <c r="AA6" s="23" t="s">
        <v>12</v>
      </c>
      <c r="AB6" s="23" t="s">
        <v>25</v>
      </c>
      <c r="AC6" s="23" t="s">
        <v>26</v>
      </c>
      <c r="AD6" s="23" t="s">
        <v>10</v>
      </c>
      <c r="AE6" s="25" t="s">
        <v>9</v>
      </c>
      <c r="AF6" s="400"/>
      <c r="AG6" s="119" t="s">
        <v>32</v>
      </c>
      <c r="AH6" s="24" t="s">
        <v>34</v>
      </c>
      <c r="AI6" s="24" t="s">
        <v>33</v>
      </c>
      <c r="AJ6" s="24" t="s">
        <v>35</v>
      </c>
      <c r="AK6" s="24" t="s">
        <v>37</v>
      </c>
      <c r="AL6" s="30" t="s">
        <v>36</v>
      </c>
      <c r="AM6" s="111" t="s">
        <v>38</v>
      </c>
      <c r="AN6" s="22" t="s">
        <v>39</v>
      </c>
      <c r="AO6" s="22" t="s">
        <v>40</v>
      </c>
      <c r="AP6" s="22" t="s">
        <v>41</v>
      </c>
      <c r="AQ6" s="112" t="s">
        <v>42</v>
      </c>
      <c r="AR6" s="26" t="s">
        <v>11</v>
      </c>
      <c r="AS6" s="27" t="s">
        <v>13</v>
      </c>
      <c r="AT6" s="27" t="s">
        <v>23</v>
      </c>
      <c r="AU6" s="27" t="s">
        <v>24</v>
      </c>
      <c r="AV6" s="27" t="s">
        <v>12</v>
      </c>
      <c r="AW6" s="27" t="s">
        <v>25</v>
      </c>
      <c r="AX6" s="27" t="s">
        <v>26</v>
      </c>
      <c r="AY6" s="27" t="s">
        <v>10</v>
      </c>
      <c r="AZ6" s="120" t="s">
        <v>9</v>
      </c>
      <c r="BA6" s="402"/>
      <c r="BB6" s="34" t="s">
        <v>32</v>
      </c>
      <c r="BC6" s="33" t="s">
        <v>34</v>
      </c>
      <c r="BD6" s="33" t="s">
        <v>33</v>
      </c>
      <c r="BE6" s="33" t="s">
        <v>35</v>
      </c>
      <c r="BF6" s="33" t="s">
        <v>37</v>
      </c>
      <c r="BG6" s="34" t="s">
        <v>36</v>
      </c>
      <c r="BH6" s="103" t="s">
        <v>38</v>
      </c>
      <c r="BI6" s="33" t="s">
        <v>39</v>
      </c>
      <c r="BJ6" s="33" t="s">
        <v>40</v>
      </c>
      <c r="BK6" s="33" t="s">
        <v>41</v>
      </c>
      <c r="BL6" s="104" t="s">
        <v>42</v>
      </c>
      <c r="BM6" s="34" t="s">
        <v>11</v>
      </c>
      <c r="BN6" s="33" t="s">
        <v>13</v>
      </c>
      <c r="BO6" s="33" t="s">
        <v>23</v>
      </c>
      <c r="BP6" s="33" t="s">
        <v>24</v>
      </c>
      <c r="BQ6" s="33" t="s">
        <v>12</v>
      </c>
      <c r="BR6" s="33" t="s">
        <v>25</v>
      </c>
      <c r="BS6" s="33" t="s">
        <v>26</v>
      </c>
      <c r="BT6" s="33" t="s">
        <v>10</v>
      </c>
      <c r="BU6" s="35" t="s">
        <v>9</v>
      </c>
    </row>
    <row r="7" spans="2:73" x14ac:dyDescent="0.25">
      <c r="B7" s="84">
        <v>50</v>
      </c>
      <c r="C7" s="85">
        <v>33</v>
      </c>
      <c r="D7" s="85">
        <v>5</v>
      </c>
      <c r="E7" s="127">
        <f>B7*2</f>
        <v>100</v>
      </c>
      <c r="F7" s="155" t="s">
        <v>2</v>
      </c>
      <c r="G7" s="10">
        <v>667</v>
      </c>
      <c r="H7" s="53"/>
      <c r="I7" s="53"/>
      <c r="J7" s="54"/>
      <c r="K7" s="169">
        <f>B7*2</f>
        <v>100</v>
      </c>
      <c r="L7" s="78">
        <f>P7*100000</f>
        <v>16556.507443683571</v>
      </c>
      <c r="M7" s="65">
        <f>P7*10000</f>
        <v>1655.6507443683572</v>
      </c>
      <c r="N7" s="65">
        <f>P7*10</f>
        <v>1.6556507443683572</v>
      </c>
      <c r="O7" s="65">
        <f>P7*1000000</f>
        <v>165565.07443683571</v>
      </c>
      <c r="P7" s="65">
        <f>(((PI()*C7)/6)*((3*(SQRT(B7^2-(B7-D7)^2))^2)+(3*(SQRT(B7^2-(B7-D7-C7)^2))^2)+C7^2))/100^3</f>
        <v>0.16556507443683571</v>
      </c>
      <c r="Q7" s="66">
        <f>P7*1000</f>
        <v>165.56507443683572</v>
      </c>
      <c r="R7" s="113">
        <f>U7/0.45359237</f>
        <v>243.46067516384682</v>
      </c>
      <c r="S7" s="67">
        <f>U7*1000/31.1034768</f>
        <v>3550.4681794727662</v>
      </c>
      <c r="T7" s="67">
        <f>U7/1000</f>
        <v>0.11043190464936942</v>
      </c>
      <c r="U7" s="67">
        <f>P7*G7</f>
        <v>110.43190464936941</v>
      </c>
      <c r="V7" s="114">
        <f>U7*1000</f>
        <v>110431.90464936942</v>
      </c>
      <c r="W7" s="80">
        <f>AB7/100</f>
        <v>1.9261104559159022E-2</v>
      </c>
      <c r="X7" s="68">
        <f>AB7/4046.8564224</f>
        <v>4.7595225895699476E-4</v>
      </c>
      <c r="Y7" s="68">
        <f>AB7*10000</f>
        <v>19261.104559159023</v>
      </c>
      <c r="Z7" s="68">
        <f>AB7*100</f>
        <v>192.61104559159023</v>
      </c>
      <c r="AA7" s="68">
        <f>AB7/10000</f>
        <v>1.9261104559159024E-4</v>
      </c>
      <c r="AB7" s="68">
        <f>((PI()*(SQRT(B7^2-(B7-D7)^2))^2)+(PI()*(SQRT(B7^2-(B7-D7-C7)^2))^2)+(2*PI()*B7*C7))/100^2</f>
        <v>1.9261104559159024</v>
      </c>
      <c r="AC7" s="68">
        <f>AB7*1000000</f>
        <v>1926110.4559159023</v>
      </c>
      <c r="AD7" s="68">
        <f>AB7/144*10000/(2.54*2.54)</f>
        <v>20.732480400166693</v>
      </c>
      <c r="AE7" s="80">
        <f>AB7*10000/(2.54 *2.54)</f>
        <v>2985.4771776240036</v>
      </c>
      <c r="AF7" s="169">
        <v>100</v>
      </c>
      <c r="AG7" s="78">
        <v>16556.5</v>
      </c>
      <c r="AH7" s="65">
        <v>1655.65</v>
      </c>
      <c r="AI7" s="65">
        <v>1.6556500000000001</v>
      </c>
      <c r="AJ7" s="65">
        <v>165565</v>
      </c>
      <c r="AK7" s="65">
        <v>0.16556499999999999</v>
      </c>
      <c r="AL7" s="66">
        <v>165.565</v>
      </c>
      <c r="AM7" s="113">
        <v>243.46100000000001</v>
      </c>
      <c r="AN7" s="67">
        <v>3550.47</v>
      </c>
      <c r="AO7" s="67">
        <v>0.110432</v>
      </c>
      <c r="AP7" s="67">
        <v>110.432</v>
      </c>
      <c r="AQ7" s="114">
        <v>110432</v>
      </c>
      <c r="AR7" s="121">
        <v>1.92611E-2</v>
      </c>
      <c r="AS7" s="121">
        <v>4.7595200000000003E-4</v>
      </c>
      <c r="AT7" s="68">
        <v>19261.099999999999</v>
      </c>
      <c r="AU7" s="68">
        <v>192.61099999999999</v>
      </c>
      <c r="AV7" s="68">
        <v>1.92611E-4</v>
      </c>
      <c r="AW7" s="68">
        <v>1.92611</v>
      </c>
      <c r="AX7" s="68">
        <v>1926110</v>
      </c>
      <c r="AY7" s="68">
        <v>20.732500000000002</v>
      </c>
      <c r="AZ7" s="216">
        <v>2985.48</v>
      </c>
      <c r="BA7" s="246">
        <f>(K7-AF7)/K7</f>
        <v>0</v>
      </c>
      <c r="BB7" s="38">
        <f t="shared" ref="BB7:BU7" si="0">(L7-AG7)/L7</f>
        <v>4.4959262069622124E-7</v>
      </c>
      <c r="BC7" s="37">
        <f t="shared" si="0"/>
        <v>4.4959262069622124E-7</v>
      </c>
      <c r="BD7" s="37">
        <f t="shared" si="0"/>
        <v>4.4959262073055418E-7</v>
      </c>
      <c r="BE7" s="37">
        <f t="shared" si="0"/>
        <v>4.4959262069622124E-7</v>
      </c>
      <c r="BF7" s="37">
        <f t="shared" si="0"/>
        <v>4.495926207640825E-7</v>
      </c>
      <c r="BG7" s="38">
        <f t="shared" si="0"/>
        <v>4.4959262073055418E-7</v>
      </c>
      <c r="BH7" s="105">
        <f t="shared" si="0"/>
        <v>-1.3342448548568551E-6</v>
      </c>
      <c r="BI7" s="39">
        <f t="shared" si="0"/>
        <v>-5.1275694966139042E-7</v>
      </c>
      <c r="BJ7" s="39">
        <f t="shared" si="0"/>
        <v>-8.6343372314712475E-7</v>
      </c>
      <c r="BK7" s="39">
        <f t="shared" si="0"/>
        <v>-8.6343372316522098E-7</v>
      </c>
      <c r="BL7" s="106">
        <f t="shared" si="0"/>
        <v>-8.634337231085999E-7</v>
      </c>
      <c r="BM7" s="38">
        <f t="shared" si="0"/>
        <v>2.3670288526441172E-7</v>
      </c>
      <c r="BN7" s="37">
        <f t="shared" si="0"/>
        <v>5.4408186926965526E-7</v>
      </c>
      <c r="BO7" s="37">
        <f t="shared" si="0"/>
        <v>2.3670288535156439E-7</v>
      </c>
      <c r="BP7" s="37">
        <f t="shared" si="0"/>
        <v>2.3670288532205236E-7</v>
      </c>
      <c r="BQ7" s="37">
        <f t="shared" si="0"/>
        <v>2.367028853207014E-7</v>
      </c>
      <c r="BR7" s="37">
        <f t="shared" si="0"/>
        <v>2.3670288532205236E-7</v>
      </c>
      <c r="BS7" s="37">
        <f t="shared" si="0"/>
        <v>2.3670288527601361E-7</v>
      </c>
      <c r="BT7" s="37">
        <f t="shared" si="0"/>
        <v>-9.4536847159833503E-7</v>
      </c>
      <c r="BU7" s="40">
        <f t="shared" si="0"/>
        <v>-9.4536847159833514E-7</v>
      </c>
    </row>
    <row r="8" spans="2:73" x14ac:dyDescent="0.25">
      <c r="B8" s="86">
        <v>46</v>
      </c>
      <c r="C8" s="87">
        <v>7</v>
      </c>
      <c r="D8" s="87">
        <v>6</v>
      </c>
      <c r="E8" s="128">
        <f t="shared" ref="E8:E14" si="1">B8*2</f>
        <v>92</v>
      </c>
      <c r="F8" s="156" t="s">
        <v>3</v>
      </c>
      <c r="G8" s="59"/>
      <c r="H8" s="4">
        <v>1333</v>
      </c>
      <c r="I8" s="58"/>
      <c r="J8" s="55"/>
      <c r="K8" s="167">
        <f t="shared" ref="K8:K14" si="2">B8*2</f>
        <v>92</v>
      </c>
      <c r="L8" s="69">
        <f t="shared" ref="L8:L14" si="3">P8*100000</f>
        <v>48551401.152849868</v>
      </c>
      <c r="M8" s="70">
        <f t="shared" ref="M8:M14" si="4">P8*10000</f>
        <v>4855140.1152849868</v>
      </c>
      <c r="N8" s="70">
        <f t="shared" ref="N8:N14" si="5">P8*10</f>
        <v>4855.1401152849867</v>
      </c>
      <c r="O8" s="70">
        <f t="shared" ref="O8:O14" si="6">P8*1000000</f>
        <v>485514011.52849865</v>
      </c>
      <c r="P8" s="70">
        <f>(((PI()*C8)/6)*((3*(SQRT(B8^2-(B8-D8)^2))^2)+(3*(SQRT(B8^2-(B8-D8-C8)^2))^2)+C8^2))*0.3048^3</f>
        <v>485.51401152849866</v>
      </c>
      <c r="Q8" s="71">
        <f t="shared" ref="Q8:Q14" si="7">P8*1000</f>
        <v>485514.01152849867</v>
      </c>
      <c r="R8" s="115">
        <f t="shared" ref="R8:R14" si="8">U8/0.45359237</f>
        <v>1426810105.6626873</v>
      </c>
      <c r="S8" s="72">
        <f t="shared" ref="S8:S14" si="9">U8*1000/31.1034768</f>
        <v>20807647374.247524</v>
      </c>
      <c r="T8" s="72">
        <f t="shared" ref="T8:T14" si="10">U8/1000</f>
        <v>647190.17736748874</v>
      </c>
      <c r="U8" s="72">
        <f>P8*1000*H8</f>
        <v>647190177.36748874</v>
      </c>
      <c r="V8" s="116">
        <f t="shared" ref="V8:V14" si="11">U8*1000</f>
        <v>647190177367.48877</v>
      </c>
      <c r="W8" s="81">
        <f t="shared" ref="W8:W14" si="12">AB8/100</f>
        <v>6.3830549190886714</v>
      </c>
      <c r="X8" s="73">
        <f t="shared" ref="X8:X14" si="13">AB8/4046.8564224</f>
        <v>0.15772872207072722</v>
      </c>
      <c r="Y8" s="73">
        <f t="shared" ref="Y8:Y14" si="14">AB8*10000</f>
        <v>6383054.919088671</v>
      </c>
      <c r="Z8" s="73">
        <f t="shared" ref="Z8:Z14" si="15">AB8*100</f>
        <v>63830.549190886712</v>
      </c>
      <c r="AA8" s="73">
        <f t="shared" ref="AA8:AA14" si="16">AB8/10000</f>
        <v>6.383054919088671E-2</v>
      </c>
      <c r="AB8" s="73">
        <f>((PI()*(SQRT(B8^2-(B8-D8)^2))^2)+(PI()*(SQRT(B8^2-(B8-D8-C8)^2))^2)+(2*PI()*B8*C8))*0.3048^2</f>
        <v>638.30549190886711</v>
      </c>
      <c r="AC8" s="73">
        <f t="shared" ref="AC8:AC14" si="17">AB8*1000000</f>
        <v>638305491.90886712</v>
      </c>
      <c r="AD8" s="73">
        <f t="shared" ref="AD8:AD14" si="18">AB8/144*10000/(2.54*2.54)</f>
        <v>6870.663133400878</v>
      </c>
      <c r="AE8" s="81">
        <f t="shared" ref="AE8:AE14" si="19">AB8*10000/(2.54 *2.54)</f>
        <v>989375.49120972643</v>
      </c>
      <c r="AF8" s="167">
        <v>92</v>
      </c>
      <c r="AG8" s="69">
        <v>48551401</v>
      </c>
      <c r="AH8" s="69">
        <v>4855140</v>
      </c>
      <c r="AI8" s="70">
        <v>4855.1400000000003</v>
      </c>
      <c r="AJ8" s="70">
        <v>485514012</v>
      </c>
      <c r="AK8" s="70">
        <v>485.51400000000001</v>
      </c>
      <c r="AL8" s="71">
        <v>485514</v>
      </c>
      <c r="AM8" s="115">
        <v>1426810106</v>
      </c>
      <c r="AN8" s="72">
        <v>20807647374</v>
      </c>
      <c r="AO8" s="72">
        <v>647190</v>
      </c>
      <c r="AP8" s="72">
        <v>647190177</v>
      </c>
      <c r="AQ8" s="116">
        <v>647190177367</v>
      </c>
      <c r="AR8" s="123">
        <v>6.3830499999999999</v>
      </c>
      <c r="AS8" s="123">
        <v>0.15772900000000001</v>
      </c>
      <c r="AT8" s="73">
        <v>6383055</v>
      </c>
      <c r="AU8" s="73">
        <v>63830.5</v>
      </c>
      <c r="AV8" s="73">
        <v>6.3830499999999998E-2</v>
      </c>
      <c r="AW8" s="73">
        <v>638.30499999999995</v>
      </c>
      <c r="AX8" s="73">
        <v>638305492</v>
      </c>
      <c r="AY8" s="73">
        <v>6870.66</v>
      </c>
      <c r="AZ8" s="218">
        <v>989375</v>
      </c>
      <c r="BA8" s="247">
        <f t="shared" ref="BA8:BA14" si="20">(K8-AF8)/K8</f>
        <v>0</v>
      </c>
      <c r="BB8" s="43">
        <f t="shared" ref="BB8:BG14" si="21">(L8-AG8)/L8</f>
        <v>3.1482071435744148E-9</v>
      </c>
      <c r="BC8" s="42">
        <f t="shared" si="21"/>
        <v>2.3744935070164892E-8</v>
      </c>
      <c r="BD8" s="42">
        <f t="shared" si="21"/>
        <v>2.3744934978749731E-8</v>
      </c>
      <c r="BE8" s="42">
        <f t="shared" si="21"/>
        <v>-9.7113850312671331E-10</v>
      </c>
      <c r="BF8" s="42">
        <f t="shared" si="21"/>
        <v>2.37449350021655E-8</v>
      </c>
      <c r="BG8" s="43">
        <f t="shared" si="21"/>
        <v>2.3744935046187146E-8</v>
      </c>
      <c r="BH8" s="107">
        <f t="shared" ref="BH8:BH14" si="22">(R8-AM8)/R8</f>
        <v>-2.364103653496284E-10</v>
      </c>
      <c r="BI8" s="44">
        <f t="shared" ref="BI8:BU14" si="23">(S8-AN8)/S8</f>
        <v>1.1895831230827013E-11</v>
      </c>
      <c r="BJ8" s="44">
        <f t="shared" si="23"/>
        <v>2.7405775758012617E-7</v>
      </c>
      <c r="BK8" s="44">
        <f t="shared" si="23"/>
        <v>5.6782187790533582E-10</v>
      </c>
      <c r="BL8" s="108">
        <f t="shared" si="23"/>
        <v>7.5521778349312916E-13</v>
      </c>
      <c r="BM8" s="43">
        <f t="shared" si="23"/>
        <v>7.7064802572762652E-7</v>
      </c>
      <c r="BN8" s="42">
        <f t="shared" si="23"/>
        <v>-1.7620714169354114E-6</v>
      </c>
      <c r="BO8" s="42">
        <f t="shared" si="23"/>
        <v>-1.2675956895517579E-8</v>
      </c>
      <c r="BP8" s="42">
        <f t="shared" si="23"/>
        <v>7.706480256730812E-7</v>
      </c>
      <c r="BQ8" s="42">
        <f t="shared" si="23"/>
        <v>7.7064802566675005E-7</v>
      </c>
      <c r="BR8" s="42">
        <f t="shared" si="23"/>
        <v>7.7064802574432408E-7</v>
      </c>
      <c r="BS8" s="42">
        <f t="shared" si="23"/>
        <v>-1.4277313984040338E-10</v>
      </c>
      <c r="BT8" s="42">
        <f t="shared" si="23"/>
        <v>4.5605508774091411E-7</v>
      </c>
      <c r="BU8" s="45">
        <f t="shared" si="23"/>
        <v>4.9648463176583888E-7</v>
      </c>
    </row>
    <row r="9" spans="2:73" x14ac:dyDescent="0.25">
      <c r="B9" s="86">
        <v>77</v>
      </c>
      <c r="C9" s="87">
        <v>16</v>
      </c>
      <c r="D9" s="87">
        <v>23</v>
      </c>
      <c r="E9" s="128">
        <f t="shared" si="1"/>
        <v>154</v>
      </c>
      <c r="F9" s="156" t="s">
        <v>4</v>
      </c>
      <c r="G9" s="59"/>
      <c r="H9" s="56"/>
      <c r="I9" s="5">
        <v>266</v>
      </c>
      <c r="J9" s="55"/>
      <c r="K9" s="167">
        <f t="shared" si="2"/>
        <v>154</v>
      </c>
      <c r="L9" s="69">
        <f t="shared" si="3"/>
        <v>312320.97791625495</v>
      </c>
      <c r="M9" s="70">
        <f t="shared" si="4"/>
        <v>31232.097791625496</v>
      </c>
      <c r="N9" s="70">
        <f t="shared" si="5"/>
        <v>31.232097791625499</v>
      </c>
      <c r="O9" s="70">
        <f t="shared" si="6"/>
        <v>3123209.7791625499</v>
      </c>
      <c r="P9" s="70">
        <f>(((PI()*C9)/6)*((3*(SQRT(B9^2-(B9-D9)^2))^2)+(3*(SQRT(B9^2-(B9-D9-C9)^2))^2)+C9^2))*(2.54/100)^3</f>
        <v>3.1232097791625497</v>
      </c>
      <c r="Q9" s="71">
        <f t="shared" si="7"/>
        <v>3123.2097791625497</v>
      </c>
      <c r="R9" s="115">
        <f t="shared" si="8"/>
        <v>29338.499912343563</v>
      </c>
      <c r="S9" s="72">
        <f t="shared" si="9"/>
        <v>427853.123721677</v>
      </c>
      <c r="T9" s="72">
        <f t="shared" si="10"/>
        <v>13.30771970748471</v>
      </c>
      <c r="U9" s="72">
        <f>P9*(0.45359237/0.3048^3)*I9</f>
        <v>13307.71970748471</v>
      </c>
      <c r="V9" s="116">
        <f t="shared" si="11"/>
        <v>13307719.707484709</v>
      </c>
      <c r="W9" s="81">
        <f t="shared" si="12"/>
        <v>0.20191279627077086</v>
      </c>
      <c r="X9" s="73">
        <f t="shared" si="13"/>
        <v>4.9893738545590876E-3</v>
      </c>
      <c r="Y9" s="73">
        <f t="shared" si="14"/>
        <v>201912.79627077086</v>
      </c>
      <c r="Z9" s="73">
        <f t="shared" si="15"/>
        <v>2019.1279627077088</v>
      </c>
      <c r="AA9" s="73">
        <f t="shared" si="16"/>
        <v>2.0191279627077086E-3</v>
      </c>
      <c r="AB9" s="73">
        <f>((PI()*(SQRT(B9^2-(B9-D9)^2))^2)+(PI()*(SQRT(B9^2-(B9-D9-C9)^2))^2)+(2*PI()*B9*C9))*(2.54/100)^2</f>
        <v>20.191279627077087</v>
      </c>
      <c r="AC9" s="73">
        <f t="shared" si="17"/>
        <v>20191279.627077088</v>
      </c>
      <c r="AD9" s="73">
        <f t="shared" si="18"/>
        <v>217.33712510459384</v>
      </c>
      <c r="AE9" s="81">
        <f t="shared" si="19"/>
        <v>31296.546015061514</v>
      </c>
      <c r="AF9" s="167">
        <v>154</v>
      </c>
      <c r="AG9" s="69">
        <v>312321</v>
      </c>
      <c r="AH9" s="70">
        <v>31232.1</v>
      </c>
      <c r="AI9" s="70">
        <v>31.232099999999999</v>
      </c>
      <c r="AJ9" s="70">
        <v>3123210</v>
      </c>
      <c r="AK9" s="70">
        <v>3.1232099999999998</v>
      </c>
      <c r="AL9" s="71">
        <v>3123.21</v>
      </c>
      <c r="AM9" s="115">
        <v>29338.5</v>
      </c>
      <c r="AN9" s="72">
        <v>427853</v>
      </c>
      <c r="AO9" s="72">
        <v>13.307700000000001</v>
      </c>
      <c r="AP9" s="72">
        <v>13307.7</v>
      </c>
      <c r="AQ9" s="116">
        <v>13307720</v>
      </c>
      <c r="AR9" s="123">
        <v>0.20191300000000001</v>
      </c>
      <c r="AS9" s="123">
        <v>4.9893699999999999E-3</v>
      </c>
      <c r="AT9" s="73">
        <v>201913</v>
      </c>
      <c r="AU9" s="73">
        <v>2019.13</v>
      </c>
      <c r="AV9" s="73">
        <v>2.0191300000000001E-3</v>
      </c>
      <c r="AW9" s="73">
        <v>20.191299999999998</v>
      </c>
      <c r="AX9" s="73">
        <v>20191280</v>
      </c>
      <c r="AY9" s="73">
        <v>217.33699999999999</v>
      </c>
      <c r="AZ9" s="218">
        <v>31296.5</v>
      </c>
      <c r="BA9" s="247">
        <f t="shared" si="20"/>
        <v>0</v>
      </c>
      <c r="BB9" s="43">
        <f t="shared" si="21"/>
        <v>-7.0708490970804688E-8</v>
      </c>
      <c r="BC9" s="42">
        <f t="shared" si="21"/>
        <v>-7.0708490900915457E-8</v>
      </c>
      <c r="BD9" s="42">
        <f t="shared" si="21"/>
        <v>-7.0708490825384126E-8</v>
      </c>
      <c r="BE9" s="42">
        <f t="shared" si="21"/>
        <v>-7.0708490858981913E-8</v>
      </c>
      <c r="BF9" s="42">
        <f t="shared" si="21"/>
        <v>-7.0708490853822132E-8</v>
      </c>
      <c r="BG9" s="43">
        <f t="shared" si="21"/>
        <v>-7.0708490930035973E-8</v>
      </c>
      <c r="BH9" s="107">
        <f t="shared" si="22"/>
        <v>-2.9877613888449802E-9</v>
      </c>
      <c r="BI9" s="44">
        <f t="shared" si="23"/>
        <v>2.8916857242703854E-7</v>
      </c>
      <c r="BJ9" s="44">
        <f t="shared" si="23"/>
        <v>1.4809062064890393E-6</v>
      </c>
      <c r="BK9" s="44">
        <f t="shared" si="23"/>
        <v>1.4809062065029215E-6</v>
      </c>
      <c r="BL9" s="108">
        <f t="shared" si="23"/>
        <v>-2.1980872555990523E-8</v>
      </c>
      <c r="BM9" s="43">
        <f t="shared" si="23"/>
        <v>-1.0089961256356089E-6</v>
      </c>
      <c r="BN9" s="42">
        <f t="shared" si="23"/>
        <v>7.7255367107619463E-7</v>
      </c>
      <c r="BO9" s="42">
        <f t="shared" si="23"/>
        <v>-1.0089961255452042E-6</v>
      </c>
      <c r="BP9" s="42">
        <f t="shared" si="23"/>
        <v>-1.0089961255361954E-6</v>
      </c>
      <c r="BQ9" s="42">
        <f t="shared" si="23"/>
        <v>-1.0089961256012431E-6</v>
      </c>
      <c r="BR9" s="42">
        <f t="shared" si="23"/>
        <v>-1.0089961254376617E-6</v>
      </c>
      <c r="BS9" s="42">
        <f t="shared" si="23"/>
        <v>-1.8469503623729128E-8</v>
      </c>
      <c r="BT9" s="42">
        <f t="shared" si="23"/>
        <v>5.7562459146654849E-7</v>
      </c>
      <c r="BU9" s="45">
        <f t="shared" si="23"/>
        <v>1.4702920089755712E-6</v>
      </c>
    </row>
    <row r="10" spans="2:73" x14ac:dyDescent="0.25">
      <c r="B10" s="86">
        <v>145</v>
      </c>
      <c r="C10" s="87">
        <v>77</v>
      </c>
      <c r="D10" s="87">
        <v>34</v>
      </c>
      <c r="E10" s="128">
        <f t="shared" si="1"/>
        <v>290</v>
      </c>
      <c r="F10" s="156" t="s">
        <v>5</v>
      </c>
      <c r="G10" s="59"/>
      <c r="H10" s="56"/>
      <c r="I10" s="56"/>
      <c r="J10" s="17">
        <v>386</v>
      </c>
      <c r="K10" s="167">
        <f t="shared" si="2"/>
        <v>290</v>
      </c>
      <c r="L10" s="69">
        <f t="shared" si="3"/>
        <v>369498210512.45337</v>
      </c>
      <c r="M10" s="70">
        <f t="shared" si="4"/>
        <v>36949821051.245338</v>
      </c>
      <c r="N10" s="70">
        <f t="shared" si="5"/>
        <v>36949821.051245339</v>
      </c>
      <c r="O10" s="70">
        <f t="shared" si="6"/>
        <v>3694982105124.5337</v>
      </c>
      <c r="P10" s="70">
        <f>((PI()*C10)/6)*((3*(SQRT(B10^2-(B10-D10)^2))^2)+(3*(SQRT(B10^2-(B10-D10-C10)^2))^2)+C10^2)</f>
        <v>3694982.1051245336</v>
      </c>
      <c r="Q10" s="71">
        <f t="shared" si="7"/>
        <v>3694982105.1245337</v>
      </c>
      <c r="R10" s="115">
        <f t="shared" si="8"/>
        <v>3144371878605.6079</v>
      </c>
      <c r="S10" s="72">
        <f t="shared" si="9"/>
        <v>45855423229665.117</v>
      </c>
      <c r="T10" s="72">
        <f t="shared" si="10"/>
        <v>1426263092.5780702</v>
      </c>
      <c r="U10" s="72">
        <f>P10*1000*J10</f>
        <v>1426263092578.0701</v>
      </c>
      <c r="V10" s="116">
        <f t="shared" si="11"/>
        <v>1426263092578070</v>
      </c>
      <c r="W10" s="81">
        <f t="shared" si="12"/>
        <v>1599.1649084568126</v>
      </c>
      <c r="X10" s="73">
        <f t="shared" si="13"/>
        <v>39.516225473312517</v>
      </c>
      <c r="Y10" s="73">
        <f t="shared" si="14"/>
        <v>1599164908.4568126</v>
      </c>
      <c r="Z10" s="73">
        <f t="shared" si="15"/>
        <v>15991649.084568126</v>
      </c>
      <c r="AA10" s="73">
        <f t="shared" si="16"/>
        <v>15.991649084568126</v>
      </c>
      <c r="AB10" s="73">
        <f>(PI()*(SQRT(B10^2-(B10-D10)^2))^2)+(PI()*(SQRT(B10^2-(B10-D10-C10)^2))^2)+(2*PI()*B10*C10)</f>
        <v>159916.49084568126</v>
      </c>
      <c r="AC10" s="73">
        <f t="shared" si="17"/>
        <v>159916490845.68124</v>
      </c>
      <c r="AD10" s="73">
        <f t="shared" si="18"/>
        <v>1721326.7816174936</v>
      </c>
      <c r="AE10" s="81">
        <f t="shared" si="19"/>
        <v>247871056.55291906</v>
      </c>
      <c r="AF10" s="167">
        <v>290</v>
      </c>
      <c r="AG10" s="69">
        <v>369498210512</v>
      </c>
      <c r="AH10" s="70">
        <v>36949821051</v>
      </c>
      <c r="AI10" s="70">
        <v>36949821</v>
      </c>
      <c r="AJ10" s="70">
        <v>3694982105125</v>
      </c>
      <c r="AK10" s="70">
        <v>3694982</v>
      </c>
      <c r="AL10" s="71">
        <v>3694982105</v>
      </c>
      <c r="AM10" s="115">
        <v>3144371878606</v>
      </c>
      <c r="AN10" s="72">
        <v>45855423229665</v>
      </c>
      <c r="AO10" s="72">
        <v>1426263093</v>
      </c>
      <c r="AP10" s="72">
        <v>1426263092578</v>
      </c>
      <c r="AQ10" s="116">
        <v>1426263092578070</v>
      </c>
      <c r="AR10" s="123">
        <v>1599.16</v>
      </c>
      <c r="AS10" s="123">
        <v>39.516199999999998</v>
      </c>
      <c r="AT10" s="73">
        <v>1599164908</v>
      </c>
      <c r="AU10" s="73">
        <v>15991649</v>
      </c>
      <c r="AV10" s="73">
        <v>15.9916</v>
      </c>
      <c r="AW10" s="73">
        <v>159916</v>
      </c>
      <c r="AX10" s="73">
        <v>159916490846</v>
      </c>
      <c r="AY10" s="73">
        <v>1721327</v>
      </c>
      <c r="AZ10" s="218">
        <v>247871057</v>
      </c>
      <c r="BA10" s="247">
        <f t="shared" si="20"/>
        <v>0</v>
      </c>
      <c r="BB10" s="43">
        <f t="shared" si="21"/>
        <v>1.2269860251724275E-12</v>
      </c>
      <c r="BC10" s="42">
        <f t="shared" si="21"/>
        <v>6.6397734268089907E-12</v>
      </c>
      <c r="BD10" s="42">
        <f t="shared" si="21"/>
        <v>1.3868900513409832E-9</v>
      </c>
      <c r="BE10" s="42">
        <f t="shared" si="21"/>
        <v>-1.2620050124282909E-13</v>
      </c>
      <c r="BF10" s="42">
        <f t="shared" si="21"/>
        <v>2.8450620504030925E-8</v>
      </c>
      <c r="BG10" s="43">
        <f t="shared" si="21"/>
        <v>3.3703452335144697E-11</v>
      </c>
      <c r="BH10" s="107">
        <f t="shared" si="22"/>
        <v>-1.2469576083471232E-13</v>
      </c>
      <c r="BI10" s="44">
        <f t="shared" si="23"/>
        <v>2.5555864878418182E-15</v>
      </c>
      <c r="BJ10" s="44">
        <f t="shared" si="23"/>
        <v>-2.9582889613340953E-10</v>
      </c>
      <c r="BK10" s="44">
        <f t="shared" si="23"/>
        <v>4.9127233074752397E-14</v>
      </c>
      <c r="BL10" s="108">
        <f t="shared" si="23"/>
        <v>0</v>
      </c>
      <c r="BM10" s="43">
        <f t="shared" si="23"/>
        <v>3.0693875200208656E-6</v>
      </c>
      <c r="BN10" s="42">
        <f t="shared" si="23"/>
        <v>6.4462919253513366E-7</v>
      </c>
      <c r="BO10" s="42">
        <f t="shared" si="23"/>
        <v>2.8565698118262618E-10</v>
      </c>
      <c r="BP10" s="42">
        <f t="shared" si="23"/>
        <v>5.288268000373502E-9</v>
      </c>
      <c r="BQ10" s="42">
        <f t="shared" si="23"/>
        <v>3.0693875200741838E-6</v>
      </c>
      <c r="BR10" s="42">
        <f t="shared" si="23"/>
        <v>3.0693875200720514E-6</v>
      </c>
      <c r="BS10" s="42">
        <f t="shared" si="23"/>
        <v>-1.9932659967083904E-12</v>
      </c>
      <c r="BT10" s="42">
        <f t="shared" si="23"/>
        <v>-1.2686870891143331E-7</v>
      </c>
      <c r="BU10" s="45">
        <f t="shared" si="23"/>
        <v>-1.8036835208822141E-9</v>
      </c>
    </row>
    <row r="11" spans="2:73" x14ac:dyDescent="0.25">
      <c r="B11" s="86">
        <v>155</v>
      </c>
      <c r="C11" s="87">
        <v>78</v>
      </c>
      <c r="D11" s="87">
        <v>56</v>
      </c>
      <c r="E11" s="128">
        <f t="shared" si="1"/>
        <v>310</v>
      </c>
      <c r="F11" s="156" t="s">
        <v>6</v>
      </c>
      <c r="G11" s="59"/>
      <c r="H11" s="58"/>
      <c r="I11" s="58"/>
      <c r="J11" s="14">
        <v>486</v>
      </c>
      <c r="K11" s="167">
        <f t="shared" si="2"/>
        <v>310</v>
      </c>
      <c r="L11" s="69">
        <f t="shared" si="3"/>
        <v>2.0344023977290933E+21</v>
      </c>
      <c r="M11" s="70">
        <f t="shared" si="4"/>
        <v>2.0344023977290931E+20</v>
      </c>
      <c r="N11" s="70">
        <f t="shared" si="5"/>
        <v>2.0344023977290931E+17</v>
      </c>
      <c r="O11" s="70">
        <f t="shared" si="6"/>
        <v>2.0344023977290931E+22</v>
      </c>
      <c r="P11" s="70">
        <f>(((PI()*C11)/6)*((3*(SQRT(B11^2-(B11-D11)^2))^2)+(3*(SQRT(B11^2-(B11-D11-C11)^2))^2)+C11^2))*(63360*2.54/100)^3</f>
        <v>2.0344023977290932E+16</v>
      </c>
      <c r="Q11" s="71">
        <f t="shared" si="7"/>
        <v>2.0344023977290932E+19</v>
      </c>
      <c r="R11" s="115">
        <f t="shared" si="8"/>
        <v>2.1797535203167971E+22</v>
      </c>
      <c r="S11" s="72">
        <f t="shared" si="9"/>
        <v>3.1788072171286627E+23</v>
      </c>
      <c r="T11" s="72">
        <f t="shared" si="10"/>
        <v>9.8871956529633935E+18</v>
      </c>
      <c r="U11" s="72">
        <f>P11*1000*J11</f>
        <v>9.8871956529633926E+21</v>
      </c>
      <c r="V11" s="116">
        <f t="shared" si="11"/>
        <v>9.8871956529633926E+24</v>
      </c>
      <c r="W11" s="81">
        <f t="shared" si="12"/>
        <v>5043769922.0817842</v>
      </c>
      <c r="X11" s="73">
        <f t="shared" si="13"/>
        <v>124634269.06286339</v>
      </c>
      <c r="Y11" s="73">
        <f t="shared" si="14"/>
        <v>5043769922081784</v>
      </c>
      <c r="Z11" s="73">
        <f t="shared" si="15"/>
        <v>50437699220817.844</v>
      </c>
      <c r="AA11" s="73">
        <f t="shared" si="16"/>
        <v>50437699.220817842</v>
      </c>
      <c r="AB11" s="73">
        <f>((PI()*(SQRT(B11^2-(B11-D11)^2))^2)+(PI()*(SQRT(B11^2-(B11-D11-C11)^2))^2)+(2*PI()*B11*C11))*(63360*2.54/100)^2</f>
        <v>504376992208.17841</v>
      </c>
      <c r="AC11" s="73">
        <f t="shared" si="17"/>
        <v>5.0437699220817843E+17</v>
      </c>
      <c r="AD11" s="73">
        <f t="shared" si="18"/>
        <v>5429068760378.3301</v>
      </c>
      <c r="AE11" s="81">
        <f t="shared" si="19"/>
        <v>781785901494479.5</v>
      </c>
      <c r="AF11" s="167">
        <v>310</v>
      </c>
      <c r="AG11" s="69">
        <v>2.0344023977290899E+21</v>
      </c>
      <c r="AH11" s="70">
        <v>2.0344023977290901E+20</v>
      </c>
      <c r="AI11" s="70">
        <v>2.0344023977290899E+17</v>
      </c>
      <c r="AJ11" s="70">
        <v>2.0344023977290902E+22</v>
      </c>
      <c r="AK11" s="70">
        <v>2.03440239772909E+16</v>
      </c>
      <c r="AL11" s="71">
        <v>2.0344023977290899E+19</v>
      </c>
      <c r="AM11" s="115">
        <v>2.1797535203168E+22</v>
      </c>
      <c r="AN11" s="72">
        <v>3.1788072171286601E+23</v>
      </c>
      <c r="AO11" s="72">
        <v>9.8871956529633894E+18</v>
      </c>
      <c r="AP11" s="72">
        <v>9.8871956529633905E+21</v>
      </c>
      <c r="AQ11" s="116">
        <v>9.8871956529633904E+24</v>
      </c>
      <c r="AR11" s="123">
        <v>5043769922</v>
      </c>
      <c r="AS11" s="123">
        <v>124634269</v>
      </c>
      <c r="AT11" s="73">
        <v>5043769922081780</v>
      </c>
      <c r="AU11" s="73">
        <v>50437699220818</v>
      </c>
      <c r="AV11" s="73">
        <v>50437699</v>
      </c>
      <c r="AW11" s="73">
        <v>504376992208</v>
      </c>
      <c r="AX11" s="73">
        <v>5.0437699220817798E+17</v>
      </c>
      <c r="AY11" s="73">
        <v>5429068760378</v>
      </c>
      <c r="AZ11" s="218">
        <v>781785901494480</v>
      </c>
      <c r="BA11" s="247">
        <f t="shared" si="20"/>
        <v>0</v>
      </c>
      <c r="BB11" s="43">
        <f t="shared" si="21"/>
        <v>1.6751218951590136E-15</v>
      </c>
      <c r="BC11" s="42">
        <f t="shared" si="21"/>
        <v>1.4496247169645311E-15</v>
      </c>
      <c r="BD11" s="42">
        <f t="shared" si="21"/>
        <v>1.5729434862896387E-15</v>
      </c>
      <c r="BE11" s="42">
        <f t="shared" si="21"/>
        <v>1.4431819404446887E-15</v>
      </c>
      <c r="BF11" s="42">
        <f t="shared" si="21"/>
        <v>1.5729434862896387E-15</v>
      </c>
      <c r="BG11" s="43">
        <f t="shared" si="21"/>
        <v>1.6106941299605901E-15</v>
      </c>
      <c r="BH11" s="107">
        <f t="shared" si="22"/>
        <v>-1.3469471537191467E-15</v>
      </c>
      <c r="BI11" s="44">
        <f t="shared" si="23"/>
        <v>8.4445339922963633E-16</v>
      </c>
      <c r="BJ11" s="44">
        <f t="shared" si="23"/>
        <v>4.1427318157422582E-16</v>
      </c>
      <c r="BK11" s="44">
        <f t="shared" si="23"/>
        <v>2.1210786896600362E-16</v>
      </c>
      <c r="BL11" s="108">
        <f t="shared" si="23"/>
        <v>2.1719845782118772E-16</v>
      </c>
      <c r="BM11" s="43">
        <f t="shared" si="23"/>
        <v>1.6214904647810512E-11</v>
      </c>
      <c r="BN11" s="42">
        <f t="shared" si="23"/>
        <v>5.0438290440269793E-10</v>
      </c>
      <c r="BO11" s="42">
        <f t="shared" si="23"/>
        <v>7.9305758624870533E-16</v>
      </c>
      <c r="BP11" s="42">
        <f t="shared" si="23"/>
        <v>-3.0978811962840048E-15</v>
      </c>
      <c r="BQ11" s="42">
        <f t="shared" si="23"/>
        <v>4.3780316112894707E-9</v>
      </c>
      <c r="BR11" s="42">
        <f t="shared" si="23"/>
        <v>3.5371510690383385E-13</v>
      </c>
      <c r="BS11" s="42">
        <f t="shared" si="23"/>
        <v>8.8822449659854995E-16</v>
      </c>
      <c r="BT11" s="42">
        <f t="shared" si="23"/>
        <v>6.0798295171527392E-14</v>
      </c>
      <c r="BU11" s="45">
        <f t="shared" si="23"/>
        <v>-6.3956129043026835E-16</v>
      </c>
    </row>
    <row r="12" spans="2:73" x14ac:dyDescent="0.25">
      <c r="B12" s="86">
        <v>230</v>
      </c>
      <c r="C12" s="87">
        <v>45</v>
      </c>
      <c r="D12" s="87">
        <v>99</v>
      </c>
      <c r="E12" s="128">
        <f t="shared" si="1"/>
        <v>460</v>
      </c>
      <c r="F12" s="156" t="s">
        <v>7</v>
      </c>
      <c r="G12" s="59"/>
      <c r="H12" s="58"/>
      <c r="I12" s="4">
        <v>512</v>
      </c>
      <c r="J12" s="55"/>
      <c r="K12" s="167">
        <f t="shared" si="2"/>
        <v>460</v>
      </c>
      <c r="L12" s="69">
        <f t="shared" si="3"/>
        <v>579.04422074272952</v>
      </c>
      <c r="M12" s="70">
        <f t="shared" si="4"/>
        <v>57.904422074272951</v>
      </c>
      <c r="N12" s="70">
        <f t="shared" si="5"/>
        <v>5.7904422074272946E-2</v>
      </c>
      <c r="O12" s="70">
        <f t="shared" si="6"/>
        <v>5790.4422074272952</v>
      </c>
      <c r="P12" s="70">
        <f>(((PI()*C12)/6)*((3*(SQRT(B12^2-(B12-D12)^2))^2)+(3*(SQRT(B12^2-(B12-D12-C12)^2))^2)+C12^2))/1000^3</f>
        <v>5.7904422074272948E-3</v>
      </c>
      <c r="Q12" s="71">
        <f t="shared" si="7"/>
        <v>5.7904422074272945</v>
      </c>
      <c r="R12" s="115">
        <f t="shared" si="8"/>
        <v>104.69761880337182</v>
      </c>
      <c r="S12" s="72">
        <f t="shared" si="9"/>
        <v>1526.8402742158391</v>
      </c>
      <c r="T12" s="72">
        <f t="shared" si="10"/>
        <v>4.7490041046377988E-2</v>
      </c>
      <c r="U12" s="72">
        <f>P12*(0.45359237/0.3048^3)*I12</f>
        <v>47.490041046377989</v>
      </c>
      <c r="V12" s="116">
        <f t="shared" si="11"/>
        <v>47490.041046377992</v>
      </c>
      <c r="W12" s="81">
        <f t="shared" si="12"/>
        <v>3.2026337988490428E-3</v>
      </c>
      <c r="X12" s="73">
        <f t="shared" si="13"/>
        <v>7.9138804656422954E-5</v>
      </c>
      <c r="Y12" s="73">
        <f t="shared" si="14"/>
        <v>3202.6337988490427</v>
      </c>
      <c r="Z12" s="73">
        <f t="shared" si="15"/>
        <v>32.026337988490425</v>
      </c>
      <c r="AA12" s="73">
        <f t="shared" si="16"/>
        <v>3.2026337988490427E-5</v>
      </c>
      <c r="AB12" s="73">
        <f>((PI()*(SQRT(B12^2-(B12-D12)^2))^2)+(PI()*(SQRT(B12^2-(B12-D12-C12)^2))^2)+(2*PI()*B12*C12))/1000^2</f>
        <v>0.32026337988490428</v>
      </c>
      <c r="AC12" s="73">
        <f t="shared" si="17"/>
        <v>320263.37988490425</v>
      </c>
      <c r="AD12" s="73">
        <f t="shared" si="18"/>
        <v>3.447286330833784</v>
      </c>
      <c r="AE12" s="81">
        <f t="shared" si="19"/>
        <v>496.40923164006489</v>
      </c>
      <c r="AF12" s="167">
        <v>460</v>
      </c>
      <c r="AG12" s="69">
        <v>579.04399999999998</v>
      </c>
      <c r="AH12" s="70">
        <v>57.904400000000003</v>
      </c>
      <c r="AI12" s="70">
        <v>5.7904400000000002E-2</v>
      </c>
      <c r="AJ12" s="70">
        <v>5790.44</v>
      </c>
      <c r="AK12" s="70">
        <v>5.79044E-3</v>
      </c>
      <c r="AL12" s="71">
        <v>5.7904400000000003</v>
      </c>
      <c r="AM12" s="115">
        <v>104.69799999999999</v>
      </c>
      <c r="AN12" s="72">
        <v>1526.84</v>
      </c>
      <c r="AO12" s="72">
        <v>4.7489999999999997E-2</v>
      </c>
      <c r="AP12" s="72">
        <v>47.49</v>
      </c>
      <c r="AQ12" s="116">
        <v>47490</v>
      </c>
      <c r="AR12" s="123">
        <v>3.2026300000000001E-3</v>
      </c>
      <c r="AS12" s="123">
        <v>7.9138804656422995E-5</v>
      </c>
      <c r="AT12" s="73">
        <v>3202.63</v>
      </c>
      <c r="AU12" s="73">
        <v>32.026299999999999</v>
      </c>
      <c r="AV12" s="73">
        <v>3.20263379884904E-5</v>
      </c>
      <c r="AW12" s="73">
        <v>0.32026300000000002</v>
      </c>
      <c r="AX12" s="73">
        <v>320263</v>
      </c>
      <c r="AY12" s="73">
        <v>3.4472900000000002</v>
      </c>
      <c r="AZ12" s="218">
        <v>496.40899999999999</v>
      </c>
      <c r="BA12" s="247">
        <f t="shared" si="20"/>
        <v>0</v>
      </c>
      <c r="BB12" s="43">
        <f t="shared" si="21"/>
        <v>3.8121912218677713E-7</v>
      </c>
      <c r="BC12" s="42">
        <f t="shared" si="21"/>
        <v>3.8121912208860945E-7</v>
      </c>
      <c r="BD12" s="42">
        <f t="shared" si="21"/>
        <v>3.8121912202054406E-7</v>
      </c>
      <c r="BE12" s="42">
        <f t="shared" si="21"/>
        <v>3.812191222260442E-7</v>
      </c>
      <c r="BF12" s="42">
        <f t="shared" si="21"/>
        <v>3.8121912208046078E-7</v>
      </c>
      <c r="BG12" s="43">
        <f t="shared" si="21"/>
        <v>3.8121912199657731E-7</v>
      </c>
      <c r="BH12" s="107">
        <f t="shared" si="22"/>
        <v>-3.6409293021719252E-6</v>
      </c>
      <c r="BI12" s="44">
        <f t="shared" si="23"/>
        <v>1.7959693876128076E-7</v>
      </c>
      <c r="BJ12" s="44">
        <f t="shared" si="23"/>
        <v>8.643154877645963E-7</v>
      </c>
      <c r="BK12" s="44">
        <f t="shared" si="23"/>
        <v>8.6431548768511105E-7</v>
      </c>
      <c r="BL12" s="108">
        <f t="shared" si="23"/>
        <v>8.6431548778086738E-7</v>
      </c>
      <c r="BM12" s="43">
        <f t="shared" si="23"/>
        <v>1.1861640391081854E-6</v>
      </c>
      <c r="BN12" s="42">
        <f t="shared" si="23"/>
        <v>-5.137502599984826E-16</v>
      </c>
      <c r="BO12" s="42">
        <f t="shared" si="23"/>
        <v>1.1861640390984444E-6</v>
      </c>
      <c r="BP12" s="42">
        <f t="shared" si="23"/>
        <v>1.1861640391073189E-6</v>
      </c>
      <c r="BQ12" s="42">
        <f t="shared" si="23"/>
        <v>8.4633635983853608E-16</v>
      </c>
      <c r="BR12" s="42">
        <f t="shared" si="23"/>
        <v>1.1861640390865192E-6</v>
      </c>
      <c r="BS12" s="42">
        <f t="shared" si="23"/>
        <v>1.1861640390700461E-6</v>
      </c>
      <c r="BT12" s="42">
        <f t="shared" si="23"/>
        <v>-1.0643636368041264E-6</v>
      </c>
      <c r="BU12" s="45">
        <f t="shared" si="23"/>
        <v>4.6663125931644034E-7</v>
      </c>
    </row>
    <row r="13" spans="2:73" x14ac:dyDescent="0.25">
      <c r="B13" s="86">
        <v>177</v>
      </c>
      <c r="C13" s="87">
        <v>124</v>
      </c>
      <c r="D13" s="87">
        <v>167</v>
      </c>
      <c r="E13" s="128">
        <f t="shared" si="1"/>
        <v>354</v>
      </c>
      <c r="F13" s="156" t="s">
        <v>8</v>
      </c>
      <c r="G13" s="59"/>
      <c r="H13" s="4">
        <v>1024</v>
      </c>
      <c r="I13" s="58"/>
      <c r="J13" s="55"/>
      <c r="K13" s="167">
        <f t="shared" si="2"/>
        <v>354</v>
      </c>
      <c r="L13" s="69">
        <f t="shared" si="3"/>
        <v>814398492623.32129</v>
      </c>
      <c r="M13" s="70">
        <f t="shared" si="4"/>
        <v>81439849262.332123</v>
      </c>
      <c r="N13" s="70">
        <f t="shared" si="5"/>
        <v>81439849.262332126</v>
      </c>
      <c r="O13" s="70">
        <f t="shared" si="6"/>
        <v>8143984926233.2129</v>
      </c>
      <c r="P13" s="70">
        <f>(((PI()*C13)/6)*((3*(SQRT(B13^2-(B13-D13)^2))^2)+(3*(SQRT(B13^2-(B13-D13-C13)^2))^2)+C13^2))*0.9144^3</f>
        <v>8143984.9262332125</v>
      </c>
      <c r="Q13" s="71">
        <f t="shared" si="7"/>
        <v>8143984926.2332125</v>
      </c>
      <c r="R13" s="115">
        <f t="shared" si="8"/>
        <v>18385319321978.031</v>
      </c>
      <c r="S13" s="72">
        <f t="shared" si="9"/>
        <v>268119240112179.69</v>
      </c>
      <c r="T13" s="72">
        <f t="shared" si="10"/>
        <v>8339440564.4628096</v>
      </c>
      <c r="U13" s="72">
        <f>P13*1000*H13</f>
        <v>8339440564462.8096</v>
      </c>
      <c r="V13" s="116">
        <f t="shared" si="11"/>
        <v>8339440564462810</v>
      </c>
      <c r="W13" s="81">
        <f t="shared" si="12"/>
        <v>2454.9281754246463</v>
      </c>
      <c r="X13" s="73">
        <f t="shared" si="13"/>
        <v>60.662596326279946</v>
      </c>
      <c r="Y13" s="73">
        <f t="shared" si="14"/>
        <v>2454928175.4246464</v>
      </c>
      <c r="Z13" s="73">
        <f t="shared" si="15"/>
        <v>24549281.754246466</v>
      </c>
      <c r="AA13" s="73">
        <f t="shared" si="16"/>
        <v>24.549281754246465</v>
      </c>
      <c r="AB13" s="73">
        <f>((PI()*(SQRT(B13^2-(B13-D13)^2))^2)+(PI()*(SQRT(B13^2-(B13-D13-C13)^2))^2)+(2*PI()*B13*C13))*0.9144^2</f>
        <v>245492.81754246465</v>
      </c>
      <c r="AC13" s="73">
        <f t="shared" si="17"/>
        <v>245492817542.46466</v>
      </c>
      <c r="AD13" s="73">
        <f t="shared" si="18"/>
        <v>2642462.6959727546</v>
      </c>
      <c r="AE13" s="81">
        <f t="shared" si="19"/>
        <v>380514628.22007662</v>
      </c>
      <c r="AF13" s="167">
        <v>354</v>
      </c>
      <c r="AG13" s="69">
        <v>814398492623</v>
      </c>
      <c r="AH13" s="70">
        <v>81439849262</v>
      </c>
      <c r="AI13" s="70">
        <v>81439849</v>
      </c>
      <c r="AJ13" s="70">
        <v>8143984926233</v>
      </c>
      <c r="AK13" s="70">
        <v>8143985</v>
      </c>
      <c r="AL13" s="71">
        <v>8143984926</v>
      </c>
      <c r="AM13" s="115">
        <v>18385319321978</v>
      </c>
      <c r="AN13" s="72">
        <v>268119240112180</v>
      </c>
      <c r="AO13" s="72">
        <v>8339440564</v>
      </c>
      <c r="AP13" s="72">
        <v>8339440564463</v>
      </c>
      <c r="AQ13" s="116">
        <v>8339440564462810</v>
      </c>
      <c r="AR13" s="123">
        <v>2454.9299999999998</v>
      </c>
      <c r="AS13" s="123">
        <v>60.662599999999998</v>
      </c>
      <c r="AT13" s="73">
        <v>2454928175</v>
      </c>
      <c r="AU13" s="73">
        <v>24549282</v>
      </c>
      <c r="AV13" s="73">
        <v>24.549299999999999</v>
      </c>
      <c r="AW13" s="73">
        <v>245493</v>
      </c>
      <c r="AX13" s="73">
        <v>245492817542</v>
      </c>
      <c r="AY13" s="73">
        <v>2642463</v>
      </c>
      <c r="AZ13" s="218">
        <v>380514628</v>
      </c>
      <c r="BA13" s="247">
        <f t="shared" si="20"/>
        <v>0</v>
      </c>
      <c r="BB13" s="43">
        <f t="shared" si="21"/>
        <v>3.9451087570787516E-13</v>
      </c>
      <c r="BC13" s="42">
        <f t="shared" si="21"/>
        <v>4.0781362655098842E-12</v>
      </c>
      <c r="BD13" s="42">
        <f t="shared" si="21"/>
        <v>3.2211764741018158E-9</v>
      </c>
      <c r="BE13" s="42">
        <f t="shared" si="21"/>
        <v>2.6140842220157077E-14</v>
      </c>
      <c r="BF13" s="42">
        <f t="shared" si="21"/>
        <v>-9.057824665026876E-9</v>
      </c>
      <c r="BG13" s="43">
        <f t="shared" si="21"/>
        <v>2.8636161918360416E-11</v>
      </c>
      <c r="BH13" s="107">
        <f t="shared" si="22"/>
        <v>1.6997257133654119E-15</v>
      </c>
      <c r="BI13" s="44">
        <f t="shared" si="23"/>
        <v>-1.1655262034505678E-15</v>
      </c>
      <c r="BJ13" s="44">
        <f t="shared" si="23"/>
        <v>5.5496475945316321E-11</v>
      </c>
      <c r="BK13" s="44">
        <f t="shared" si="23"/>
        <v>-2.2834827591611554E-14</v>
      </c>
      <c r="BL13" s="108">
        <f t="shared" si="23"/>
        <v>0</v>
      </c>
      <c r="BM13" s="43">
        <f t="shared" si="23"/>
        <v>-7.4322962758411682E-7</v>
      </c>
      <c r="BN13" s="42">
        <f t="shared" si="23"/>
        <v>-6.0559888204632848E-8</v>
      </c>
      <c r="BO13" s="42">
        <f t="shared" si="23"/>
        <v>1.7297710858282951E-10</v>
      </c>
      <c r="BP13" s="42">
        <f t="shared" si="23"/>
        <v>-1.0010620131307626E-8</v>
      </c>
      <c r="BQ13" s="42">
        <f t="shared" si="23"/>
        <v>-7.4322962750886366E-7</v>
      </c>
      <c r="BR13" s="42">
        <f t="shared" si="23"/>
        <v>-7.4322962756929777E-7</v>
      </c>
      <c r="BS13" s="42">
        <f t="shared" si="23"/>
        <v>1.8927667586481397E-12</v>
      </c>
      <c r="BT13" s="42">
        <f t="shared" si="23"/>
        <v>-1.1505450799488565E-7</v>
      </c>
      <c r="BU13" s="45">
        <f t="shared" si="23"/>
        <v>5.7836572961258432E-10</v>
      </c>
    </row>
    <row r="14" spans="2:73" ht="15.75" thickBot="1" x14ac:dyDescent="0.3">
      <c r="B14" s="88">
        <v>66</v>
      </c>
      <c r="C14" s="89">
        <v>55</v>
      </c>
      <c r="D14" s="89">
        <v>66</v>
      </c>
      <c r="E14" s="170">
        <f t="shared" si="1"/>
        <v>132</v>
      </c>
      <c r="F14" s="157" t="s">
        <v>43</v>
      </c>
      <c r="G14" s="12">
        <v>4096</v>
      </c>
      <c r="H14" s="60"/>
      <c r="I14" s="60"/>
      <c r="J14" s="61"/>
      <c r="K14" s="168">
        <f t="shared" si="2"/>
        <v>132</v>
      </c>
      <c r="L14" s="79">
        <f t="shared" si="3"/>
        <v>5.784352753667088E-8</v>
      </c>
      <c r="M14" s="74">
        <f t="shared" si="4"/>
        <v>5.7843527536670884E-9</v>
      </c>
      <c r="N14" s="74">
        <f t="shared" si="5"/>
        <v>5.7843527536670876E-12</v>
      </c>
      <c r="O14" s="74">
        <f t="shared" si="6"/>
        <v>5.7843527536670883E-7</v>
      </c>
      <c r="P14" s="281">
        <f>(((PI()*C14)/6)*((3*(SQRT(B14^2-(B14-D14)^2))^2)+(3*(SQRT(B14^2-(B14-D14-C14)^2))^2)+C14^2))/1000000^3</f>
        <v>5.784352753667088E-13</v>
      </c>
      <c r="Q14" s="75">
        <f t="shared" si="7"/>
        <v>5.7843527536670877E-10</v>
      </c>
      <c r="R14" s="117">
        <f t="shared" si="8"/>
        <v>5.2233481967565702E-9</v>
      </c>
      <c r="S14" s="76">
        <f t="shared" si="9"/>
        <v>7.6173827869366651E-8</v>
      </c>
      <c r="T14" s="76">
        <f t="shared" si="10"/>
        <v>2.3692708879020394E-12</v>
      </c>
      <c r="U14" s="76">
        <f>P14*G14</f>
        <v>2.3692708879020392E-9</v>
      </c>
      <c r="V14" s="118">
        <f t="shared" si="11"/>
        <v>2.3692708879020391E-6</v>
      </c>
      <c r="W14" s="82">
        <f t="shared" si="12"/>
        <v>4.0674200086027053E-10</v>
      </c>
      <c r="X14" s="77">
        <f t="shared" si="13"/>
        <v>1.0050813728129524E-11</v>
      </c>
      <c r="Y14" s="77">
        <f t="shared" si="14"/>
        <v>4.0674200086027049E-4</v>
      </c>
      <c r="Z14" s="77">
        <f t="shared" si="15"/>
        <v>4.0674200086027054E-6</v>
      </c>
      <c r="AA14" s="77">
        <f t="shared" si="16"/>
        <v>4.0674200086027047E-12</v>
      </c>
      <c r="AB14" s="77">
        <f>((PI()*(SQRT(B14^2-(B14-D14)^2))^2)+(PI()*(SQRT(B14^2-(B14-D14-C14)^2))^2)+(2*PI()*B14*C14))/1000000^2</f>
        <v>4.067420008602705E-8</v>
      </c>
      <c r="AC14" s="77">
        <f t="shared" si="17"/>
        <v>4.0674200086027047E-2</v>
      </c>
      <c r="AD14" s="77">
        <f t="shared" si="18"/>
        <v>4.3781344599732203E-7</v>
      </c>
      <c r="AE14" s="82">
        <f t="shared" si="19"/>
        <v>6.3045136223614369E-5</v>
      </c>
      <c r="AF14" s="168">
        <v>132</v>
      </c>
      <c r="AG14" s="79">
        <v>5.78435275366709E-8</v>
      </c>
      <c r="AH14" s="74">
        <v>5.78435275366709E-9</v>
      </c>
      <c r="AI14" s="74">
        <v>5.78435275366709E-12</v>
      </c>
      <c r="AJ14" s="74">
        <v>5.7843527536670904E-7</v>
      </c>
      <c r="AK14" s="74">
        <v>5.78435275366709E-13</v>
      </c>
      <c r="AL14" s="75">
        <v>5.7843527536670898E-10</v>
      </c>
      <c r="AM14" s="117">
        <v>5.2233481967565702E-9</v>
      </c>
      <c r="AN14" s="76">
        <v>7.6173827869366598E-8</v>
      </c>
      <c r="AO14" s="76">
        <v>2.3692708879020398E-12</v>
      </c>
      <c r="AP14" s="76">
        <v>2.3692708879020401E-9</v>
      </c>
      <c r="AQ14" s="118">
        <v>2.36927088790204E-6</v>
      </c>
      <c r="AR14" s="125">
        <v>4.0674200086027001E-10</v>
      </c>
      <c r="AS14" s="125">
        <v>1.00508137281295E-11</v>
      </c>
      <c r="AT14" s="77">
        <v>4.0674199999999998E-4</v>
      </c>
      <c r="AU14" s="77">
        <v>4.0674200086027003E-6</v>
      </c>
      <c r="AV14" s="77">
        <v>4.0674200086026998E-12</v>
      </c>
      <c r="AW14" s="77">
        <v>4.0674200086026997E-8</v>
      </c>
      <c r="AX14" s="77">
        <v>4.0674200000000001E-2</v>
      </c>
      <c r="AY14" s="77">
        <v>4.3781344599732198E-7</v>
      </c>
      <c r="AZ14" s="220">
        <v>6.3045136223614397E-5</v>
      </c>
      <c r="BA14" s="248">
        <f t="shared" si="20"/>
        <v>0</v>
      </c>
      <c r="BB14" s="48">
        <f t="shared" si="21"/>
        <v>-3.4320753845254235E-16</v>
      </c>
      <c r="BC14" s="47">
        <f t="shared" si="21"/>
        <v>-2.8600628204378529E-16</v>
      </c>
      <c r="BD14" s="47">
        <f t="shared" si="21"/>
        <v>-4.1895451471257617E-16</v>
      </c>
      <c r="BE14" s="47">
        <f t="shared" si="21"/>
        <v>-3.6608804101604516E-16</v>
      </c>
      <c r="BF14" s="47">
        <f t="shared" si="21"/>
        <v>-3.4912876226048013E-16</v>
      </c>
      <c r="BG14" s="48">
        <f t="shared" si="21"/>
        <v>-3.5750785255473167E-16</v>
      </c>
      <c r="BH14" s="109">
        <f t="shared" si="22"/>
        <v>0</v>
      </c>
      <c r="BI14" s="49">
        <f t="shared" si="23"/>
        <v>6.9498357485961979E-16</v>
      </c>
      <c r="BJ14" s="49">
        <f t="shared" si="23"/>
        <v>-1.7047302844750003E-16</v>
      </c>
      <c r="BK14" s="49">
        <f t="shared" si="23"/>
        <v>-3.4912876226048013E-16</v>
      </c>
      <c r="BL14" s="110">
        <f t="shared" si="23"/>
        <v>-3.5750785255473167E-16</v>
      </c>
      <c r="BM14" s="48">
        <f t="shared" si="23"/>
        <v>1.2710462203367212E-15</v>
      </c>
      <c r="BN14" s="47">
        <f t="shared" si="23"/>
        <v>2.411128856220425E-15</v>
      </c>
      <c r="BO14" s="47">
        <f t="shared" si="23"/>
        <v>2.115027491283827E-9</v>
      </c>
      <c r="BP14" s="47">
        <f t="shared" si="23"/>
        <v>1.2494892764398104E-15</v>
      </c>
      <c r="BQ14" s="47">
        <f t="shared" si="23"/>
        <v>1.1916058315656763E-15</v>
      </c>
      <c r="BR14" s="47">
        <f t="shared" si="23"/>
        <v>1.3015513296248027E-15</v>
      </c>
      <c r="BS14" s="47">
        <f t="shared" si="23"/>
        <v>2.1150273739984339E-9</v>
      </c>
      <c r="BT14" s="47">
        <f t="shared" si="23"/>
        <v>1.2091807523818622E-16</v>
      </c>
      <c r="BU14" s="50">
        <f t="shared" si="23"/>
        <v>-4.2993093418021776E-16</v>
      </c>
    </row>
    <row r="15" spans="2:73" ht="16.5" thickTop="1" thickBot="1" x14ac:dyDescent="0.3"/>
    <row r="16" spans="2:73" ht="16.5" thickTop="1" thickBot="1" x14ac:dyDescent="0.3">
      <c r="BM16" s="203"/>
    </row>
    <row r="17" spans="2:73" ht="30.75" customHeight="1" thickTop="1" thickBot="1" x14ac:dyDescent="0.3">
      <c r="B17" s="343" t="s">
        <v>46</v>
      </c>
      <c r="C17" s="344"/>
      <c r="D17" s="345"/>
      <c r="E17" s="147"/>
      <c r="F17" s="436" t="s">
        <v>68</v>
      </c>
      <c r="G17" s="347"/>
      <c r="H17" s="347"/>
      <c r="I17" s="347"/>
      <c r="J17" s="348"/>
    </row>
    <row r="18" spans="2:73" ht="16.5" customHeight="1" thickTop="1" thickBot="1" x14ac:dyDescent="0.3">
      <c r="B18" s="337" t="s">
        <v>70</v>
      </c>
      <c r="C18" s="338"/>
      <c r="D18" s="338"/>
      <c r="E18" s="338"/>
      <c r="F18" s="339"/>
      <c r="G18" s="311" t="s">
        <v>31</v>
      </c>
      <c r="H18" s="312"/>
      <c r="I18" s="312"/>
      <c r="J18" s="312"/>
      <c r="K18" s="165" t="s">
        <v>89</v>
      </c>
      <c r="L18" s="340" t="s">
        <v>21</v>
      </c>
      <c r="M18" s="341"/>
      <c r="N18" s="341"/>
      <c r="O18" s="341"/>
      <c r="P18" s="341"/>
      <c r="Q18" s="341"/>
      <c r="R18" s="294" t="s">
        <v>22</v>
      </c>
      <c r="S18" s="295"/>
      <c r="T18" s="295"/>
      <c r="U18" s="295"/>
      <c r="V18" s="296"/>
      <c r="W18" s="304" t="s">
        <v>44</v>
      </c>
      <c r="X18" s="305"/>
      <c r="Y18" s="305"/>
      <c r="Z18" s="305"/>
      <c r="AA18" s="305"/>
      <c r="AB18" s="305"/>
      <c r="AC18" s="305"/>
      <c r="AD18" s="305"/>
      <c r="AE18" s="305"/>
      <c r="AF18" s="165" t="s">
        <v>89</v>
      </c>
      <c r="AG18" s="300" t="s">
        <v>21</v>
      </c>
      <c r="AH18" s="301"/>
      <c r="AI18" s="301"/>
      <c r="AJ18" s="301"/>
      <c r="AK18" s="301"/>
      <c r="AL18" s="301"/>
      <c r="AM18" s="294" t="s">
        <v>22</v>
      </c>
      <c r="AN18" s="295"/>
      <c r="AO18" s="295"/>
      <c r="AP18" s="295"/>
      <c r="AQ18" s="296"/>
      <c r="AR18" s="304" t="s">
        <v>45</v>
      </c>
      <c r="AS18" s="305"/>
      <c r="AT18" s="305"/>
      <c r="AU18" s="305"/>
      <c r="AV18" s="305"/>
      <c r="AW18" s="305"/>
      <c r="AX18" s="305"/>
      <c r="AY18" s="305"/>
      <c r="AZ18" s="306"/>
      <c r="BA18" s="245" t="s">
        <v>89</v>
      </c>
      <c r="BB18" s="328" t="s">
        <v>21</v>
      </c>
      <c r="BC18" s="323"/>
      <c r="BD18" s="323"/>
      <c r="BE18" s="323"/>
      <c r="BF18" s="323"/>
      <c r="BG18" s="323"/>
      <c r="BH18" s="322" t="s">
        <v>22</v>
      </c>
      <c r="BI18" s="323"/>
      <c r="BJ18" s="323"/>
      <c r="BK18" s="323"/>
      <c r="BL18" s="324"/>
      <c r="BM18" s="328" t="s">
        <v>45</v>
      </c>
      <c r="BN18" s="323"/>
      <c r="BO18" s="323"/>
      <c r="BP18" s="323"/>
      <c r="BQ18" s="323"/>
      <c r="BR18" s="323"/>
      <c r="BS18" s="323"/>
      <c r="BT18" s="323"/>
      <c r="BU18" s="329"/>
    </row>
    <row r="19" spans="2:73" s="18" customFormat="1" ht="15" customHeight="1" thickBot="1" x14ac:dyDescent="0.3">
      <c r="B19" s="331" t="s">
        <v>81</v>
      </c>
      <c r="C19" s="333" t="s">
        <v>20</v>
      </c>
      <c r="D19" s="333" t="s">
        <v>90</v>
      </c>
      <c r="E19" s="437" t="s">
        <v>80</v>
      </c>
      <c r="F19" s="362" t="s">
        <v>1</v>
      </c>
      <c r="G19" s="314"/>
      <c r="H19" s="315"/>
      <c r="I19" s="315"/>
      <c r="J19" s="315"/>
      <c r="K19" s="399" t="s">
        <v>80</v>
      </c>
      <c r="L19" s="342"/>
      <c r="M19" s="342"/>
      <c r="N19" s="342"/>
      <c r="O19" s="342"/>
      <c r="P19" s="342"/>
      <c r="Q19" s="342"/>
      <c r="R19" s="297"/>
      <c r="S19" s="298"/>
      <c r="T19" s="298"/>
      <c r="U19" s="298"/>
      <c r="V19" s="299"/>
      <c r="W19" s="307"/>
      <c r="X19" s="307"/>
      <c r="Y19" s="307"/>
      <c r="Z19" s="307"/>
      <c r="AA19" s="307"/>
      <c r="AB19" s="307"/>
      <c r="AC19" s="307"/>
      <c r="AD19" s="307"/>
      <c r="AE19" s="307"/>
      <c r="AF19" s="399" t="s">
        <v>80</v>
      </c>
      <c r="AG19" s="302"/>
      <c r="AH19" s="303"/>
      <c r="AI19" s="303"/>
      <c r="AJ19" s="303"/>
      <c r="AK19" s="303"/>
      <c r="AL19" s="303"/>
      <c r="AM19" s="297"/>
      <c r="AN19" s="298"/>
      <c r="AO19" s="298"/>
      <c r="AP19" s="298"/>
      <c r="AQ19" s="299"/>
      <c r="AR19" s="307"/>
      <c r="AS19" s="307"/>
      <c r="AT19" s="307"/>
      <c r="AU19" s="307"/>
      <c r="AV19" s="307"/>
      <c r="AW19" s="307"/>
      <c r="AX19" s="307"/>
      <c r="AY19" s="307"/>
      <c r="AZ19" s="308"/>
      <c r="BA19" s="401" t="s">
        <v>80</v>
      </c>
      <c r="BB19" s="326"/>
      <c r="BC19" s="326"/>
      <c r="BD19" s="326"/>
      <c r="BE19" s="326"/>
      <c r="BF19" s="326"/>
      <c r="BG19" s="326"/>
      <c r="BH19" s="325"/>
      <c r="BI19" s="326"/>
      <c r="BJ19" s="326"/>
      <c r="BK19" s="326"/>
      <c r="BL19" s="327"/>
      <c r="BM19" s="326"/>
      <c r="BN19" s="326"/>
      <c r="BO19" s="326"/>
      <c r="BP19" s="326"/>
      <c r="BQ19" s="326"/>
      <c r="BR19" s="326"/>
      <c r="BS19" s="326"/>
      <c r="BT19" s="326"/>
      <c r="BU19" s="330"/>
    </row>
    <row r="20" spans="2:73" s="18" customFormat="1" ht="18" thickBot="1" x14ac:dyDescent="0.3">
      <c r="B20" s="332"/>
      <c r="C20" s="334"/>
      <c r="D20" s="334"/>
      <c r="E20" s="438"/>
      <c r="F20" s="435"/>
      <c r="G20" s="19" t="s">
        <v>29</v>
      </c>
      <c r="H20" s="20" t="s">
        <v>28</v>
      </c>
      <c r="I20" s="20" t="s">
        <v>30</v>
      </c>
      <c r="J20" s="176" t="s">
        <v>27</v>
      </c>
      <c r="K20" s="400"/>
      <c r="L20" s="29" t="s">
        <v>32</v>
      </c>
      <c r="M20" s="24" t="s">
        <v>34</v>
      </c>
      <c r="N20" s="24" t="s">
        <v>33</v>
      </c>
      <c r="O20" s="24" t="s">
        <v>35</v>
      </c>
      <c r="P20" s="24" t="s">
        <v>37</v>
      </c>
      <c r="Q20" s="30" t="s">
        <v>36</v>
      </c>
      <c r="R20" s="111" t="s">
        <v>38</v>
      </c>
      <c r="S20" s="22" t="s">
        <v>39</v>
      </c>
      <c r="T20" s="22" t="s">
        <v>40</v>
      </c>
      <c r="U20" s="22" t="s">
        <v>41</v>
      </c>
      <c r="V20" s="112" t="s">
        <v>42</v>
      </c>
      <c r="W20" s="25" t="s">
        <v>11</v>
      </c>
      <c r="X20" s="23" t="s">
        <v>13</v>
      </c>
      <c r="Y20" s="23" t="s">
        <v>23</v>
      </c>
      <c r="Z20" s="23" t="s">
        <v>24</v>
      </c>
      <c r="AA20" s="23" t="s">
        <v>12</v>
      </c>
      <c r="AB20" s="23" t="s">
        <v>25</v>
      </c>
      <c r="AC20" s="23" t="s">
        <v>26</v>
      </c>
      <c r="AD20" s="23" t="s">
        <v>10</v>
      </c>
      <c r="AE20" s="25" t="s">
        <v>9</v>
      </c>
      <c r="AF20" s="400"/>
      <c r="AG20" s="119" t="s">
        <v>32</v>
      </c>
      <c r="AH20" s="24" t="s">
        <v>34</v>
      </c>
      <c r="AI20" s="24" t="s">
        <v>33</v>
      </c>
      <c r="AJ20" s="24" t="s">
        <v>35</v>
      </c>
      <c r="AK20" s="24" t="s">
        <v>37</v>
      </c>
      <c r="AL20" s="30" t="s">
        <v>36</v>
      </c>
      <c r="AM20" s="111" t="s">
        <v>38</v>
      </c>
      <c r="AN20" s="22" t="s">
        <v>39</v>
      </c>
      <c r="AO20" s="22" t="s">
        <v>40</v>
      </c>
      <c r="AP20" s="22" t="s">
        <v>41</v>
      </c>
      <c r="AQ20" s="112" t="s">
        <v>42</v>
      </c>
      <c r="AR20" s="26" t="s">
        <v>11</v>
      </c>
      <c r="AS20" s="27" t="s">
        <v>13</v>
      </c>
      <c r="AT20" s="27" t="s">
        <v>23</v>
      </c>
      <c r="AU20" s="27" t="s">
        <v>24</v>
      </c>
      <c r="AV20" s="27" t="s">
        <v>12</v>
      </c>
      <c r="AW20" s="27" t="s">
        <v>25</v>
      </c>
      <c r="AX20" s="27" t="s">
        <v>26</v>
      </c>
      <c r="AY20" s="27" t="s">
        <v>10</v>
      </c>
      <c r="AZ20" s="120" t="s">
        <v>9</v>
      </c>
      <c r="BA20" s="402"/>
      <c r="BB20" s="34" t="s">
        <v>32</v>
      </c>
      <c r="BC20" s="33" t="s">
        <v>34</v>
      </c>
      <c r="BD20" s="33" t="s">
        <v>33</v>
      </c>
      <c r="BE20" s="33" t="s">
        <v>35</v>
      </c>
      <c r="BF20" s="33" t="s">
        <v>37</v>
      </c>
      <c r="BG20" s="34" t="s">
        <v>36</v>
      </c>
      <c r="BH20" s="103" t="s">
        <v>38</v>
      </c>
      <c r="BI20" s="33" t="s">
        <v>39</v>
      </c>
      <c r="BJ20" s="33" t="s">
        <v>40</v>
      </c>
      <c r="BK20" s="33" t="s">
        <v>41</v>
      </c>
      <c r="BL20" s="104" t="s">
        <v>42</v>
      </c>
      <c r="BM20" s="34" t="s">
        <v>11</v>
      </c>
      <c r="BN20" s="33" t="s">
        <v>13</v>
      </c>
      <c r="BO20" s="33" t="s">
        <v>23</v>
      </c>
      <c r="BP20" s="33" t="s">
        <v>24</v>
      </c>
      <c r="BQ20" s="33" t="s">
        <v>12</v>
      </c>
      <c r="BR20" s="33" t="s">
        <v>25</v>
      </c>
      <c r="BS20" s="33" t="s">
        <v>26</v>
      </c>
      <c r="BT20" s="33" t="s">
        <v>10</v>
      </c>
      <c r="BU20" s="35" t="s">
        <v>9</v>
      </c>
    </row>
    <row r="21" spans="2:73" x14ac:dyDescent="0.25">
      <c r="B21" s="84">
        <v>99</v>
      </c>
      <c r="C21" s="85">
        <v>50</v>
      </c>
      <c r="D21" s="85">
        <v>46</v>
      </c>
      <c r="E21" s="135">
        <f>B21/2</f>
        <v>49.5</v>
      </c>
      <c r="F21" s="155" t="s">
        <v>2</v>
      </c>
      <c r="G21" s="62"/>
      <c r="H21" s="8">
        <v>567</v>
      </c>
      <c r="I21" s="53"/>
      <c r="J21" s="54"/>
      <c r="K21" s="169">
        <f>B21/2</f>
        <v>49.5</v>
      </c>
      <c r="L21" s="78">
        <f>P21*100000</f>
        <v>27954.938629193181</v>
      </c>
      <c r="M21" s="65">
        <f>P21*10000</f>
        <v>2795.4938629193184</v>
      </c>
      <c r="N21" s="65">
        <f>P21*10</f>
        <v>2.7954938629193182</v>
      </c>
      <c r="O21" s="65">
        <f>P21*1000000</f>
        <v>279549.38629193185</v>
      </c>
      <c r="P21" s="65">
        <f>(((PI()*C21)/6)*((3*(SQRT((B21/2)^2-((B21/2)-D21)^2))^2)+(3*(SQRT((B21/2)^2-((B21/2)-D21-C21)^2))^2)+C21^2))/100^3</f>
        <v>0.27954938629193182</v>
      </c>
      <c r="Q21" s="66">
        <f>P21*1000</f>
        <v>279.5493862919318</v>
      </c>
      <c r="R21" s="113">
        <f>U21/0.45359237</f>
        <v>349442.61083475751</v>
      </c>
      <c r="S21" s="67">
        <f>U21*1000/31.1034768</f>
        <v>5096038.0746735474</v>
      </c>
      <c r="T21" s="67">
        <f>U21/1000</f>
        <v>158.50450202752535</v>
      </c>
      <c r="U21" s="67">
        <f>P21*1000*H21</f>
        <v>158504.50202752533</v>
      </c>
      <c r="V21" s="114">
        <f>U21*1000</f>
        <v>158504502.02752534</v>
      </c>
      <c r="W21" s="80">
        <f>AB21/100</f>
        <v>2.4114865208955255E-2</v>
      </c>
      <c r="X21" s="68">
        <f>AB21/4046.8564224</f>
        <v>5.9589129664881617E-4</v>
      </c>
      <c r="Y21" s="68">
        <f>AB21*10000</f>
        <v>24114.865208955252</v>
      </c>
      <c r="Z21" s="68">
        <f>AB21*100</f>
        <v>241.14865208955254</v>
      </c>
      <c r="AA21" s="68">
        <f>AB21/10000</f>
        <v>2.4114865208955255E-4</v>
      </c>
      <c r="AB21" s="68">
        <f>((PI()*(SQRT(E21^2-(E21-D21)^2))^2)+(PI()*(SQRT(E21^2-(E21-D21-C21)^2))^2)+(2*PI()*E21*C21))/100^2</f>
        <v>2.4114865208955254</v>
      </c>
      <c r="AC21" s="68">
        <f>AB21*1000000</f>
        <v>2411486.5208955253</v>
      </c>
      <c r="AD21" s="68">
        <f>AB21/144*10000/(2.54*2.54)</f>
        <v>25.957024882022431</v>
      </c>
      <c r="AE21" s="80">
        <f>AB21*10000/(2.54 *2.54)</f>
        <v>3737.8115830112301</v>
      </c>
      <c r="AF21" s="169">
        <v>49.5</v>
      </c>
      <c r="AG21" s="78">
        <v>27954.9</v>
      </c>
      <c r="AH21" s="65">
        <v>2795.49</v>
      </c>
      <c r="AI21" s="65">
        <v>2.79549</v>
      </c>
      <c r="AJ21" s="65">
        <v>279549</v>
      </c>
      <c r="AK21" s="65">
        <v>0.27954899999999999</v>
      </c>
      <c r="AL21" s="66">
        <v>279.54899999999998</v>
      </c>
      <c r="AM21" s="113">
        <v>349443</v>
      </c>
      <c r="AN21" s="67">
        <v>5096038</v>
      </c>
      <c r="AO21" s="67">
        <v>158.505</v>
      </c>
      <c r="AP21" s="67">
        <v>158505</v>
      </c>
      <c r="AQ21" s="114">
        <v>158504502</v>
      </c>
      <c r="AR21" s="121">
        <v>2.4114900000000002E-2</v>
      </c>
      <c r="AS21" s="121">
        <v>5.9589099999999998E-4</v>
      </c>
      <c r="AT21" s="68">
        <v>24114.9</v>
      </c>
      <c r="AU21" s="68">
        <v>241.149</v>
      </c>
      <c r="AV21" s="68">
        <v>2.4114899999999999E-4</v>
      </c>
      <c r="AW21" s="68">
        <v>2.4114900000000001</v>
      </c>
      <c r="AX21" s="68">
        <v>2411487</v>
      </c>
      <c r="AY21" s="68">
        <v>25.957000000000001</v>
      </c>
      <c r="AZ21" s="216">
        <v>3737.81</v>
      </c>
      <c r="BA21" s="246">
        <f>(K21-AF21)/K21</f>
        <v>0</v>
      </c>
      <c r="BB21" s="38">
        <f t="shared" ref="BB21:BU21" si="24">(L21-AG21)/L21</f>
        <v>1.3818378817235641E-6</v>
      </c>
      <c r="BC21" s="37">
        <f t="shared" si="24"/>
        <v>1.3818378819838384E-6</v>
      </c>
      <c r="BD21" s="37">
        <f t="shared" si="24"/>
        <v>1.3818378818275213E-6</v>
      </c>
      <c r="BE21" s="37">
        <f t="shared" si="24"/>
        <v>1.3818378819317834E-6</v>
      </c>
      <c r="BF21" s="37">
        <f t="shared" si="24"/>
        <v>1.3818378818672359E-6</v>
      </c>
      <c r="BG21" s="38">
        <f t="shared" si="24"/>
        <v>1.381837881821167E-6</v>
      </c>
      <c r="BH21" s="105">
        <f t="shared" si="24"/>
        <v>-1.1136742641773719E-6</v>
      </c>
      <c r="BI21" s="39">
        <f t="shared" si="24"/>
        <v>1.4653255394732985E-8</v>
      </c>
      <c r="BJ21" s="39">
        <f t="shared" si="24"/>
        <v>-3.1416929379153627E-6</v>
      </c>
      <c r="BK21" s="39">
        <f t="shared" si="24"/>
        <v>-3.1416929380329914E-6</v>
      </c>
      <c r="BL21" s="106">
        <f t="shared" si="24"/>
        <v>1.7365649049847351E-10</v>
      </c>
      <c r="BM21" s="38">
        <f t="shared" si="24"/>
        <v>-1.4427219246325433E-6</v>
      </c>
      <c r="BN21" s="37">
        <f t="shared" si="24"/>
        <v>4.9782371022516714E-7</v>
      </c>
      <c r="BO21" s="37">
        <f t="shared" si="24"/>
        <v>-1.4427219247354314E-6</v>
      </c>
      <c r="BP21" s="37">
        <f t="shared" si="24"/>
        <v>-1.4427219246081426E-6</v>
      </c>
      <c r="BQ21" s="37">
        <f t="shared" si="24"/>
        <v>-1.4427219245291356E-6</v>
      </c>
      <c r="BR21" s="37">
        <f t="shared" si="24"/>
        <v>-1.4427219246670726E-6</v>
      </c>
      <c r="BS21" s="37">
        <f t="shared" si="24"/>
        <v>-1.9867599113705151E-7</v>
      </c>
      <c r="BT21" s="37">
        <f t="shared" si="24"/>
        <v>9.5858529793370808E-7</v>
      </c>
      <c r="BU21" s="40">
        <f t="shared" si="24"/>
        <v>4.2351284837109357E-7</v>
      </c>
    </row>
    <row r="22" spans="2:73" x14ac:dyDescent="0.25">
      <c r="B22" s="86">
        <v>19</v>
      </c>
      <c r="C22" s="87">
        <v>7</v>
      </c>
      <c r="D22" s="87">
        <v>6</v>
      </c>
      <c r="E22" s="184">
        <f t="shared" ref="E22:E28" si="25">B22/2</f>
        <v>9.5</v>
      </c>
      <c r="F22" s="156" t="s">
        <v>3</v>
      </c>
      <c r="G22" s="59"/>
      <c r="H22" s="58"/>
      <c r="I22" s="4">
        <v>355</v>
      </c>
      <c r="J22" s="55"/>
      <c r="K22" s="167">
        <f t="shared" ref="K22:K28" si="26">B22/2</f>
        <v>9.5</v>
      </c>
      <c r="L22" s="69">
        <f t="shared" ref="L22:L28" si="27">P22*100000</f>
        <v>5365770.4993636981</v>
      </c>
      <c r="M22" s="70">
        <f t="shared" ref="M22:M28" si="28">P22*10000</f>
        <v>536577.04993636988</v>
      </c>
      <c r="N22" s="70">
        <f t="shared" ref="N22:N28" si="29">P22*10</f>
        <v>536.5770499363698</v>
      </c>
      <c r="O22" s="70">
        <f t="shared" ref="O22:O28" si="30">P22*1000000</f>
        <v>53657704.993636981</v>
      </c>
      <c r="P22" s="70">
        <f>(((PI()*C22)/6)*((3*(SQRT((B22/2)^2-((B22/2)-D22)^2))^2)+(3*(SQRT((B22/2)^2-((B22/2)-D22-C22)^2))^2)+C22^2))*0.3048^3</f>
        <v>53.657704993636983</v>
      </c>
      <c r="Q22" s="71">
        <f t="shared" ref="Q22:Q28" si="31">P22*1000</f>
        <v>53657.70499363698</v>
      </c>
      <c r="R22" s="115">
        <f t="shared" ref="R22:R28" si="32">U22/0.45359237</f>
        <v>672690.90895603655</v>
      </c>
      <c r="S22" s="72">
        <f t="shared" ref="S22:S28" si="33">U22*1000/31.1034768</f>
        <v>9810075.7556088679</v>
      </c>
      <c r="T22" s="72">
        <f t="shared" ref="T22:T28" si="34">U22/1000</f>
        <v>305.12746367082286</v>
      </c>
      <c r="U22" s="72">
        <f>P22*(0.45359237/0.3048^3)*I22</f>
        <v>305127.46367082285</v>
      </c>
      <c r="V22" s="116">
        <f t="shared" ref="V22:V28" si="35">U22*1000</f>
        <v>305127463.67082286</v>
      </c>
      <c r="W22" s="81">
        <f t="shared" ref="W22:W28" si="36">AB22/100</f>
        <v>0.8434855380048587</v>
      </c>
      <c r="X22" s="73">
        <f t="shared" ref="X22:X28" si="37">AB22/4046.8564224</f>
        <v>2.0842981563072779E-2</v>
      </c>
      <c r="Y22" s="73">
        <f t="shared" ref="Y22:Y28" si="38">AB22*10000</f>
        <v>843485.53800485877</v>
      </c>
      <c r="Z22" s="73">
        <f t="shared" ref="Z22:Z28" si="39">AB22*100</f>
        <v>8434.8553800485879</v>
      </c>
      <c r="AA22" s="73">
        <f t="shared" ref="AA22:AA28" si="40">AB22/10000</f>
        <v>8.4348553800485879E-3</v>
      </c>
      <c r="AB22" s="73">
        <f>((PI()*(SQRT(E22^2-(E22-D22)^2))^2)+(PI()*(SQRT(E22^2-(E22-D22-C22)^2))^2)+(2*PI()*E22*C22))*0.3048^2</f>
        <v>84.348553800485874</v>
      </c>
      <c r="AC22" s="73">
        <f t="shared" ref="AC22:AC28" si="41">AB22*1000000</f>
        <v>84348553.800485879</v>
      </c>
      <c r="AD22" s="73">
        <f t="shared" ref="AD22:AD28" si="42">AB22/144*10000/(2.54*2.54)</f>
        <v>907.9202768874502</v>
      </c>
      <c r="AE22" s="81">
        <f t="shared" ref="AE22:AE28" si="43">AB22*10000/(2.54 *2.54)</f>
        <v>130740.51987179286</v>
      </c>
      <c r="AF22" s="167">
        <v>9.5</v>
      </c>
      <c r="AG22" s="69">
        <v>5365770</v>
      </c>
      <c r="AH22" s="70">
        <v>536577</v>
      </c>
      <c r="AI22" s="70">
        <v>536.577</v>
      </c>
      <c r="AJ22" s="70">
        <v>53657705</v>
      </c>
      <c r="AK22" s="70">
        <v>53.657699999999998</v>
      </c>
      <c r="AL22" s="71">
        <v>53657.7</v>
      </c>
      <c r="AM22" s="115">
        <v>672691</v>
      </c>
      <c r="AN22" s="72">
        <v>9810076</v>
      </c>
      <c r="AO22" s="72">
        <v>305.12700000000001</v>
      </c>
      <c r="AP22" s="72">
        <v>305127</v>
      </c>
      <c r="AQ22" s="116">
        <v>305127464</v>
      </c>
      <c r="AR22" s="123">
        <v>0.84348599999999996</v>
      </c>
      <c r="AS22" s="123">
        <v>2.0843E-2</v>
      </c>
      <c r="AT22" s="73">
        <v>843486</v>
      </c>
      <c r="AU22" s="73">
        <v>8434.86</v>
      </c>
      <c r="AV22" s="73">
        <v>8.4348600000000006E-3</v>
      </c>
      <c r="AW22" s="73">
        <v>84.348600000000005</v>
      </c>
      <c r="AX22" s="73">
        <v>84348554</v>
      </c>
      <c r="AY22" s="73">
        <v>907.92</v>
      </c>
      <c r="AZ22" s="218">
        <v>130741</v>
      </c>
      <c r="BA22" s="247">
        <f t="shared" ref="BA22:BA28" si="44">(K22-AF22)/K22</f>
        <v>0</v>
      </c>
      <c r="BB22" s="43">
        <f t="shared" ref="BB22:BG28" si="45">(L22-AG22)/L22</f>
        <v>9.3064676941456616E-8</v>
      </c>
      <c r="BC22" s="42">
        <f t="shared" si="45"/>
        <v>9.306467707163212E-8</v>
      </c>
      <c r="BD22" s="42">
        <f t="shared" si="45"/>
        <v>9.3064676939422625E-8</v>
      </c>
      <c r="BE22" s="42">
        <f t="shared" si="45"/>
        <v>-1.1858538019740908E-10</v>
      </c>
      <c r="BF22" s="42">
        <f t="shared" si="45"/>
        <v>9.3064677018875454E-8</v>
      </c>
      <c r="BG22" s="43">
        <f t="shared" si="45"/>
        <v>9.3064676990272435E-8</v>
      </c>
      <c r="BH22" s="107">
        <f t="shared" ref="BH22:BH28" si="46">(R22-AM22)/R22</f>
        <v>-1.3534293720064528E-7</v>
      </c>
      <c r="BI22" s="44">
        <f t="shared" ref="BI22:BU28" si="47">(S22-AN22)/S22</f>
        <v>-2.4912257380519259E-8</v>
      </c>
      <c r="BJ22" s="44">
        <f t="shared" si="47"/>
        <v>1.5195971456484911E-6</v>
      </c>
      <c r="BK22" s="44">
        <f t="shared" si="47"/>
        <v>1.5195971456380586E-6</v>
      </c>
      <c r="BL22" s="108">
        <f t="shared" si="47"/>
        <v>-1.0788184623875666E-9</v>
      </c>
      <c r="BM22" s="43">
        <f t="shared" si="47"/>
        <v>-5.4772147291003486E-7</v>
      </c>
      <c r="BN22" s="42">
        <f t="shared" si="47"/>
        <v>-8.8456285225992752E-7</v>
      </c>
      <c r="BO22" s="42">
        <f t="shared" si="47"/>
        <v>-5.477214728829099E-7</v>
      </c>
      <c r="BP22" s="42">
        <f t="shared" si="47"/>
        <v>-5.4772147292604019E-7</v>
      </c>
      <c r="BQ22" s="42">
        <f t="shared" si="47"/>
        <v>-5.4772147293471412E-7</v>
      </c>
      <c r="BR22" s="42">
        <f t="shared" si="47"/>
        <v>-5.4772147297321399E-7</v>
      </c>
      <c r="BS22" s="42">
        <f t="shared" si="47"/>
        <v>-2.3653531901578991E-9</v>
      </c>
      <c r="BT22" s="42">
        <f t="shared" si="47"/>
        <v>3.0496890232479817E-7</v>
      </c>
      <c r="BU22" s="45">
        <f t="shared" si="47"/>
        <v>-3.6723749271682588E-6</v>
      </c>
    </row>
    <row r="23" spans="2:73" x14ac:dyDescent="0.25">
      <c r="B23" s="86">
        <v>190</v>
      </c>
      <c r="C23" s="87">
        <v>67</v>
      </c>
      <c r="D23" s="87">
        <v>23</v>
      </c>
      <c r="E23" s="184">
        <f t="shared" si="25"/>
        <v>95</v>
      </c>
      <c r="F23" s="156" t="s">
        <v>4</v>
      </c>
      <c r="G23" s="59"/>
      <c r="H23" s="56"/>
      <c r="I23" s="56"/>
      <c r="J23" s="14">
        <v>299</v>
      </c>
      <c r="K23" s="167">
        <f t="shared" si="26"/>
        <v>95</v>
      </c>
      <c r="L23" s="69">
        <f t="shared" si="27"/>
        <v>2472658.910557624</v>
      </c>
      <c r="M23" s="70">
        <f t="shared" si="28"/>
        <v>247265.89105576239</v>
      </c>
      <c r="N23" s="70">
        <f t="shared" si="29"/>
        <v>247.26589105576238</v>
      </c>
      <c r="O23" s="70">
        <f t="shared" si="30"/>
        <v>24726589.10557624</v>
      </c>
      <c r="P23" s="70">
        <f>(((PI()*C23)/6)*((3*(SQRT((B23/2)^2-((B23/2)-D23)^2))^2)+(3*(SQRT((B23/2)^2-((B23/2)-D23-C23)^2))^2)+C23^2))*(2.54/100)^3</f>
        <v>24.726589105576238</v>
      </c>
      <c r="Q23" s="71">
        <f t="shared" si="31"/>
        <v>24726.589105576237</v>
      </c>
      <c r="R23" s="115">
        <f t="shared" si="32"/>
        <v>16299326.513290543</v>
      </c>
      <c r="S23" s="72">
        <f t="shared" si="33"/>
        <v>237698511.65215379</v>
      </c>
      <c r="T23" s="72">
        <f t="shared" si="34"/>
        <v>7393.2501425672945</v>
      </c>
      <c r="U23" s="72">
        <f>P23*1000*J23</f>
        <v>7393250.1425672946</v>
      </c>
      <c r="V23" s="116">
        <f t="shared" si="35"/>
        <v>7393250142.5672951</v>
      </c>
      <c r="W23" s="81">
        <f t="shared" si="36"/>
        <v>0.51828067792008459</v>
      </c>
      <c r="X23" s="73">
        <f t="shared" si="37"/>
        <v>1.2806994462450354E-2</v>
      </c>
      <c r="Y23" s="73">
        <f t="shared" si="38"/>
        <v>518280.67792008456</v>
      </c>
      <c r="Z23" s="73">
        <f t="shared" si="39"/>
        <v>5182.8067792008451</v>
      </c>
      <c r="AA23" s="73">
        <f t="shared" si="40"/>
        <v>5.1828067792008452E-3</v>
      </c>
      <c r="AB23" s="73">
        <f>((PI()*(SQRT(E23^2-(E23-D23)^2))^2)+(PI()*(SQRT(E23^2-(E23-D23-C23)^2))^2)+(2*PI()*E23*C23))*(2.54/100)^2</f>
        <v>51.828067792008454</v>
      </c>
      <c r="AC23" s="73">
        <f t="shared" si="41"/>
        <v>51828067.792008452</v>
      </c>
      <c r="AD23" s="73">
        <f t="shared" si="42"/>
        <v>557.8726787843375</v>
      </c>
      <c r="AE23" s="81">
        <f t="shared" si="43"/>
        <v>80333.665744944592</v>
      </c>
      <c r="AF23" s="167">
        <v>95</v>
      </c>
      <c r="AG23" s="69">
        <v>2472659</v>
      </c>
      <c r="AH23" s="70">
        <v>247266</v>
      </c>
      <c r="AI23" s="70">
        <v>247.26599999999999</v>
      </c>
      <c r="AJ23" s="70">
        <v>24726589</v>
      </c>
      <c r="AK23" s="70">
        <v>24.726600000000001</v>
      </c>
      <c r="AL23" s="71">
        <v>24726.6</v>
      </c>
      <c r="AM23" s="115">
        <v>16299327</v>
      </c>
      <c r="AN23" s="72">
        <v>237698512</v>
      </c>
      <c r="AO23" s="72">
        <v>7393.25</v>
      </c>
      <c r="AP23" s="72">
        <v>7393250</v>
      </c>
      <c r="AQ23" s="116">
        <v>7393250143</v>
      </c>
      <c r="AR23" s="123">
        <v>0.51828099999999999</v>
      </c>
      <c r="AS23" s="123">
        <v>1.2807000000000001E-2</v>
      </c>
      <c r="AT23" s="73">
        <v>518281</v>
      </c>
      <c r="AU23" s="73">
        <v>5182.8100000000004</v>
      </c>
      <c r="AV23" s="73">
        <v>5.1828100000000004E-3</v>
      </c>
      <c r="AW23" s="73">
        <v>51.828099999999999</v>
      </c>
      <c r="AX23" s="73">
        <v>51828068</v>
      </c>
      <c r="AY23" s="73">
        <v>557.87300000000005</v>
      </c>
      <c r="AZ23" s="218">
        <v>80333.7</v>
      </c>
      <c r="BA23" s="247">
        <f t="shared" si="44"/>
        <v>0</v>
      </c>
      <c r="BB23" s="43">
        <f t="shared" si="45"/>
        <v>-3.617254917994417E-8</v>
      </c>
      <c r="BC23" s="42">
        <f t="shared" si="45"/>
        <v>-4.4059549477444665E-7</v>
      </c>
      <c r="BD23" s="42">
        <f t="shared" si="45"/>
        <v>-4.4059549477168802E-7</v>
      </c>
      <c r="BE23" s="42">
        <f t="shared" si="45"/>
        <v>4.2697453771520268E-9</v>
      </c>
      <c r="BF23" s="42">
        <f t="shared" si="45"/>
        <v>-4.4059549485789591E-7</v>
      </c>
      <c r="BG23" s="43">
        <f t="shared" si="45"/>
        <v>-4.405954948038723E-7</v>
      </c>
      <c r="BH23" s="107">
        <f t="shared" si="46"/>
        <v>-2.9860709673737525E-8</v>
      </c>
      <c r="BI23" s="44">
        <f t="shared" si="47"/>
        <v>-1.4633924612533321E-9</v>
      </c>
      <c r="BJ23" s="44">
        <f t="shared" si="47"/>
        <v>1.928343985546506E-8</v>
      </c>
      <c r="BK23" s="44">
        <f t="shared" si="47"/>
        <v>1.9283439881052575E-8</v>
      </c>
      <c r="BL23" s="108">
        <f t="shared" si="47"/>
        <v>-5.8527023594910207E-11</v>
      </c>
      <c r="BM23" s="43">
        <f t="shared" si="47"/>
        <v>-6.2143917210499249E-7</v>
      </c>
      <c r="BN23" s="42">
        <f t="shared" si="47"/>
        <v>-4.3238479273922241E-7</v>
      </c>
      <c r="BO23" s="42">
        <f t="shared" si="47"/>
        <v>-6.2143917216720674E-7</v>
      </c>
      <c r="BP23" s="42">
        <f t="shared" si="47"/>
        <v>-6.214391723497092E-7</v>
      </c>
      <c r="BQ23" s="42">
        <f t="shared" si="47"/>
        <v>-6.2143917231920521E-7</v>
      </c>
      <c r="BR23" s="42">
        <f t="shared" si="47"/>
        <v>-6.214391721906776E-7</v>
      </c>
      <c r="BS23" s="42">
        <f t="shared" si="47"/>
        <v>-4.0131063484220389E-9</v>
      </c>
      <c r="BT23" s="42">
        <f t="shared" si="47"/>
        <v>-5.7578668891303105E-7</v>
      </c>
      <c r="BU23" s="45">
        <f t="shared" si="47"/>
        <v>-4.2640971362916785E-7</v>
      </c>
    </row>
    <row r="24" spans="2:73" x14ac:dyDescent="0.25">
      <c r="B24" s="86">
        <v>450</v>
      </c>
      <c r="C24" s="87">
        <v>77</v>
      </c>
      <c r="D24" s="87">
        <v>34</v>
      </c>
      <c r="E24" s="184">
        <f t="shared" si="25"/>
        <v>225</v>
      </c>
      <c r="F24" s="156" t="s">
        <v>5</v>
      </c>
      <c r="G24" s="11">
        <v>690</v>
      </c>
      <c r="H24" s="56"/>
      <c r="I24" s="56"/>
      <c r="J24" s="57"/>
      <c r="K24" s="167">
        <f t="shared" si="26"/>
        <v>225</v>
      </c>
      <c r="L24" s="69">
        <f t="shared" si="27"/>
        <v>650105266331.09363</v>
      </c>
      <c r="M24" s="70">
        <f t="shared" si="28"/>
        <v>65010526633.10936</v>
      </c>
      <c r="N24" s="70">
        <f t="shared" si="29"/>
        <v>65010526.633109361</v>
      </c>
      <c r="O24" s="70">
        <f t="shared" si="30"/>
        <v>6501052663310.9355</v>
      </c>
      <c r="P24" s="70">
        <f>((PI()*C24)/6)*((3*(SQRT((B24/2)^2-((B24/2)-D24)^2))^2)+(3*(SQRT((B24/2)^2-((B24/2)-D24-C24)^2))^2)+C24^2)</f>
        <v>6501052.6633109357</v>
      </c>
      <c r="Q24" s="71">
        <f t="shared" si="31"/>
        <v>6501052663.310936</v>
      </c>
      <c r="R24" s="115">
        <f t="shared" si="32"/>
        <v>9889333759.4822102</v>
      </c>
      <c r="S24" s="72">
        <f t="shared" si="33"/>
        <v>144219450659.11557</v>
      </c>
      <c r="T24" s="72">
        <f t="shared" si="34"/>
        <v>4485726.3376845457</v>
      </c>
      <c r="U24" s="72">
        <f>P24*G24</f>
        <v>4485726337.6845455</v>
      </c>
      <c r="V24" s="116">
        <f t="shared" si="35"/>
        <v>4485726337684.5459</v>
      </c>
      <c r="W24" s="81">
        <f t="shared" si="36"/>
        <v>2715.058619011907</v>
      </c>
      <c r="X24" s="73">
        <f t="shared" si="37"/>
        <v>67.090559575665239</v>
      </c>
      <c r="Y24" s="73">
        <f t="shared" si="38"/>
        <v>2715058619.0119071</v>
      </c>
      <c r="Z24" s="73">
        <f t="shared" si="39"/>
        <v>27150586.190119073</v>
      </c>
      <c r="AA24" s="73">
        <f t="shared" si="40"/>
        <v>27.150586190119071</v>
      </c>
      <c r="AB24" s="73">
        <f>(PI()*(SQRT(E24^2-(E24-D24)^2))^2)+(PI()*(SQRT(E24^2-(E24-D24-C24)^2))^2)+(2*PI()*E24*C24)</f>
        <v>271505.86190119071</v>
      </c>
      <c r="AC24" s="73">
        <f t="shared" si="41"/>
        <v>271505861901.1907</v>
      </c>
      <c r="AD24" s="73">
        <f t="shared" si="42"/>
        <v>2922464.775115978</v>
      </c>
      <c r="AE24" s="81">
        <f t="shared" si="43"/>
        <v>420834927.61670083</v>
      </c>
      <c r="AF24" s="167">
        <v>225</v>
      </c>
      <c r="AG24" s="69">
        <v>650105266331</v>
      </c>
      <c r="AH24" s="70">
        <v>65010526633</v>
      </c>
      <c r="AI24" s="70">
        <v>65010527</v>
      </c>
      <c r="AJ24" s="70">
        <v>6501052663311</v>
      </c>
      <c r="AK24" s="70">
        <v>6501053</v>
      </c>
      <c r="AL24" s="71">
        <v>6501052663</v>
      </c>
      <c r="AM24" s="115">
        <v>9889333759</v>
      </c>
      <c r="AN24" s="72">
        <v>144219450659</v>
      </c>
      <c r="AO24" s="72">
        <v>4485726</v>
      </c>
      <c r="AP24" s="72">
        <v>4485726338</v>
      </c>
      <c r="AQ24" s="116">
        <v>4485726337685</v>
      </c>
      <c r="AR24" s="123">
        <v>2715.06</v>
      </c>
      <c r="AS24" s="123">
        <v>67.090599999999995</v>
      </c>
      <c r="AT24" s="73">
        <v>2715058619</v>
      </c>
      <c r="AU24" s="73">
        <v>27150586</v>
      </c>
      <c r="AV24" s="73">
        <v>27.150600000000001</v>
      </c>
      <c r="AW24" s="73">
        <v>271506</v>
      </c>
      <c r="AX24" s="73">
        <v>271505861901</v>
      </c>
      <c r="AY24" s="73">
        <v>2922465</v>
      </c>
      <c r="AZ24" s="218">
        <v>420834928</v>
      </c>
      <c r="BA24" s="247">
        <f t="shared" si="44"/>
        <v>0</v>
      </c>
      <c r="BB24" s="43">
        <f t="shared" si="45"/>
        <v>1.4401964502748084E-13</v>
      </c>
      <c r="BC24" s="42">
        <f t="shared" si="45"/>
        <v>1.6821851302346077E-12</v>
      </c>
      <c r="BD24" s="42">
        <f t="shared" si="45"/>
        <v>-5.6435574062838242E-9</v>
      </c>
      <c r="BE24" s="42">
        <f t="shared" si="45"/>
        <v>-9.9142597880716945E-15</v>
      </c>
      <c r="BF24" s="42">
        <f t="shared" si="45"/>
        <v>-5.1789930295338591E-8</v>
      </c>
      <c r="BG24" s="43">
        <f t="shared" si="45"/>
        <v>4.7828557961986494E-11</v>
      </c>
      <c r="BH24" s="107">
        <f t="shared" si="46"/>
        <v>4.8760631507597694E-11</v>
      </c>
      <c r="BI24" s="44">
        <f t="shared" si="47"/>
        <v>8.0134869347507288E-13</v>
      </c>
      <c r="BJ24" s="44">
        <f t="shared" si="47"/>
        <v>7.5279791999145075E-8</v>
      </c>
      <c r="BK24" s="44">
        <f t="shared" si="47"/>
        <v>-7.0324058866921147E-11</v>
      </c>
      <c r="BL24" s="108">
        <f t="shared" si="47"/>
        <v>-1.0123256041838685E-13</v>
      </c>
      <c r="BM24" s="43">
        <f t="shared" si="47"/>
        <v>-5.0864024933485614E-7</v>
      </c>
      <c r="BN24" s="42">
        <f t="shared" si="47"/>
        <v>-6.0253387379261161E-7</v>
      </c>
      <c r="BO24" s="42">
        <f t="shared" si="47"/>
        <v>4.385577752948698E-12</v>
      </c>
      <c r="BP24" s="42">
        <f t="shared" si="47"/>
        <v>7.0023929304371479E-9</v>
      </c>
      <c r="BQ24" s="42">
        <f t="shared" si="47"/>
        <v>-5.0864024934009017E-7</v>
      </c>
      <c r="BR24" s="42">
        <f t="shared" si="47"/>
        <v>-5.0864024930805761E-7</v>
      </c>
      <c r="BS24" s="42">
        <f t="shared" si="47"/>
        <v>7.0239494782078826E-13</v>
      </c>
      <c r="BT24" s="42">
        <f t="shared" si="47"/>
        <v>-7.6950122356335184E-8</v>
      </c>
      <c r="BU24" s="45">
        <f t="shared" si="47"/>
        <v>-9.1080646298850567E-10</v>
      </c>
    </row>
    <row r="25" spans="2:73" x14ac:dyDescent="0.25">
      <c r="B25" s="86">
        <v>77</v>
      </c>
      <c r="C25" s="87">
        <v>34</v>
      </c>
      <c r="D25" s="87">
        <v>7</v>
      </c>
      <c r="E25" s="184">
        <f t="shared" si="25"/>
        <v>38.5</v>
      </c>
      <c r="F25" s="156" t="s">
        <v>6</v>
      </c>
      <c r="G25" s="59"/>
      <c r="H25" s="4">
        <v>348</v>
      </c>
      <c r="I25" s="58"/>
      <c r="J25" s="55"/>
      <c r="K25" s="167">
        <f t="shared" si="26"/>
        <v>38.5</v>
      </c>
      <c r="L25" s="69">
        <f t="shared" si="27"/>
        <v>5.2343125346158019E+19</v>
      </c>
      <c r="M25" s="70">
        <f t="shared" si="28"/>
        <v>5.2343125346158019E+18</v>
      </c>
      <c r="N25" s="70">
        <f t="shared" si="29"/>
        <v>5234312534615802</v>
      </c>
      <c r="O25" s="70">
        <f t="shared" si="30"/>
        <v>5.2343125346158019E+20</v>
      </c>
      <c r="P25" s="70">
        <f>(((PI()*C25)/6)*((3*(SQRT((B25/2)^2-((B25/2)-D25)^2))^2)+(3*(SQRT((B25/2)^2-((B25/2)-D25-C25)^2))^2)+C25^2))*(63360*2.54/100)^3</f>
        <v>523431253461580.19</v>
      </c>
      <c r="Q25" s="71">
        <f t="shared" si="31"/>
        <v>5.2343125346158016E+17</v>
      </c>
      <c r="R25" s="115">
        <f t="shared" si="32"/>
        <v>4.0158099706269283E+20</v>
      </c>
      <c r="S25" s="72">
        <f t="shared" si="33"/>
        <v>5.856389540497604E+21</v>
      </c>
      <c r="T25" s="72">
        <f t="shared" si="34"/>
        <v>1.8215407620462989E+17</v>
      </c>
      <c r="U25" s="72">
        <f>P25*1000*H25</f>
        <v>1.8215407620462988E+20</v>
      </c>
      <c r="V25" s="116">
        <f t="shared" si="35"/>
        <v>1.8215407620462988E+23</v>
      </c>
      <c r="W25" s="81">
        <f t="shared" si="36"/>
        <v>372985760.51530784</v>
      </c>
      <c r="X25" s="73">
        <f t="shared" si="37"/>
        <v>9216678.8633955922</v>
      </c>
      <c r="Y25" s="73">
        <f t="shared" si="38"/>
        <v>372985760515307.87</v>
      </c>
      <c r="Z25" s="73">
        <f t="shared" si="39"/>
        <v>3729857605153.0786</v>
      </c>
      <c r="AA25" s="73">
        <f t="shared" si="40"/>
        <v>3729857.6051530787</v>
      </c>
      <c r="AB25" s="73">
        <f>((PI()*(SQRT(E25^2-(E25-D25)^2))^2)+(PI()*(SQRT(E25^2-(E25-D25-C25)^2))^2)+(2*PI()*E25*C25))*(63360*2.54/100)^2</f>
        <v>37298576051.530785</v>
      </c>
      <c r="AC25" s="73">
        <f t="shared" si="41"/>
        <v>3.7298576051530784E+16</v>
      </c>
      <c r="AD25" s="73">
        <f t="shared" si="42"/>
        <v>401478531289.51196</v>
      </c>
      <c r="AE25" s="81">
        <f t="shared" si="43"/>
        <v>57812908505689.734</v>
      </c>
      <c r="AF25" s="167">
        <v>38.5</v>
      </c>
      <c r="AG25" s="69">
        <v>5.2343125346158002E+19</v>
      </c>
      <c r="AH25" s="70">
        <v>5.2343125346157998E+18</v>
      </c>
      <c r="AI25" s="70">
        <v>5234312534615800</v>
      </c>
      <c r="AJ25" s="70">
        <v>5.2343125346157999E+20</v>
      </c>
      <c r="AK25" s="70">
        <v>523431253461580</v>
      </c>
      <c r="AL25" s="71">
        <v>5.2343125346158003E+17</v>
      </c>
      <c r="AM25" s="115">
        <v>4.0158099706269303E+20</v>
      </c>
      <c r="AN25" s="72">
        <v>5.8563895404976102E+21</v>
      </c>
      <c r="AO25" s="72">
        <v>1.8215407620463002E+17</v>
      </c>
      <c r="AP25" s="72">
        <v>1.8215407620463002E+20</v>
      </c>
      <c r="AQ25" s="116">
        <v>1.8215407620463001E+23</v>
      </c>
      <c r="AR25" s="123">
        <v>372985761</v>
      </c>
      <c r="AS25" s="123">
        <v>9216679</v>
      </c>
      <c r="AT25" s="73">
        <v>372985760515308</v>
      </c>
      <c r="AU25" s="73">
        <v>3729857605153</v>
      </c>
      <c r="AV25" s="73">
        <v>3729858</v>
      </c>
      <c r="AW25" s="73">
        <v>37298576052</v>
      </c>
      <c r="AX25" s="73">
        <v>3.72985760515308E+16</v>
      </c>
      <c r="AY25" s="73">
        <v>401478531290</v>
      </c>
      <c r="AZ25" s="218">
        <v>57812908505690</v>
      </c>
      <c r="BA25" s="247">
        <f t="shared" si="44"/>
        <v>0</v>
      </c>
      <c r="BB25" s="43">
        <f t="shared" si="45"/>
        <v>3.1301149657473756E-16</v>
      </c>
      <c r="BC25" s="42">
        <f t="shared" si="45"/>
        <v>3.9126437071842196E-16</v>
      </c>
      <c r="BD25" s="42">
        <f t="shared" si="45"/>
        <v>3.8209411202970895E-16</v>
      </c>
      <c r="BE25" s="42">
        <f t="shared" si="45"/>
        <v>3.7561379588968508E-16</v>
      </c>
      <c r="BF25" s="42">
        <f t="shared" si="45"/>
        <v>3.5821323002785213E-16</v>
      </c>
      <c r="BG25" s="43">
        <f t="shared" si="45"/>
        <v>2.4454023169901374E-16</v>
      </c>
      <c r="BH25" s="107">
        <f t="shared" si="46"/>
        <v>-4.895849192020073E-16</v>
      </c>
      <c r="BI25" s="44">
        <f t="shared" si="47"/>
        <v>-1.0742891941346903E-15</v>
      </c>
      <c r="BJ25" s="44">
        <f t="shared" si="47"/>
        <v>-7.0270181522705096E-16</v>
      </c>
      <c r="BK25" s="44">
        <f t="shared" si="47"/>
        <v>-7.1956665879250026E-16</v>
      </c>
      <c r="BL25" s="108">
        <f t="shared" si="47"/>
        <v>-7.368362586035203E-16</v>
      </c>
      <c r="BM25" s="43">
        <f t="shared" si="47"/>
        <v>-1.2994923871764199E-9</v>
      </c>
      <c r="BN25" s="42">
        <f t="shared" si="47"/>
        <v>-1.4821435120708611E-8</v>
      </c>
      <c r="BO25" s="42">
        <f t="shared" si="47"/>
        <v>-3.3513343733901021E-16</v>
      </c>
      <c r="BP25" s="42">
        <f t="shared" si="47"/>
        <v>2.1076751332648689E-14</v>
      </c>
      <c r="BQ25" s="42">
        <f t="shared" si="47"/>
        <v>-1.058611247720272E-7</v>
      </c>
      <c r="BR25" s="42">
        <f t="shared" si="47"/>
        <v>-1.2579981402457561E-11</v>
      </c>
      <c r="BS25" s="42">
        <f t="shared" si="47"/>
        <v>-4.2897079979393311E-16</v>
      </c>
      <c r="BT25" s="42">
        <f t="shared" si="47"/>
        <v>-1.2155995186279821E-12</v>
      </c>
      <c r="BU25" s="45">
        <f t="shared" si="47"/>
        <v>-4.5945621292147614E-15</v>
      </c>
    </row>
    <row r="26" spans="2:73" x14ac:dyDescent="0.25">
      <c r="B26" s="86">
        <v>590</v>
      </c>
      <c r="C26" s="87">
        <v>45</v>
      </c>
      <c r="D26" s="87">
        <v>99</v>
      </c>
      <c r="E26" s="184">
        <f t="shared" si="25"/>
        <v>295</v>
      </c>
      <c r="F26" s="156" t="s">
        <v>7</v>
      </c>
      <c r="G26" s="59"/>
      <c r="H26" s="58"/>
      <c r="I26" s="4">
        <v>278</v>
      </c>
      <c r="J26" s="55"/>
      <c r="K26" s="167">
        <f t="shared" si="26"/>
        <v>295</v>
      </c>
      <c r="L26" s="69">
        <f t="shared" si="27"/>
        <v>802.34077257825811</v>
      </c>
      <c r="M26" s="70">
        <f t="shared" si="28"/>
        <v>80.234077257825817</v>
      </c>
      <c r="N26" s="70">
        <f t="shared" si="29"/>
        <v>8.0234077257825817E-2</v>
      </c>
      <c r="O26" s="70">
        <f t="shared" si="30"/>
        <v>8023.4077257825811</v>
      </c>
      <c r="P26" s="70">
        <f>(((PI()*C26)/6)*((3*(SQRT((B26/2)^2-((B26/2)-D26)^2))^2)+(3*(SQRT((B26/2)^2-((B26/2)-D26-C26)^2))^2)+C26^2))/1000^3</f>
        <v>8.0234077257825814E-3</v>
      </c>
      <c r="Q26" s="71">
        <f t="shared" si="31"/>
        <v>8.0234077257825813</v>
      </c>
      <c r="R26" s="115">
        <f t="shared" si="32"/>
        <v>78.769623606242746</v>
      </c>
      <c r="S26" s="72">
        <f t="shared" si="33"/>
        <v>1148.7236775910399</v>
      </c>
      <c r="T26" s="72">
        <f t="shared" si="34"/>
        <v>3.5729300255563597E-2</v>
      </c>
      <c r="U26" s="72">
        <f>P26*(0.45359237/0.3048^3)*I26</f>
        <v>35.729300255563594</v>
      </c>
      <c r="V26" s="116">
        <f t="shared" si="35"/>
        <v>35729.30025556359</v>
      </c>
      <c r="W26" s="81">
        <f t="shared" si="36"/>
        <v>4.3788460883530615E-3</v>
      </c>
      <c r="X26" s="73">
        <f t="shared" si="37"/>
        <v>1.082036433048488E-4</v>
      </c>
      <c r="Y26" s="73">
        <f t="shared" si="38"/>
        <v>4378.8460883530615</v>
      </c>
      <c r="Z26" s="73">
        <f t="shared" si="39"/>
        <v>43.788460883530611</v>
      </c>
      <c r="AA26" s="73">
        <f t="shared" si="40"/>
        <v>4.3788460883530614E-5</v>
      </c>
      <c r="AB26" s="73">
        <f>((PI()*(SQRT(E26^2-(E26-D26)^2))^2)+(PI()*(SQRT(E26^2-(E26-D26-C26)^2))^2)+(2*PI()*E26*C26))/1000^2</f>
        <v>0.43788460883530611</v>
      </c>
      <c r="AC26" s="73">
        <f t="shared" si="41"/>
        <v>437884.60883530614</v>
      </c>
      <c r="AD26" s="73">
        <f t="shared" si="42"/>
        <v>4.7133507023592127</v>
      </c>
      <c r="AE26" s="81">
        <f t="shared" si="43"/>
        <v>678.72250113972677</v>
      </c>
      <c r="AF26" s="167">
        <v>295</v>
      </c>
      <c r="AG26" s="69">
        <v>802.34100000000001</v>
      </c>
      <c r="AH26" s="70">
        <v>80.234099999999998</v>
      </c>
      <c r="AI26" s="70">
        <v>8.0234100000000003E-2</v>
      </c>
      <c r="AJ26" s="70">
        <v>8023.41</v>
      </c>
      <c r="AK26" s="70">
        <v>8.0234099999999999E-3</v>
      </c>
      <c r="AL26" s="71">
        <v>8.0234100000000002</v>
      </c>
      <c r="AM26" s="115">
        <v>78.769599999999997</v>
      </c>
      <c r="AN26" s="72">
        <v>1148.72</v>
      </c>
      <c r="AO26" s="72">
        <v>3.5729299999999999E-2</v>
      </c>
      <c r="AP26" s="72">
        <v>35.729300000000002</v>
      </c>
      <c r="AQ26" s="116">
        <v>35729.300000000003</v>
      </c>
      <c r="AR26" s="123">
        <v>4.3788500000000001E-3</v>
      </c>
      <c r="AS26" s="123">
        <v>1.08204E-4</v>
      </c>
      <c r="AT26" s="73">
        <v>4378.8500000000004</v>
      </c>
      <c r="AU26" s="73">
        <v>43.788499999999999</v>
      </c>
      <c r="AV26" s="73">
        <v>4.3788460883530601E-5</v>
      </c>
      <c r="AW26" s="73">
        <v>0.43788500000000002</v>
      </c>
      <c r="AX26" s="73">
        <v>437885</v>
      </c>
      <c r="AY26" s="73">
        <v>4.7133500000000002</v>
      </c>
      <c r="AZ26" s="218">
        <v>678.72299999999996</v>
      </c>
      <c r="BA26" s="247">
        <f t="shared" si="44"/>
        <v>0</v>
      </c>
      <c r="BB26" s="43">
        <f t="shared" si="45"/>
        <v>-2.8344781876952185E-7</v>
      </c>
      <c r="BC26" s="42">
        <f t="shared" si="45"/>
        <v>-2.8344781866325135E-7</v>
      </c>
      <c r="BD26" s="42">
        <f t="shared" si="45"/>
        <v>-2.8344781871721682E-7</v>
      </c>
      <c r="BE26" s="42">
        <f t="shared" si="45"/>
        <v>-2.8344781874118304E-7</v>
      </c>
      <c r="BF26" s="42">
        <f t="shared" si="45"/>
        <v>-2.8344781871721682E-7</v>
      </c>
      <c r="BG26" s="43">
        <f t="shared" si="45"/>
        <v>-2.8344781875181007E-7</v>
      </c>
      <c r="BH26" s="107">
        <f t="shared" si="46"/>
        <v>2.9968713405310784E-7</v>
      </c>
      <c r="BI26" s="44">
        <f t="shared" si="47"/>
        <v>3.2014583764339925E-6</v>
      </c>
      <c r="BJ26" s="44">
        <f t="shared" si="47"/>
        <v>7.1527736684928446E-9</v>
      </c>
      <c r="BK26" s="44">
        <f t="shared" si="47"/>
        <v>7.1527734882683937E-9</v>
      </c>
      <c r="BL26" s="108">
        <f t="shared" si="47"/>
        <v>7.1527733705383248E-9</v>
      </c>
      <c r="BM26" s="43">
        <f t="shared" si="47"/>
        <v>-8.933054187620415E-7</v>
      </c>
      <c r="BN26" s="42">
        <f t="shared" si="47"/>
        <v>-3.2965170146258559E-6</v>
      </c>
      <c r="BO26" s="42">
        <f t="shared" si="47"/>
        <v>-8.9330541880339428E-7</v>
      </c>
      <c r="BP26" s="42">
        <f t="shared" si="47"/>
        <v>-8.9330541879690368E-7</v>
      </c>
      <c r="BQ26" s="42">
        <f t="shared" si="47"/>
        <v>3.0949996603251426E-16</v>
      </c>
      <c r="BR26" s="42">
        <f t="shared" si="47"/>
        <v>-8.9330541887296639E-7</v>
      </c>
      <c r="BS26" s="42">
        <f t="shared" si="47"/>
        <v>-8.9330541876185388E-7</v>
      </c>
      <c r="BT26" s="42">
        <f t="shared" si="47"/>
        <v>1.4901484250177133E-7</v>
      </c>
      <c r="BU26" s="45">
        <f t="shared" si="47"/>
        <v>-7.3499887265429048E-7</v>
      </c>
    </row>
    <row r="27" spans="2:73" x14ac:dyDescent="0.25">
      <c r="B27" s="86">
        <v>667</v>
      </c>
      <c r="C27" s="87">
        <v>124</v>
      </c>
      <c r="D27" s="87">
        <v>167</v>
      </c>
      <c r="E27" s="184">
        <f t="shared" si="25"/>
        <v>333.5</v>
      </c>
      <c r="F27" s="156" t="s">
        <v>8</v>
      </c>
      <c r="G27" s="59"/>
      <c r="H27" s="58"/>
      <c r="I27" s="58"/>
      <c r="J27" s="14">
        <v>770</v>
      </c>
      <c r="K27" s="167">
        <f t="shared" si="26"/>
        <v>333.5</v>
      </c>
      <c r="L27" s="69">
        <f t="shared" si="27"/>
        <v>2949212432076.521</v>
      </c>
      <c r="M27" s="70">
        <f t="shared" si="28"/>
        <v>294921243207.6521</v>
      </c>
      <c r="N27" s="70">
        <f t="shared" si="29"/>
        <v>294921243.20765209</v>
      </c>
      <c r="O27" s="70">
        <f t="shared" si="30"/>
        <v>29492124320765.207</v>
      </c>
      <c r="P27" s="70">
        <f>(((PI()*C27)/6)*((3*(SQRT((B27/2)^2-((B27/2)-D27)^2))^2)+(3*(SQRT((B27/2)^2-((B27/2)-D27-C27)^2))^2)+C27^2))*0.9144^3</f>
        <v>29492124.320765208</v>
      </c>
      <c r="Q27" s="71">
        <f t="shared" si="31"/>
        <v>29492124320.765209</v>
      </c>
      <c r="R27" s="115">
        <f t="shared" si="32"/>
        <v>50064633421830.289</v>
      </c>
      <c r="S27" s="72">
        <f t="shared" si="33"/>
        <v>730109237401691.75</v>
      </c>
      <c r="T27" s="72">
        <f t="shared" si="34"/>
        <v>22708935726.989212</v>
      </c>
      <c r="U27" s="72">
        <f>P27*1000*J27</f>
        <v>22708935726989.211</v>
      </c>
      <c r="V27" s="116">
        <f t="shared" si="35"/>
        <v>2.2708935726989212E+16</v>
      </c>
      <c r="W27" s="81">
        <f t="shared" si="36"/>
        <v>7240.01287662097</v>
      </c>
      <c r="X27" s="73">
        <f t="shared" si="37"/>
        <v>178.90461437046139</v>
      </c>
      <c r="Y27" s="73">
        <f t="shared" si="38"/>
        <v>7240012876.6209698</v>
      </c>
      <c r="Z27" s="73">
        <f t="shared" si="39"/>
        <v>72400128.766209707</v>
      </c>
      <c r="AA27" s="73">
        <f t="shared" si="40"/>
        <v>72.400128766209704</v>
      </c>
      <c r="AB27" s="73">
        <f>((PI()*(SQRT(E27^2-(E27-D27)^2))^2)+(PI()*(SQRT(E27^2-(E27-D27-C27)^2))^2)+(2*PI()*E27*C27))*0.9144^2</f>
        <v>724001.28766209702</v>
      </c>
      <c r="AC27" s="73">
        <f t="shared" si="41"/>
        <v>724001287662.09705</v>
      </c>
      <c r="AD27" s="73">
        <f t="shared" si="42"/>
        <v>7793085.0019772984</v>
      </c>
      <c r="AE27" s="81">
        <f t="shared" si="43"/>
        <v>1122204240.2847309</v>
      </c>
      <c r="AF27" s="167">
        <v>333.5</v>
      </c>
      <c r="AG27" s="69">
        <v>2949212432077</v>
      </c>
      <c r="AH27" s="70">
        <v>294921243208</v>
      </c>
      <c r="AI27" s="70">
        <v>294921243</v>
      </c>
      <c r="AJ27" s="70">
        <v>29492124320765</v>
      </c>
      <c r="AK27" s="70">
        <v>29492124</v>
      </c>
      <c r="AL27" s="71">
        <v>29492124321</v>
      </c>
      <c r="AM27" s="115">
        <v>50064633421830</v>
      </c>
      <c r="AN27" s="72">
        <v>730109237401692</v>
      </c>
      <c r="AO27" s="72">
        <v>22708935727</v>
      </c>
      <c r="AP27" s="72">
        <v>22708935726989</v>
      </c>
      <c r="AQ27" s="116">
        <v>2.27089357269892E+16</v>
      </c>
      <c r="AR27" s="123">
        <v>7240.01</v>
      </c>
      <c r="AS27" s="123">
        <v>178.905</v>
      </c>
      <c r="AT27" s="73">
        <v>7240012877</v>
      </c>
      <c r="AU27" s="73">
        <v>72400129</v>
      </c>
      <c r="AV27" s="73">
        <v>72.400099999999995</v>
      </c>
      <c r="AW27" s="73">
        <v>724001</v>
      </c>
      <c r="AX27" s="73">
        <v>724001287662</v>
      </c>
      <c r="AY27" s="73">
        <v>7793085</v>
      </c>
      <c r="AZ27" s="218">
        <v>1122204240</v>
      </c>
      <c r="BA27" s="247">
        <f t="shared" si="44"/>
        <v>0</v>
      </c>
      <c r="BB27" s="43">
        <f t="shared" si="45"/>
        <v>-1.6241756647985392E-13</v>
      </c>
      <c r="BC27" s="42">
        <f t="shared" si="45"/>
        <v>-1.1796382886533733E-12</v>
      </c>
      <c r="BD27" s="42">
        <f t="shared" si="45"/>
        <v>7.0409336988239261E-10</v>
      </c>
      <c r="BE27" s="42">
        <f t="shared" si="45"/>
        <v>7.0198825879162148E-15</v>
      </c>
      <c r="BF27" s="42">
        <f t="shared" si="45"/>
        <v>1.0876300566354636E-8</v>
      </c>
      <c r="BG27" s="43">
        <f t="shared" si="45"/>
        <v>-7.9611356390708847E-12</v>
      </c>
      <c r="BH27" s="107">
        <f t="shared" si="46"/>
        <v>5.7737864085499641E-15</v>
      </c>
      <c r="BI27" s="44">
        <f t="shared" si="47"/>
        <v>-3.4241451442211368E-16</v>
      </c>
      <c r="BJ27" s="44">
        <f t="shared" si="47"/>
        <v>-4.7505369678624681E-13</v>
      </c>
      <c r="BK27" s="44">
        <f t="shared" si="47"/>
        <v>9.2887444191981272E-15</v>
      </c>
      <c r="BL27" s="108">
        <f t="shared" si="47"/>
        <v>5.2842634918104904E-16</v>
      </c>
      <c r="BM27" s="43">
        <f t="shared" si="47"/>
        <v>3.9732263171652463E-7</v>
      </c>
      <c r="BN27" s="42">
        <f t="shared" si="47"/>
        <v>-2.1555035903900392E-6</v>
      </c>
      <c r="BO27" s="42">
        <f t="shared" si="47"/>
        <v>-5.2352148279331834E-11</v>
      </c>
      <c r="BP27" s="42">
        <f t="shared" si="47"/>
        <v>-3.2291419548555867E-9</v>
      </c>
      <c r="BQ27" s="42">
        <f t="shared" si="47"/>
        <v>3.9732263187355035E-7</v>
      </c>
      <c r="BR27" s="42">
        <f t="shared" si="47"/>
        <v>3.9732263177179766E-7</v>
      </c>
      <c r="BS27" s="42">
        <f t="shared" si="47"/>
        <v>1.3404105778716912E-13</v>
      </c>
      <c r="BT27" s="42">
        <f t="shared" si="47"/>
        <v>2.5372473266299932E-10</v>
      </c>
      <c r="BU27" s="45">
        <f t="shared" si="47"/>
        <v>2.5372467954909841E-10</v>
      </c>
    </row>
    <row r="28" spans="2:73" ht="15.75" thickBot="1" x14ac:dyDescent="0.3">
      <c r="B28" s="88">
        <v>355</v>
      </c>
      <c r="C28" s="89">
        <v>77</v>
      </c>
      <c r="D28" s="89">
        <v>45</v>
      </c>
      <c r="E28" s="201">
        <f t="shared" si="25"/>
        <v>177.5</v>
      </c>
      <c r="F28" s="157" t="s">
        <v>43</v>
      </c>
      <c r="G28" s="12">
        <v>670</v>
      </c>
      <c r="H28" s="60"/>
      <c r="I28" s="60"/>
      <c r="J28" s="61"/>
      <c r="K28" s="168">
        <f t="shared" si="26"/>
        <v>177.5</v>
      </c>
      <c r="L28" s="79">
        <f t="shared" si="27"/>
        <v>5.3644731359282805E-7</v>
      </c>
      <c r="M28" s="74">
        <f t="shared" si="28"/>
        <v>5.3644731359282801E-8</v>
      </c>
      <c r="N28" s="74">
        <f t="shared" si="29"/>
        <v>5.3644731359282803E-11</v>
      </c>
      <c r="O28" s="74">
        <f t="shared" si="30"/>
        <v>5.36447313592828E-6</v>
      </c>
      <c r="P28" s="281">
        <f>(((PI()*C28)/6)*((3*(SQRT((B28/2)^2-((B28/2)-D28)^2))^2)+(3*(SQRT((B28/2)^2-((B28/2)-D28-C28)^2))^2)+C28^2))/1000000^3</f>
        <v>5.3644731359282799E-12</v>
      </c>
      <c r="Q28" s="75">
        <f t="shared" si="31"/>
        <v>5.3644731359282801E-9</v>
      </c>
      <c r="R28" s="117">
        <f t="shared" si="32"/>
        <v>7.9238480159442437E-9</v>
      </c>
      <c r="S28" s="76">
        <f t="shared" si="33"/>
        <v>1.155561168991869E-7</v>
      </c>
      <c r="T28" s="76">
        <f t="shared" si="34"/>
        <v>3.5941970010719478E-12</v>
      </c>
      <c r="U28" s="76">
        <f>P28*G28</f>
        <v>3.5941970010719476E-9</v>
      </c>
      <c r="V28" s="118">
        <f t="shared" si="35"/>
        <v>3.5941970010719477E-6</v>
      </c>
      <c r="W28" s="82">
        <f t="shared" si="36"/>
        <v>2.1900356547439808E-9</v>
      </c>
      <c r="X28" s="77">
        <f t="shared" si="37"/>
        <v>5.4116959589220453E-11</v>
      </c>
      <c r="Y28" s="77">
        <f t="shared" si="38"/>
        <v>2.1900356547439807E-3</v>
      </c>
      <c r="Z28" s="77">
        <f t="shared" si="39"/>
        <v>2.1900356547439807E-5</v>
      </c>
      <c r="AA28" s="77">
        <f t="shared" si="40"/>
        <v>2.1900356547439806E-11</v>
      </c>
      <c r="AB28" s="77">
        <f>((PI()*(SQRT(E28^2-(E28-D28)^2))^2)+(PI()*(SQRT(E28^2-(E28-D28-C28)^2))^2)+(2*PI()*E28*C28))/1000000^2</f>
        <v>2.1900356547439806E-7</v>
      </c>
      <c r="AC28" s="77">
        <f t="shared" si="41"/>
        <v>0.21900356547439806</v>
      </c>
      <c r="AD28" s="77">
        <f t="shared" si="42"/>
        <v>2.3573347597064431E-6</v>
      </c>
      <c r="AE28" s="82">
        <f t="shared" si="43"/>
        <v>3.3945620539772782E-4</v>
      </c>
      <c r="AF28" s="168">
        <v>177.5</v>
      </c>
      <c r="AG28" s="79">
        <v>5.3644731359282805E-7</v>
      </c>
      <c r="AH28" s="74">
        <v>5.3644731359282801E-8</v>
      </c>
      <c r="AI28" s="74">
        <v>5.3644731359282803E-11</v>
      </c>
      <c r="AJ28" s="74">
        <v>5.36447313592828E-6</v>
      </c>
      <c r="AK28" s="74">
        <v>5.3644731359282799E-12</v>
      </c>
      <c r="AL28" s="75">
        <v>5.3644731359282801E-9</v>
      </c>
      <c r="AM28" s="277">
        <v>7.9238480159442404E-9</v>
      </c>
      <c r="AN28" s="278">
        <v>1.1555611689918701E-7</v>
      </c>
      <c r="AO28" s="278">
        <v>3.5941970010719502E-12</v>
      </c>
      <c r="AP28" s="278">
        <v>3.5941970010719501E-9</v>
      </c>
      <c r="AQ28" s="293">
        <v>3.5941970010719498E-6</v>
      </c>
      <c r="AR28" s="125">
        <v>2.1900356547439799E-9</v>
      </c>
      <c r="AS28" s="125">
        <v>5.4116959589220401E-11</v>
      </c>
      <c r="AT28" s="77">
        <v>2.1900399999999999E-3</v>
      </c>
      <c r="AU28" s="77">
        <v>2.19003565474398E-5</v>
      </c>
      <c r="AV28" s="77">
        <v>2.1900356547439799E-11</v>
      </c>
      <c r="AW28" s="77">
        <v>2.1900356547439801E-7</v>
      </c>
      <c r="AX28" s="77">
        <v>0.219004</v>
      </c>
      <c r="AY28" s="77">
        <v>2.3573347597064401E-6</v>
      </c>
      <c r="AZ28" s="220">
        <v>3.3945600000000002E-4</v>
      </c>
      <c r="BA28" s="248">
        <f t="shared" si="44"/>
        <v>0</v>
      </c>
      <c r="BB28" s="48">
        <f t="shared" si="45"/>
        <v>0</v>
      </c>
      <c r="BC28" s="47">
        <f t="shared" si="45"/>
        <v>0</v>
      </c>
      <c r="BD28" s="47">
        <f t="shared" si="45"/>
        <v>0</v>
      </c>
      <c r="BE28" s="47">
        <f t="shared" si="45"/>
        <v>0</v>
      </c>
      <c r="BF28" s="47">
        <f t="shared" si="45"/>
        <v>0</v>
      </c>
      <c r="BG28" s="48">
        <f t="shared" si="45"/>
        <v>0</v>
      </c>
      <c r="BH28" s="109">
        <f t="shared" si="46"/>
        <v>4.1756510770453333E-16</v>
      </c>
      <c r="BI28" s="49">
        <f t="shared" si="47"/>
        <v>-9.1625715062023296E-16</v>
      </c>
      <c r="BJ28" s="49">
        <f t="shared" si="47"/>
        <v>-6.7424815615732511E-16</v>
      </c>
      <c r="BK28" s="49">
        <f t="shared" si="47"/>
        <v>-6.904301119051009E-16</v>
      </c>
      <c r="BL28" s="110">
        <f t="shared" si="47"/>
        <v>-5.8916702882568609E-16</v>
      </c>
      <c r="BM28" s="48">
        <f t="shared" si="47"/>
        <v>3.7770189300855314E-16</v>
      </c>
      <c r="BN28" s="47">
        <f t="shared" si="47"/>
        <v>9.5531583217143812E-16</v>
      </c>
      <c r="BO28" s="47">
        <f t="shared" si="47"/>
        <v>-1.9841028659680167E-6</v>
      </c>
      <c r="BP28" s="47">
        <f t="shared" si="47"/>
        <v>3.0941339075260675E-16</v>
      </c>
      <c r="BQ28" s="47">
        <f t="shared" si="47"/>
        <v>2.950796039129322E-16</v>
      </c>
      <c r="BR28" s="47">
        <f t="shared" si="47"/>
        <v>2.4172921152547405E-16</v>
      </c>
      <c r="BS28" s="47">
        <f t="shared" si="47"/>
        <v>-1.9841028661026733E-6</v>
      </c>
      <c r="BT28" s="47">
        <f t="shared" si="47"/>
        <v>1.2576132020210961E-15</v>
      </c>
      <c r="BU28" s="50">
        <f t="shared" si="47"/>
        <v>6.0507872453454825E-7</v>
      </c>
    </row>
    <row r="29" spans="2:73" ht="15.75" thickTop="1" x14ac:dyDescent="0.25"/>
    <row r="31" spans="2:73" x14ac:dyDescent="0.25">
      <c r="B31" s="317" t="s">
        <v>14</v>
      </c>
      <c r="C31" s="318"/>
      <c r="D31" s="349" t="s">
        <v>15</v>
      </c>
      <c r="E31" s="318"/>
      <c r="F31" s="350"/>
      <c r="H31" s="207"/>
      <c r="I31" s="206"/>
      <c r="J31" s="208"/>
      <c r="K31" s="206"/>
    </row>
    <row r="32" spans="2:73" x14ac:dyDescent="0.25">
      <c r="B32" s="264"/>
      <c r="C32" s="265" t="s">
        <v>16</v>
      </c>
      <c r="D32" s="351">
        <v>41031</v>
      </c>
      <c r="E32" s="352"/>
      <c r="F32" s="353"/>
      <c r="H32" s="206"/>
      <c r="I32" s="207"/>
      <c r="J32" s="205"/>
      <c r="K32" s="206"/>
    </row>
  </sheetData>
  <mergeCells count="49">
    <mergeCell ref="B3:D3"/>
    <mergeCell ref="F3:J3"/>
    <mergeCell ref="B4:F4"/>
    <mergeCell ref="G4:J5"/>
    <mergeCell ref="E5:E6"/>
    <mergeCell ref="BH4:BL5"/>
    <mergeCell ref="BM4:BU5"/>
    <mergeCell ref="B5:B6"/>
    <mergeCell ref="C5:C6"/>
    <mergeCell ref="D5:D6"/>
    <mergeCell ref="F5:F6"/>
    <mergeCell ref="R4:V5"/>
    <mergeCell ref="W4:AE5"/>
    <mergeCell ref="AG4:AL5"/>
    <mergeCell ref="AM4:AQ5"/>
    <mergeCell ref="AR4:AZ5"/>
    <mergeCell ref="BB4:BG5"/>
    <mergeCell ref="L4:Q5"/>
    <mergeCell ref="K5:K6"/>
    <mergeCell ref="AF5:AF6"/>
    <mergeCell ref="BA5:BA6"/>
    <mergeCell ref="B17:D17"/>
    <mergeCell ref="F17:J17"/>
    <mergeCell ref="B18:F18"/>
    <mergeCell ref="G18:J19"/>
    <mergeCell ref="L18:Q19"/>
    <mergeCell ref="K19:K20"/>
    <mergeCell ref="E19:E20"/>
    <mergeCell ref="BB18:BG19"/>
    <mergeCell ref="BH18:BL19"/>
    <mergeCell ref="R18:V19"/>
    <mergeCell ref="AF19:AF20"/>
    <mergeCell ref="BA19:BA20"/>
    <mergeCell ref="D32:F32"/>
    <mergeCell ref="K1:AE1"/>
    <mergeCell ref="AF1:AZ1"/>
    <mergeCell ref="BA1:BU1"/>
    <mergeCell ref="B1:J1"/>
    <mergeCell ref="B31:C31"/>
    <mergeCell ref="D31:F31"/>
    <mergeCell ref="BM18:BU19"/>
    <mergeCell ref="B19:B20"/>
    <mergeCell ref="C19:C20"/>
    <mergeCell ref="D19:D20"/>
    <mergeCell ref="F19:F20"/>
    <mergeCell ref="W18:AE19"/>
    <mergeCell ref="AG18:AL19"/>
    <mergeCell ref="AM18:AQ19"/>
    <mergeCell ref="AR18:AZ19"/>
  </mergeCells>
  <conditionalFormatting sqref="BB7:BG14 BM7:BU14">
    <cfRule type="cellIs" dxfId="17" priority="5" operator="notBetween">
      <formula>0.0001</formula>
      <formula>-0.0001</formula>
    </cfRule>
  </conditionalFormatting>
  <conditionalFormatting sqref="BH7:BL14">
    <cfRule type="cellIs" dxfId="16" priority="4" operator="notBetween">
      <formula>0.0001</formula>
      <formula>-0.0001</formula>
    </cfRule>
  </conditionalFormatting>
  <conditionalFormatting sqref="BB21:BG28 BM21:BU28">
    <cfRule type="cellIs" dxfId="15" priority="3" operator="notBetween">
      <formula>0.0001</formula>
      <formula>-0.0001</formula>
    </cfRule>
  </conditionalFormatting>
  <conditionalFormatting sqref="BH21:BL28">
    <cfRule type="cellIs" dxfId="14" priority="2" operator="notBetween">
      <formula>0.0001</formula>
      <formula>-0.0001</formula>
    </cfRule>
  </conditionalFormatting>
  <conditionalFormatting sqref="BA21:BA28 BA7:BA14">
    <cfRule type="cellIs" dxfId="13" priority="1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T34"/>
  <sheetViews>
    <sheetView zoomScaleNormal="100" workbookViewId="0">
      <pane ySplit="1" topLeftCell="A3" activePane="bottomLeft" state="frozen"/>
      <selection pane="bottomLeft"/>
    </sheetView>
  </sheetViews>
  <sheetFormatPr defaultRowHeight="15" x14ac:dyDescent="0.25"/>
  <cols>
    <col min="1" max="1" width="3.7109375" customWidth="1"/>
    <col min="2" max="2" width="12" customWidth="1"/>
    <col min="3" max="4" width="8.5703125" bestFit="1" customWidth="1"/>
    <col min="5" max="5" width="8.85546875" customWidth="1"/>
    <col min="10" max="10" width="12" customWidth="1"/>
    <col min="11" max="30" width="9.140625" customWidth="1"/>
    <col min="31" max="31" width="12" customWidth="1"/>
    <col min="32" max="32" width="12.5703125" bestFit="1" customWidth="1"/>
    <col min="33" max="50" width="9.140625" customWidth="1"/>
    <col min="51" max="51" width="12.5703125" bestFit="1" customWidth="1"/>
    <col min="52" max="52" width="12" customWidth="1"/>
  </cols>
  <sheetData>
    <row r="1" spans="2:72" ht="21.95" customHeight="1" thickBot="1" x14ac:dyDescent="0.4">
      <c r="B1" s="415" t="s">
        <v>98</v>
      </c>
      <c r="C1" s="416"/>
      <c r="D1" s="416"/>
      <c r="E1" s="416"/>
      <c r="F1" s="416"/>
      <c r="G1" s="416"/>
      <c r="H1" s="416"/>
      <c r="I1" s="417"/>
      <c r="J1" s="319" t="s">
        <v>99</v>
      </c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1"/>
      <c r="AE1" s="319" t="s">
        <v>100</v>
      </c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1"/>
      <c r="AZ1" s="319" t="s">
        <v>101</v>
      </c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1"/>
    </row>
    <row r="2" spans="2:72" ht="15" customHeight="1" thickBot="1" x14ac:dyDescent="0.3">
      <c r="D2" s="3"/>
    </row>
    <row r="3" spans="2:72" ht="30.75" customHeight="1" thickTop="1" thickBot="1" x14ac:dyDescent="0.3">
      <c r="B3" s="343" t="s">
        <v>46</v>
      </c>
      <c r="C3" s="344"/>
      <c r="D3" s="346" t="s">
        <v>71</v>
      </c>
      <c r="E3" s="347"/>
      <c r="F3" s="347"/>
      <c r="G3" s="347"/>
      <c r="H3" s="347"/>
      <c r="I3" s="348"/>
      <c r="R3" s="214"/>
    </row>
    <row r="4" spans="2:72" ht="16.5" customHeight="1" thickTop="1" thickBot="1" x14ac:dyDescent="0.3">
      <c r="B4" s="337" t="s">
        <v>66</v>
      </c>
      <c r="C4" s="338"/>
      <c r="D4" s="338"/>
      <c r="E4" s="339"/>
      <c r="F4" s="311" t="s">
        <v>31</v>
      </c>
      <c r="G4" s="312"/>
      <c r="H4" s="312"/>
      <c r="I4" s="312"/>
      <c r="J4" s="165" t="s">
        <v>89</v>
      </c>
      <c r="K4" s="340" t="s">
        <v>21</v>
      </c>
      <c r="L4" s="341"/>
      <c r="M4" s="341"/>
      <c r="N4" s="341"/>
      <c r="O4" s="341"/>
      <c r="P4" s="341"/>
      <c r="Q4" s="294" t="s">
        <v>22</v>
      </c>
      <c r="R4" s="295"/>
      <c r="S4" s="295"/>
      <c r="T4" s="295"/>
      <c r="U4" s="296"/>
      <c r="V4" s="304" t="s">
        <v>44</v>
      </c>
      <c r="W4" s="305"/>
      <c r="X4" s="305"/>
      <c r="Y4" s="305"/>
      <c r="Z4" s="305"/>
      <c r="AA4" s="305"/>
      <c r="AB4" s="305"/>
      <c r="AC4" s="305"/>
      <c r="AD4" s="305"/>
      <c r="AE4" s="165" t="s">
        <v>89</v>
      </c>
      <c r="AF4" s="405" t="s">
        <v>21</v>
      </c>
      <c r="AG4" s="301"/>
      <c r="AH4" s="301"/>
      <c r="AI4" s="301"/>
      <c r="AJ4" s="301"/>
      <c r="AK4" s="301"/>
      <c r="AL4" s="294" t="s">
        <v>22</v>
      </c>
      <c r="AM4" s="295"/>
      <c r="AN4" s="295"/>
      <c r="AO4" s="295"/>
      <c r="AP4" s="296"/>
      <c r="AQ4" s="304" t="s">
        <v>45</v>
      </c>
      <c r="AR4" s="305"/>
      <c r="AS4" s="305"/>
      <c r="AT4" s="305"/>
      <c r="AU4" s="305"/>
      <c r="AV4" s="305"/>
      <c r="AW4" s="305"/>
      <c r="AX4" s="305"/>
      <c r="AY4" s="305"/>
      <c r="AZ4" s="245" t="s">
        <v>89</v>
      </c>
      <c r="BA4" s="322" t="s">
        <v>21</v>
      </c>
      <c r="BB4" s="323"/>
      <c r="BC4" s="323"/>
      <c r="BD4" s="323"/>
      <c r="BE4" s="323"/>
      <c r="BF4" s="323"/>
      <c r="BG4" s="322" t="s">
        <v>22</v>
      </c>
      <c r="BH4" s="323"/>
      <c r="BI4" s="323"/>
      <c r="BJ4" s="323"/>
      <c r="BK4" s="324"/>
      <c r="BL4" s="328" t="s">
        <v>45</v>
      </c>
      <c r="BM4" s="323"/>
      <c r="BN4" s="323"/>
      <c r="BO4" s="323"/>
      <c r="BP4" s="323"/>
      <c r="BQ4" s="323"/>
      <c r="BR4" s="323"/>
      <c r="BS4" s="323"/>
      <c r="BT4" s="329"/>
    </row>
    <row r="5" spans="2:72" s="18" customFormat="1" ht="15" customHeight="1" thickBot="1" x14ac:dyDescent="0.3">
      <c r="B5" s="422" t="s">
        <v>94</v>
      </c>
      <c r="C5" s="333" t="s">
        <v>80</v>
      </c>
      <c r="D5" s="335" t="s">
        <v>81</v>
      </c>
      <c r="E5" s="362" t="s">
        <v>1</v>
      </c>
      <c r="F5" s="314"/>
      <c r="G5" s="315"/>
      <c r="H5" s="315"/>
      <c r="I5" s="315"/>
      <c r="J5" s="399" t="s">
        <v>81</v>
      </c>
      <c r="K5" s="342"/>
      <c r="L5" s="342"/>
      <c r="M5" s="342"/>
      <c r="N5" s="342"/>
      <c r="O5" s="342"/>
      <c r="P5" s="342"/>
      <c r="Q5" s="297"/>
      <c r="R5" s="298"/>
      <c r="S5" s="298"/>
      <c r="T5" s="298"/>
      <c r="U5" s="299"/>
      <c r="V5" s="307"/>
      <c r="W5" s="307"/>
      <c r="X5" s="307"/>
      <c r="Y5" s="307"/>
      <c r="Z5" s="307"/>
      <c r="AA5" s="307"/>
      <c r="AB5" s="307"/>
      <c r="AC5" s="307"/>
      <c r="AD5" s="307"/>
      <c r="AE5" s="399" t="s">
        <v>81</v>
      </c>
      <c r="AF5" s="406"/>
      <c r="AG5" s="303"/>
      <c r="AH5" s="303"/>
      <c r="AI5" s="303"/>
      <c r="AJ5" s="303"/>
      <c r="AK5" s="303"/>
      <c r="AL5" s="297"/>
      <c r="AM5" s="298"/>
      <c r="AN5" s="298"/>
      <c r="AO5" s="298"/>
      <c r="AP5" s="299"/>
      <c r="AQ5" s="307"/>
      <c r="AR5" s="307"/>
      <c r="AS5" s="307"/>
      <c r="AT5" s="307"/>
      <c r="AU5" s="307"/>
      <c r="AV5" s="307"/>
      <c r="AW5" s="307"/>
      <c r="AX5" s="307"/>
      <c r="AY5" s="307"/>
      <c r="AZ5" s="401" t="s">
        <v>81</v>
      </c>
      <c r="BA5" s="325"/>
      <c r="BB5" s="326"/>
      <c r="BC5" s="326"/>
      <c r="BD5" s="326"/>
      <c r="BE5" s="326"/>
      <c r="BF5" s="326"/>
      <c r="BG5" s="325"/>
      <c r="BH5" s="326"/>
      <c r="BI5" s="326"/>
      <c r="BJ5" s="326"/>
      <c r="BK5" s="327"/>
      <c r="BL5" s="326"/>
      <c r="BM5" s="326"/>
      <c r="BN5" s="326"/>
      <c r="BO5" s="326"/>
      <c r="BP5" s="326"/>
      <c r="BQ5" s="326"/>
      <c r="BR5" s="326"/>
      <c r="BS5" s="326"/>
      <c r="BT5" s="330"/>
    </row>
    <row r="6" spans="2:72" s="18" customFormat="1" ht="18" thickBot="1" x14ac:dyDescent="0.3">
      <c r="B6" s="439"/>
      <c r="C6" s="334"/>
      <c r="D6" s="336"/>
      <c r="E6" s="363"/>
      <c r="F6" s="19" t="s">
        <v>29</v>
      </c>
      <c r="G6" s="20" t="s">
        <v>28</v>
      </c>
      <c r="H6" s="20" t="s">
        <v>30</v>
      </c>
      <c r="I6" s="176" t="s">
        <v>27</v>
      </c>
      <c r="J6" s="400"/>
      <c r="K6" s="29" t="s">
        <v>32</v>
      </c>
      <c r="L6" s="24" t="s">
        <v>34</v>
      </c>
      <c r="M6" s="24" t="s">
        <v>33</v>
      </c>
      <c r="N6" s="24" t="s">
        <v>35</v>
      </c>
      <c r="O6" s="24" t="s">
        <v>37</v>
      </c>
      <c r="P6" s="30" t="s">
        <v>36</v>
      </c>
      <c r="Q6" s="111" t="s">
        <v>38</v>
      </c>
      <c r="R6" s="22" t="s">
        <v>39</v>
      </c>
      <c r="S6" s="22" t="s">
        <v>40</v>
      </c>
      <c r="T6" s="22" t="s">
        <v>41</v>
      </c>
      <c r="U6" s="112" t="s">
        <v>42</v>
      </c>
      <c r="V6" s="25" t="s">
        <v>11</v>
      </c>
      <c r="W6" s="23" t="s">
        <v>13</v>
      </c>
      <c r="X6" s="23" t="s">
        <v>23</v>
      </c>
      <c r="Y6" s="23" t="s">
        <v>24</v>
      </c>
      <c r="Z6" s="23" t="s">
        <v>12</v>
      </c>
      <c r="AA6" s="23" t="s">
        <v>25</v>
      </c>
      <c r="AB6" s="23" t="s">
        <v>26</v>
      </c>
      <c r="AC6" s="23" t="s">
        <v>10</v>
      </c>
      <c r="AD6" s="25" t="s">
        <v>9</v>
      </c>
      <c r="AE6" s="400"/>
      <c r="AF6" s="31" t="s">
        <v>32</v>
      </c>
      <c r="AG6" s="24" t="s">
        <v>34</v>
      </c>
      <c r="AH6" s="24" t="s">
        <v>33</v>
      </c>
      <c r="AI6" s="24" t="s">
        <v>35</v>
      </c>
      <c r="AJ6" s="24" t="s">
        <v>37</v>
      </c>
      <c r="AK6" s="30" t="s">
        <v>36</v>
      </c>
      <c r="AL6" s="111" t="s">
        <v>38</v>
      </c>
      <c r="AM6" s="22" t="s">
        <v>39</v>
      </c>
      <c r="AN6" s="22" t="s">
        <v>40</v>
      </c>
      <c r="AO6" s="22" t="s">
        <v>41</v>
      </c>
      <c r="AP6" s="112" t="s">
        <v>42</v>
      </c>
      <c r="AQ6" s="26" t="s">
        <v>11</v>
      </c>
      <c r="AR6" s="27" t="s">
        <v>13</v>
      </c>
      <c r="AS6" s="27" t="s">
        <v>23</v>
      </c>
      <c r="AT6" s="27" t="s">
        <v>24</v>
      </c>
      <c r="AU6" s="27" t="s">
        <v>12</v>
      </c>
      <c r="AV6" s="27" t="s">
        <v>25</v>
      </c>
      <c r="AW6" s="27" t="s">
        <v>26</v>
      </c>
      <c r="AX6" s="27" t="s">
        <v>10</v>
      </c>
      <c r="AY6" s="28" t="s">
        <v>9</v>
      </c>
      <c r="AZ6" s="402"/>
      <c r="BA6" s="32" t="s">
        <v>32</v>
      </c>
      <c r="BB6" s="33" t="s">
        <v>34</v>
      </c>
      <c r="BC6" s="33" t="s">
        <v>33</v>
      </c>
      <c r="BD6" s="33" t="s">
        <v>35</v>
      </c>
      <c r="BE6" s="33" t="s">
        <v>37</v>
      </c>
      <c r="BF6" s="34" t="s">
        <v>36</v>
      </c>
      <c r="BG6" s="103" t="s">
        <v>38</v>
      </c>
      <c r="BH6" s="33" t="s">
        <v>39</v>
      </c>
      <c r="BI6" s="33" t="s">
        <v>40</v>
      </c>
      <c r="BJ6" s="33" t="s">
        <v>41</v>
      </c>
      <c r="BK6" s="104" t="s">
        <v>42</v>
      </c>
      <c r="BL6" s="34" t="s">
        <v>11</v>
      </c>
      <c r="BM6" s="33" t="s">
        <v>13</v>
      </c>
      <c r="BN6" s="33" t="s">
        <v>23</v>
      </c>
      <c r="BO6" s="33" t="s">
        <v>24</v>
      </c>
      <c r="BP6" s="33" t="s">
        <v>12</v>
      </c>
      <c r="BQ6" s="33" t="s">
        <v>25</v>
      </c>
      <c r="BR6" s="33" t="s">
        <v>26</v>
      </c>
      <c r="BS6" s="33" t="s">
        <v>10</v>
      </c>
      <c r="BT6" s="35" t="s">
        <v>9</v>
      </c>
    </row>
    <row r="7" spans="2:72" x14ac:dyDescent="0.25">
      <c r="B7" s="225">
        <v>5</v>
      </c>
      <c r="C7" s="226">
        <v>15</v>
      </c>
      <c r="D7" s="227">
        <f>C7*2</f>
        <v>30</v>
      </c>
      <c r="E7" s="155" t="s">
        <v>2</v>
      </c>
      <c r="F7" s="10">
        <v>983</v>
      </c>
      <c r="G7" s="53"/>
      <c r="H7" s="53"/>
      <c r="I7" s="177"/>
      <c r="J7" s="169">
        <f>C7*2</f>
        <v>30</v>
      </c>
      <c r="K7" s="78">
        <f>O7*100000</f>
        <v>235.61944901923454</v>
      </c>
      <c r="L7" s="65">
        <f>O7*10000</f>
        <v>23.561944901923454</v>
      </c>
      <c r="M7" s="65">
        <f>O7*10</f>
        <v>2.3561944901923454E-2</v>
      </c>
      <c r="N7" s="65">
        <f>O7*1000000</f>
        <v>2356.1944901923453</v>
      </c>
      <c r="O7" s="65">
        <f>(((PI()*B7)/6)*(3*(SQRT(C7^2-(C7-B7)^2))^2+B7^2)+((PI()*(C7-B7)*(SQRT(C7^2-(C7-B7)^2))^2)/3))/100^3</f>
        <v>2.3561944901923453E-3</v>
      </c>
      <c r="P7" s="66">
        <f>O7*1000</f>
        <v>2.3561944901923453</v>
      </c>
      <c r="Q7" s="113">
        <f>T7/0.45359237</f>
        <v>5.1062128400860782</v>
      </c>
      <c r="R7" s="67">
        <f>T7*1000/31.1034768</f>
        <v>74.465603917921982</v>
      </c>
      <c r="S7" s="67">
        <f>T7/1000</f>
        <v>2.3161391838590751E-3</v>
      </c>
      <c r="T7" s="67">
        <f>O7*F7</f>
        <v>2.3161391838590752</v>
      </c>
      <c r="U7" s="114">
        <f>T7*1000</f>
        <v>2316.1391838590753</v>
      </c>
      <c r="V7" s="80">
        <f>AA7/100</f>
        <v>9.9810000286652345E-4</v>
      </c>
      <c r="W7" s="68">
        <f>AA7/4046.8564224</f>
        <v>2.4663588195071111E-5</v>
      </c>
      <c r="X7" s="68">
        <f>AA7*10000</f>
        <v>998.10000286652348</v>
      </c>
      <c r="Y7" s="68">
        <f>AA7*100</f>
        <v>9.9810000286652354</v>
      </c>
      <c r="Z7" s="68">
        <f>AA7/10000</f>
        <v>9.9810000286652346E-6</v>
      </c>
      <c r="AA7" s="68">
        <f>(2*PI()*C7*B7+PI()*(SQRT(C7^2-(C7-B7)^2))*C7)/100^2</f>
        <v>9.9810000286652351E-2</v>
      </c>
      <c r="AB7" s="68">
        <f>AA7*1000000</f>
        <v>99810.000286652357</v>
      </c>
      <c r="AC7" s="68">
        <f>AA7/144*10000/(2.54*2.54)</f>
        <v>1.0743459017772976</v>
      </c>
      <c r="AD7" s="80">
        <f>AA7*10000/(2.54 *2.54)</f>
        <v>154.70580985593085</v>
      </c>
      <c r="AE7" s="169">
        <v>30</v>
      </c>
      <c r="AF7" s="215">
        <v>235.619</v>
      </c>
      <c r="AG7" s="65">
        <v>23.561900000000001</v>
      </c>
      <c r="AH7" s="65">
        <v>2.35619E-2</v>
      </c>
      <c r="AI7" s="65">
        <v>2356.19</v>
      </c>
      <c r="AJ7" s="65">
        <v>2.3561900000000002E-3</v>
      </c>
      <c r="AK7" s="66">
        <v>2.3561899999999998</v>
      </c>
      <c r="AL7" s="113">
        <v>5.1062099999999999</v>
      </c>
      <c r="AM7" s="67">
        <v>74.465599999999995</v>
      </c>
      <c r="AN7" s="67">
        <v>2.31614E-3</v>
      </c>
      <c r="AO7" s="67">
        <v>2.3161399999999999</v>
      </c>
      <c r="AP7" s="114">
        <v>2316.14</v>
      </c>
      <c r="AQ7" s="121">
        <v>9.9810000000000003E-4</v>
      </c>
      <c r="AR7" s="121">
        <v>2.4663588195071101E-5</v>
      </c>
      <c r="AS7" s="68">
        <v>998.1</v>
      </c>
      <c r="AT7" s="68">
        <v>9.9809999999999999</v>
      </c>
      <c r="AU7" s="68">
        <v>9.9810000286652295E-6</v>
      </c>
      <c r="AV7" s="68">
        <v>9.9809999999999996E-2</v>
      </c>
      <c r="AW7" s="68">
        <v>99810</v>
      </c>
      <c r="AX7" s="68">
        <v>1.0743499999999999</v>
      </c>
      <c r="AY7" s="216">
        <v>154.70599999999999</v>
      </c>
      <c r="AZ7" s="246">
        <f>(J7-AE7)/J7</f>
        <v>0</v>
      </c>
      <c r="BA7" s="36">
        <f t="shared" ref="BA7:BT7" si="0">(K7-AF7)/K7</f>
        <v>1.9056968191983283E-6</v>
      </c>
      <c r="BB7" s="37">
        <f t="shared" si="0"/>
        <v>1.9056968191380156E-6</v>
      </c>
      <c r="BC7" s="37">
        <f t="shared" si="0"/>
        <v>1.9056968191980927E-6</v>
      </c>
      <c r="BD7" s="37">
        <f t="shared" si="0"/>
        <v>1.905696819125953E-6</v>
      </c>
      <c r="BE7" s="37">
        <f t="shared" si="0"/>
        <v>1.9056968190876567E-6</v>
      </c>
      <c r="BF7" s="38">
        <f t="shared" si="0"/>
        <v>1.9056968192511021E-6</v>
      </c>
      <c r="BG7" s="105">
        <f t="shared" si="0"/>
        <v>5.5620205566425606E-7</v>
      </c>
      <c r="BH7" s="39">
        <f t="shared" si="0"/>
        <v>5.2613848283008572E-8</v>
      </c>
      <c r="BI7" s="39">
        <f t="shared" si="0"/>
        <v>-3.5237127824391981E-7</v>
      </c>
      <c r="BJ7" s="39">
        <f t="shared" si="0"/>
        <v>-3.5237127816303082E-7</v>
      </c>
      <c r="BK7" s="106">
        <f t="shared" si="0"/>
        <v>-3.5237127815382743E-7</v>
      </c>
      <c r="BL7" s="38">
        <f t="shared" si="0"/>
        <v>2.8719801789845041E-9</v>
      </c>
      <c r="BM7" s="37">
        <f t="shared" si="0"/>
        <v>4.121215164094779E-16</v>
      </c>
      <c r="BN7" s="37">
        <f t="shared" si="0"/>
        <v>2.8719802136615933E-9</v>
      </c>
      <c r="BO7" s="37">
        <f t="shared" si="0"/>
        <v>2.8719803062079867E-9</v>
      </c>
      <c r="BP7" s="37">
        <f t="shared" si="0"/>
        <v>5.0918722261595339E-16</v>
      </c>
      <c r="BQ7" s="37">
        <f t="shared" si="0"/>
        <v>2.8719803006463043E-9</v>
      </c>
      <c r="BR7" s="37">
        <f t="shared" si="0"/>
        <v>2.8719803275648467E-9</v>
      </c>
      <c r="BS7" s="37">
        <f t="shared" si="0"/>
        <v>-3.8146212458475955E-6</v>
      </c>
      <c r="BT7" s="40">
        <f t="shared" si="0"/>
        <v>-1.2290687034575366E-6</v>
      </c>
    </row>
    <row r="8" spans="2:72" x14ac:dyDescent="0.25">
      <c r="B8" s="228">
        <v>5</v>
      </c>
      <c r="C8" s="229">
        <v>7</v>
      </c>
      <c r="D8" s="230">
        <f t="shared" ref="D8:D14" si="1">C8*2</f>
        <v>14</v>
      </c>
      <c r="E8" s="156" t="s">
        <v>3</v>
      </c>
      <c r="F8" s="59"/>
      <c r="G8" s="4">
        <v>12.6</v>
      </c>
      <c r="H8" s="58"/>
      <c r="I8" s="178"/>
      <c r="J8" s="167">
        <f t="shared" ref="J8:J14" si="2">C8*2</f>
        <v>14</v>
      </c>
      <c r="K8" s="69">
        <f t="shared" ref="K8:K14" si="3">O8*100000</f>
        <v>1453013.2880288546</v>
      </c>
      <c r="L8" s="70">
        <f t="shared" ref="L8:L14" si="4">O8*10000</f>
        <v>145301.32880288546</v>
      </c>
      <c r="M8" s="70">
        <f t="shared" ref="M8:M14" si="5">O8*10</f>
        <v>145.30132880288545</v>
      </c>
      <c r="N8" s="70">
        <f t="shared" ref="N8:N14" si="6">O8*1000000</f>
        <v>14530132.880288547</v>
      </c>
      <c r="O8" s="70">
        <f>(((PI()*B8)/6)*(3*(SQRT(C8^2-(C8-B8)^2))^2+B8^2)+((PI()*(C8-B8)*(SQRT(C8^2-(C8-B8)^2))^2)/3))*0.3048^3</f>
        <v>14.530132880288546</v>
      </c>
      <c r="P8" s="71">
        <f t="shared" ref="P8:P14" si="7">O8*1000</f>
        <v>14530.132880288545</v>
      </c>
      <c r="Q8" s="115">
        <f t="shared" ref="Q8:Q14" si="8">T8/0.45359237</f>
        <v>403621.59154404572</v>
      </c>
      <c r="R8" s="72">
        <f t="shared" ref="R8:R14" si="9">T8*1000/31.1034768</f>
        <v>5886148.2100173337</v>
      </c>
      <c r="S8" s="72">
        <f t="shared" ref="S8:S14" si="10">T8/1000</f>
        <v>183.07967429163565</v>
      </c>
      <c r="T8" s="72">
        <f>O8*1000*G8</f>
        <v>183079.67429163566</v>
      </c>
      <c r="U8" s="116">
        <f t="shared" ref="U8:U14" si="11">T8*1000</f>
        <v>183079674.29163566</v>
      </c>
      <c r="V8" s="81">
        <f t="shared" ref="V8:V14" si="12">AA8/100</f>
        <v>0.341356050801709</v>
      </c>
      <c r="W8" s="73">
        <f t="shared" ref="W8:W14" si="13">AA8/4046.8564224</f>
        <v>8.4350917149481359E-3</v>
      </c>
      <c r="X8" s="73">
        <f t="shared" ref="X8:X14" si="14">AA8*10000</f>
        <v>341356.050801709</v>
      </c>
      <c r="Y8" s="73">
        <f t="shared" ref="Y8:Y14" si="15">AA8*100</f>
        <v>3413.5605080170899</v>
      </c>
      <c r="Z8" s="73">
        <f t="shared" ref="Z8:Z14" si="16">AA8/10000</f>
        <v>3.4135605080170897E-3</v>
      </c>
      <c r="AA8" s="73">
        <f>(2*PI()*C8*B8+PI()*(SQRT(C8^2-(C8-B8)^2))*C8)*0.3048^2</f>
        <v>34.135605080170897</v>
      </c>
      <c r="AB8" s="73">
        <f t="shared" ref="AB8:AB14" si="17">AA8*1000000</f>
        <v>34135605.0801709</v>
      </c>
      <c r="AC8" s="73">
        <f t="shared" ref="AC8:AC14" si="18">AA8/144*10000/(2.54*2.54)</f>
        <v>367.43259510314084</v>
      </c>
      <c r="AD8" s="81">
        <f t="shared" ref="AD8:AD14" si="19">AA8*10000/(2.54 *2.54)</f>
        <v>52910.293694852284</v>
      </c>
      <c r="AE8" s="167">
        <v>14</v>
      </c>
      <c r="AF8" s="217">
        <v>1453013</v>
      </c>
      <c r="AG8" s="69">
        <v>145301</v>
      </c>
      <c r="AH8" s="70">
        <v>145.30099999999999</v>
      </c>
      <c r="AI8" s="70">
        <v>14530133</v>
      </c>
      <c r="AJ8" s="70">
        <v>14.530099999999999</v>
      </c>
      <c r="AK8" s="71">
        <v>14530.1</v>
      </c>
      <c r="AL8" s="115">
        <v>403622</v>
      </c>
      <c r="AM8" s="72">
        <v>5886148</v>
      </c>
      <c r="AN8" s="72">
        <v>183.08</v>
      </c>
      <c r="AO8" s="72">
        <v>183080</v>
      </c>
      <c r="AP8" s="116">
        <v>183079674</v>
      </c>
      <c r="AQ8" s="123">
        <v>0.34135599999999999</v>
      </c>
      <c r="AR8" s="123">
        <v>8.4350899999999993E-3</v>
      </c>
      <c r="AS8" s="73">
        <v>341356</v>
      </c>
      <c r="AT8" s="73">
        <v>3413.56</v>
      </c>
      <c r="AU8" s="73">
        <v>3.4135599999999999E-3</v>
      </c>
      <c r="AV8" s="73">
        <v>34.135599999999997</v>
      </c>
      <c r="AW8" s="73">
        <v>34135605</v>
      </c>
      <c r="AX8" s="73">
        <v>367.43299999999999</v>
      </c>
      <c r="AY8" s="218">
        <v>52910.3</v>
      </c>
      <c r="AZ8" s="247">
        <f t="shared" ref="AZ8:AZ14" si="20">(J8-AE8)/J8</f>
        <v>0</v>
      </c>
      <c r="BA8" s="41">
        <f t="shared" ref="BA8:BF14" si="21">(K8-AF8)/K8</f>
        <v>1.9822864458085136E-7</v>
      </c>
      <c r="BB8" s="42">
        <f t="shared" si="21"/>
        <v>2.2629034996962967E-6</v>
      </c>
      <c r="BC8" s="42">
        <f t="shared" si="21"/>
        <v>2.262903499724464E-6</v>
      </c>
      <c r="BD8" s="42">
        <f t="shared" si="21"/>
        <v>-8.2388409026512073E-9</v>
      </c>
      <c r="BE8" s="42">
        <f t="shared" si="21"/>
        <v>2.2629034997733653E-6</v>
      </c>
      <c r="BF8" s="43">
        <f t="shared" si="21"/>
        <v>2.2629034996462218E-6</v>
      </c>
      <c r="BG8" s="107">
        <f t="shared" ref="BG8:BG14" si="22">(Q8-AL8)/Q8</f>
        <v>-1.0119774631481064E-6</v>
      </c>
      <c r="BH8" s="44">
        <f t="shared" ref="BH8:BT14" si="23">(R8-AM8)/R8</f>
        <v>3.5679926200479989E-8</v>
      </c>
      <c r="BI8" s="44">
        <f t="shared" si="23"/>
        <v>-1.7790525661449948E-6</v>
      </c>
      <c r="BJ8" s="44">
        <f t="shared" si="23"/>
        <v>-1.7790525660506076E-6</v>
      </c>
      <c r="BK8" s="108">
        <f t="shared" si="23"/>
        <v>1.5929439652198459E-9</v>
      </c>
      <c r="BL8" s="43">
        <f t="shared" si="23"/>
        <v>1.488232269117931E-7</v>
      </c>
      <c r="BM8" s="42">
        <f t="shared" si="23"/>
        <v>2.0331114285165714E-7</v>
      </c>
      <c r="BN8" s="42">
        <f t="shared" si="23"/>
        <v>1.4882322690331086E-7</v>
      </c>
      <c r="BO8" s="42">
        <f t="shared" si="23"/>
        <v>1.4882322687666728E-7</v>
      </c>
      <c r="BP8" s="42">
        <f t="shared" si="23"/>
        <v>1.4882322682540151E-7</v>
      </c>
      <c r="BQ8" s="42">
        <f t="shared" si="23"/>
        <v>1.4882322691829789E-7</v>
      </c>
      <c r="BR8" s="42">
        <f t="shared" si="23"/>
        <v>2.3486005137832912E-9</v>
      </c>
      <c r="BS8" s="42">
        <f t="shared" si="23"/>
        <v>-1.1019622770218491E-6</v>
      </c>
      <c r="BT8" s="45">
        <f t="shared" si="23"/>
        <v>-1.1916674958312091E-7</v>
      </c>
    </row>
    <row r="9" spans="2:72" x14ac:dyDescent="0.25">
      <c r="B9" s="228">
        <v>19</v>
      </c>
      <c r="C9" s="229">
        <v>50</v>
      </c>
      <c r="D9" s="230">
        <f t="shared" si="1"/>
        <v>100</v>
      </c>
      <c r="E9" s="156" t="s">
        <v>4</v>
      </c>
      <c r="F9" s="59"/>
      <c r="G9" s="56"/>
      <c r="H9" s="5">
        <v>62.865000000000002</v>
      </c>
      <c r="I9" s="178"/>
      <c r="J9" s="167">
        <f t="shared" si="2"/>
        <v>100</v>
      </c>
      <c r="K9" s="69">
        <f t="shared" si="3"/>
        <v>163024.68627496826</v>
      </c>
      <c r="L9" s="70">
        <f t="shared" si="4"/>
        <v>16302.468627496826</v>
      </c>
      <c r="M9" s="70">
        <f t="shared" si="5"/>
        <v>16.302468627496825</v>
      </c>
      <c r="N9" s="70">
        <f t="shared" si="6"/>
        <v>1630246.8627496827</v>
      </c>
      <c r="O9" s="70">
        <f>(((PI()*B9)/6)*(3*(SQRT(C9^2-(C9-B9)^2))^2+B9^2)+((PI()*(C9-B9)*(SQRT(C9^2-(C9-B9)^2))^2)/3))*(2.54/100)^3</f>
        <v>1.6302468627496827</v>
      </c>
      <c r="P9" s="71">
        <f t="shared" si="7"/>
        <v>1630.2468627496826</v>
      </c>
      <c r="Q9" s="115">
        <f t="shared" si="8"/>
        <v>3619.2401824754284</v>
      </c>
      <c r="R9" s="72">
        <f t="shared" si="9"/>
        <v>52780.585994433335</v>
      </c>
      <c r="S9" s="72">
        <f t="shared" si="10"/>
        <v>1.6416597319682622</v>
      </c>
      <c r="T9" s="72">
        <f>O9*(0.45359237/0.3048^3)*H9</f>
        <v>1641.6597319682621</v>
      </c>
      <c r="U9" s="116">
        <f t="shared" si="11"/>
        <v>1641659.7319682622</v>
      </c>
      <c r="V9" s="81">
        <f t="shared" si="12"/>
        <v>7.826612892721016E-2</v>
      </c>
      <c r="W9" s="73">
        <f t="shared" si="13"/>
        <v>1.933998164451661E-3</v>
      </c>
      <c r="X9" s="73">
        <f t="shared" si="14"/>
        <v>78266.128927210157</v>
      </c>
      <c r="Y9" s="73">
        <f t="shared" si="15"/>
        <v>782.66128927210161</v>
      </c>
      <c r="Z9" s="73">
        <f t="shared" si="16"/>
        <v>7.8266128927210164E-4</v>
      </c>
      <c r="AA9" s="73">
        <f>(2*PI()*C9*B9+PI()*(SQRT(C9^2-(C9-B9)^2))*C9)*(2.54/100)^2</f>
        <v>7.8266128927210161</v>
      </c>
      <c r="AB9" s="73">
        <f t="shared" si="17"/>
        <v>7826612.892721016</v>
      </c>
      <c r="AC9" s="73">
        <f t="shared" si="18"/>
        <v>84.244960043514354</v>
      </c>
      <c r="AD9" s="81">
        <f t="shared" si="19"/>
        <v>12131.274246266066</v>
      </c>
      <c r="AE9" s="167">
        <v>100</v>
      </c>
      <c r="AF9" s="217">
        <v>163025</v>
      </c>
      <c r="AG9" s="70">
        <v>16302.5</v>
      </c>
      <c r="AH9" s="70">
        <v>16.302499999999998</v>
      </c>
      <c r="AI9" s="70">
        <v>1630247</v>
      </c>
      <c r="AJ9" s="70">
        <v>1.63025</v>
      </c>
      <c r="AK9" s="71">
        <v>1630.25</v>
      </c>
      <c r="AL9" s="115">
        <v>3619.24</v>
      </c>
      <c r="AM9" s="72">
        <v>52780.6</v>
      </c>
      <c r="AN9" s="72">
        <v>1.6416599999999999</v>
      </c>
      <c r="AO9" s="72">
        <v>1641.66</v>
      </c>
      <c r="AP9" s="116">
        <v>1641660</v>
      </c>
      <c r="AQ9" s="123">
        <v>7.8266100000000005E-2</v>
      </c>
      <c r="AR9" s="123">
        <v>1.934E-3</v>
      </c>
      <c r="AS9" s="73">
        <v>78266.100000000006</v>
      </c>
      <c r="AT9" s="73">
        <v>782.66099999999994</v>
      </c>
      <c r="AU9" s="73">
        <v>7.8266100000000003E-4</v>
      </c>
      <c r="AV9" s="73">
        <v>7.8266099999999996</v>
      </c>
      <c r="AW9" s="73">
        <v>7826613</v>
      </c>
      <c r="AX9" s="73">
        <v>84.245000000000005</v>
      </c>
      <c r="AY9" s="218">
        <v>12131.3</v>
      </c>
      <c r="AZ9" s="247">
        <f t="shared" si="20"/>
        <v>0</v>
      </c>
      <c r="BA9" s="41">
        <f t="shared" si="21"/>
        <v>-1.9244019964470557E-6</v>
      </c>
      <c r="BB9" s="42">
        <f t="shared" si="21"/>
        <v>-1.9244019964470557E-6</v>
      </c>
      <c r="BC9" s="42">
        <f t="shared" si="21"/>
        <v>-1.924401996405214E-6</v>
      </c>
      <c r="BD9" s="42">
        <f t="shared" si="21"/>
        <v>-8.4189898104835152E-8</v>
      </c>
      <c r="BE9" s="42">
        <f t="shared" si="21"/>
        <v>-1.924401996405214E-6</v>
      </c>
      <c r="BF9" s="43">
        <f t="shared" si="21"/>
        <v>-1.9244019964749502E-6</v>
      </c>
      <c r="BG9" s="107">
        <f t="shared" si="22"/>
        <v>5.0418159440504093E-8</v>
      </c>
      <c r="BH9" s="44">
        <f t="shared" si="23"/>
        <v>-2.6535451245041018E-7</v>
      </c>
      <c r="BI9" s="44">
        <f t="shared" si="23"/>
        <v>-1.6326875324654737E-7</v>
      </c>
      <c r="BJ9" s="44">
        <f t="shared" si="23"/>
        <v>-1.6326875340885477E-7</v>
      </c>
      <c r="BK9" s="108">
        <f t="shared" si="23"/>
        <v>-1.6326875329140481E-7</v>
      </c>
      <c r="BL9" s="43">
        <f t="shared" si="23"/>
        <v>3.696006248363145E-7</v>
      </c>
      <c r="BM9" s="42">
        <f t="shared" si="23"/>
        <v>-9.4909518153328986E-7</v>
      </c>
      <c r="BN9" s="42">
        <f t="shared" si="23"/>
        <v>3.6960062478331851E-7</v>
      </c>
      <c r="BO9" s="42">
        <f t="shared" si="23"/>
        <v>3.6960062498667794E-7</v>
      </c>
      <c r="BP9" s="42">
        <f t="shared" si="23"/>
        <v>3.6960062490834888E-7</v>
      </c>
      <c r="BQ9" s="42">
        <f t="shared" si="23"/>
        <v>3.6960062496398158E-7</v>
      </c>
      <c r="BR9" s="42">
        <f t="shared" si="23"/>
        <v>-1.3706949035360438E-8</v>
      </c>
      <c r="BS9" s="42">
        <f t="shared" si="23"/>
        <v>-4.7428932995121148E-7</v>
      </c>
      <c r="BT9" s="45">
        <f t="shared" si="23"/>
        <v>-2.1229207592056914E-6</v>
      </c>
    </row>
    <row r="10" spans="2:72" x14ac:dyDescent="0.25">
      <c r="B10" s="228">
        <v>45</v>
      </c>
      <c r="C10" s="229">
        <v>77</v>
      </c>
      <c r="D10" s="230">
        <f t="shared" si="1"/>
        <v>154</v>
      </c>
      <c r="E10" s="156" t="s">
        <v>5</v>
      </c>
      <c r="F10" s="59"/>
      <c r="G10" s="56"/>
      <c r="H10" s="56"/>
      <c r="I10" s="133">
        <v>5.43</v>
      </c>
      <c r="J10" s="167">
        <f t="shared" si="2"/>
        <v>154</v>
      </c>
      <c r="K10" s="69">
        <f t="shared" si="3"/>
        <v>55879508529.401665</v>
      </c>
      <c r="L10" s="70">
        <f t="shared" si="4"/>
        <v>5587950852.9401665</v>
      </c>
      <c r="M10" s="70">
        <f t="shared" si="5"/>
        <v>5587950.8529401664</v>
      </c>
      <c r="N10" s="70">
        <f t="shared" si="6"/>
        <v>558795085294.0166</v>
      </c>
      <c r="O10" s="70">
        <f>((PI()*B10)/6)*(3*(SQRT(C10^2-(C10-B10)^2))^2+B10^2)+((PI()*(C10-B10)*(SQRT(C10^2-(C10-B10)^2))^2)/3)</f>
        <v>558795.08529401664</v>
      </c>
      <c r="P10" s="71">
        <f t="shared" si="7"/>
        <v>558795085.2940166</v>
      </c>
      <c r="Q10" s="115">
        <f t="shared" si="8"/>
        <v>6689392313.0728807</v>
      </c>
      <c r="R10" s="72">
        <f t="shared" si="9"/>
        <v>97553637898.979523</v>
      </c>
      <c r="S10" s="72">
        <f t="shared" si="10"/>
        <v>3034257.3131465102</v>
      </c>
      <c r="T10" s="72">
        <f>O10*1000*I10</f>
        <v>3034257313.1465101</v>
      </c>
      <c r="U10" s="116">
        <f t="shared" si="11"/>
        <v>3034257313146.5103</v>
      </c>
      <c r="V10" s="81">
        <f t="shared" si="12"/>
        <v>387.13058669223943</v>
      </c>
      <c r="W10" s="73">
        <f t="shared" si="13"/>
        <v>9.5662051302193341</v>
      </c>
      <c r="X10" s="73">
        <f t="shared" si="14"/>
        <v>387130586.69223946</v>
      </c>
      <c r="Y10" s="73">
        <f t="shared" si="15"/>
        <v>3871305.8669223944</v>
      </c>
      <c r="Z10" s="73">
        <f t="shared" si="16"/>
        <v>3.8713058669223943</v>
      </c>
      <c r="AA10" s="73">
        <f>2*PI()*C10*B10+PI()*(SQRT(C10^2-(C10-B10)^2))*C10</f>
        <v>38713.058669223945</v>
      </c>
      <c r="AB10" s="73">
        <f t="shared" si="17"/>
        <v>38713058669.223946</v>
      </c>
      <c r="AC10" s="73">
        <f t="shared" si="18"/>
        <v>416703.89547235431</v>
      </c>
      <c r="AD10" s="81">
        <f t="shared" si="19"/>
        <v>60005360.948019013</v>
      </c>
      <c r="AE10" s="167">
        <v>154</v>
      </c>
      <c r="AF10" s="217">
        <v>55879508529</v>
      </c>
      <c r="AG10" s="70">
        <v>5587950853</v>
      </c>
      <c r="AH10" s="70">
        <v>5587951</v>
      </c>
      <c r="AI10" s="70">
        <v>558795085294</v>
      </c>
      <c r="AJ10" s="70">
        <v>558795</v>
      </c>
      <c r="AK10" s="71">
        <v>558795085</v>
      </c>
      <c r="AL10" s="115">
        <v>6689392313</v>
      </c>
      <c r="AM10" s="72">
        <v>97553637899</v>
      </c>
      <c r="AN10" s="72">
        <v>3034257</v>
      </c>
      <c r="AO10" s="72">
        <v>3034257313</v>
      </c>
      <c r="AP10" s="116">
        <v>3034257313147</v>
      </c>
      <c r="AQ10" s="123">
        <v>387.13099999999997</v>
      </c>
      <c r="AR10" s="123">
        <v>9.5662099999999999</v>
      </c>
      <c r="AS10" s="73">
        <v>387130587</v>
      </c>
      <c r="AT10" s="73">
        <v>3871306</v>
      </c>
      <c r="AU10" s="73">
        <v>3.8713099999999998</v>
      </c>
      <c r="AV10" s="73">
        <v>38713.1</v>
      </c>
      <c r="AW10" s="73">
        <v>38713058669</v>
      </c>
      <c r="AX10" s="73">
        <v>416704</v>
      </c>
      <c r="AY10" s="218">
        <v>60005361</v>
      </c>
      <c r="AZ10" s="247">
        <f t="shared" si="20"/>
        <v>0</v>
      </c>
      <c r="BA10" s="41">
        <f t="shared" si="21"/>
        <v>7.1880505834330682E-12</v>
      </c>
      <c r="BB10" s="42">
        <f t="shared" si="21"/>
        <v>-1.0707597147144915E-11</v>
      </c>
      <c r="BC10" s="42">
        <f t="shared" si="21"/>
        <v>-2.6317309779763396E-8</v>
      </c>
      <c r="BD10" s="42">
        <f t="shared" si="21"/>
        <v>2.9709571427717362E-14</v>
      </c>
      <c r="BE10" s="42">
        <f t="shared" si="21"/>
        <v>1.5263916752601645E-7</v>
      </c>
      <c r="BF10" s="43">
        <f t="shared" si="21"/>
        <v>5.2616174943709657E-10</v>
      </c>
      <c r="BG10" s="107">
        <f t="shared" si="22"/>
        <v>1.0894972446398958E-11</v>
      </c>
      <c r="BH10" s="44">
        <f t="shared" si="23"/>
        <v>-2.099080604567511E-13</v>
      </c>
      <c r="BI10" s="44">
        <f t="shared" si="23"/>
        <v>1.0320367649925115E-7</v>
      </c>
      <c r="BJ10" s="44">
        <f t="shared" si="23"/>
        <v>4.8285332813324486E-11</v>
      </c>
      <c r="BK10" s="108">
        <f t="shared" si="23"/>
        <v>-1.6140559062940368E-13</v>
      </c>
      <c r="BL10" s="43">
        <f t="shared" si="23"/>
        <v>-1.0676184593685924E-6</v>
      </c>
      <c r="BM10" s="42">
        <f t="shared" si="23"/>
        <v>-5.0906086578101239E-7</v>
      </c>
      <c r="BN10" s="42">
        <f t="shared" si="23"/>
        <v>-7.9497861251492343E-10</v>
      </c>
      <c r="BO10" s="42">
        <f t="shared" si="23"/>
        <v>-3.4375378800350649E-8</v>
      </c>
      <c r="BP10" s="42">
        <f t="shared" si="23"/>
        <v>-1.0676184593961237E-6</v>
      </c>
      <c r="BQ10" s="42">
        <f t="shared" si="23"/>
        <v>-1.0676184593627191E-6</v>
      </c>
      <c r="BR10" s="42">
        <f t="shared" si="23"/>
        <v>5.7847564975229722E-12</v>
      </c>
      <c r="BS10" s="42">
        <f t="shared" si="23"/>
        <v>-2.5084393695837297E-7</v>
      </c>
      <c r="BT10" s="45">
        <f t="shared" si="23"/>
        <v>-8.6627238583282501E-10</v>
      </c>
    </row>
    <row r="11" spans="2:72" x14ac:dyDescent="0.25">
      <c r="B11" s="228">
        <v>7</v>
      </c>
      <c r="C11" s="229">
        <v>48</v>
      </c>
      <c r="D11" s="230">
        <f t="shared" si="1"/>
        <v>96</v>
      </c>
      <c r="E11" s="156" t="s">
        <v>6</v>
      </c>
      <c r="F11" s="11">
        <v>23</v>
      </c>
      <c r="G11" s="58"/>
      <c r="H11" s="58"/>
      <c r="I11" s="178"/>
      <c r="J11" s="167">
        <f t="shared" si="2"/>
        <v>96</v>
      </c>
      <c r="K11" s="69">
        <f t="shared" si="3"/>
        <v>1.4079453052633238E+19</v>
      </c>
      <c r="L11" s="70">
        <f t="shared" si="4"/>
        <v>1.4079453052633236E+18</v>
      </c>
      <c r="M11" s="70">
        <f t="shared" si="5"/>
        <v>1407945305263323.7</v>
      </c>
      <c r="N11" s="70">
        <f t="shared" si="6"/>
        <v>1.4079453052633237E+20</v>
      </c>
      <c r="O11" s="70">
        <f>(((PI()*B11)/6)*(3*(SQRT(C11^2-(C11-B11)^2))^2+B11^2)+((PI()*(C11-B11)*(SQRT(C11^2-(C11-B11)^2))^2)/3))*(63360*2.54/100)^3</f>
        <v>140794530526332.37</v>
      </c>
      <c r="P11" s="71">
        <f t="shared" si="7"/>
        <v>1.4079453052633237E+17</v>
      </c>
      <c r="Q11" s="115">
        <f t="shared" si="8"/>
        <v>7139172561711398</v>
      </c>
      <c r="R11" s="72">
        <f t="shared" si="9"/>
        <v>1.0411293319162456E+17</v>
      </c>
      <c r="S11" s="72">
        <f t="shared" si="10"/>
        <v>3238274202105.6445</v>
      </c>
      <c r="T11" s="72">
        <f>O11*F11</f>
        <v>3238274202105644.5</v>
      </c>
      <c r="U11" s="116">
        <f t="shared" si="11"/>
        <v>3.2382742021056445E+18</v>
      </c>
      <c r="V11" s="81">
        <f t="shared" si="12"/>
        <v>152162442.67012468</v>
      </c>
      <c r="W11" s="73">
        <f t="shared" si="13"/>
        <v>3760015.8440976837</v>
      </c>
      <c r="X11" s="73">
        <f t="shared" si="14"/>
        <v>152162442670124.69</v>
      </c>
      <c r="Y11" s="73">
        <f t="shared" si="15"/>
        <v>1521624426701.2468</v>
      </c>
      <c r="Z11" s="73">
        <f t="shared" si="16"/>
        <v>1521624.4267012468</v>
      </c>
      <c r="AA11" s="73">
        <f>(2*PI()*C11*B11+PI()*(SQRT(C11^2-(C11-B11)^2))*C11)*(63360*2.54/100)^2</f>
        <v>15216244267.012468</v>
      </c>
      <c r="AB11" s="73">
        <f t="shared" si="17"/>
        <v>1.5216244267012468E+16</v>
      </c>
      <c r="AC11" s="73">
        <f t="shared" si="18"/>
        <v>163786290168.89511</v>
      </c>
      <c r="AD11" s="81">
        <f t="shared" si="19"/>
        <v>23585225784320.895</v>
      </c>
      <c r="AE11" s="167">
        <v>96</v>
      </c>
      <c r="AF11" s="267">
        <v>1.4079453052633201E+19</v>
      </c>
      <c r="AG11" s="268">
        <v>1.4079453052633201E+18</v>
      </c>
      <c r="AH11" s="268">
        <v>1407945305263320</v>
      </c>
      <c r="AI11" s="268">
        <v>1.4079453052633199E+20</v>
      </c>
      <c r="AJ11" s="70">
        <v>140794530526332</v>
      </c>
      <c r="AK11" s="269">
        <v>1.40794530526332E+17</v>
      </c>
      <c r="AL11" s="270">
        <v>7139172561711400</v>
      </c>
      <c r="AM11" s="271">
        <v>1.0411293319162499E+17</v>
      </c>
      <c r="AN11" s="72">
        <v>3238274202106</v>
      </c>
      <c r="AO11" s="271">
        <v>3238274202105640</v>
      </c>
      <c r="AP11" s="266">
        <v>3.2382742021056399E+18</v>
      </c>
      <c r="AQ11" s="123">
        <v>152162443</v>
      </c>
      <c r="AR11" s="123">
        <v>3760016</v>
      </c>
      <c r="AS11" s="73">
        <v>152162442670125</v>
      </c>
      <c r="AT11" s="73">
        <v>1521624426701</v>
      </c>
      <c r="AU11" s="73">
        <v>1521624</v>
      </c>
      <c r="AV11" s="73">
        <v>15216244267</v>
      </c>
      <c r="AW11" s="73">
        <v>1.52162442670125E+16</v>
      </c>
      <c r="AX11" s="73">
        <v>163786290169</v>
      </c>
      <c r="AY11" s="218">
        <v>23585225784321</v>
      </c>
      <c r="AZ11" s="247">
        <f t="shared" si="20"/>
        <v>0</v>
      </c>
      <c r="BA11" s="41">
        <f t="shared" si="21"/>
        <v>2.6182835272216372E-15</v>
      </c>
      <c r="BB11" s="42">
        <f t="shared" si="21"/>
        <v>2.5455534292432586E-15</v>
      </c>
      <c r="BC11" s="42">
        <f t="shared" si="21"/>
        <v>2.6634557365128961E-15</v>
      </c>
      <c r="BD11" s="42">
        <f t="shared" si="21"/>
        <v>2.6764676056043403E-15</v>
      </c>
      <c r="BE11" s="42">
        <f t="shared" si="21"/>
        <v>2.6634557365128961E-15</v>
      </c>
      <c r="BF11" s="43">
        <f t="shared" si="21"/>
        <v>2.6137378960979888E-15</v>
      </c>
      <c r="BG11" s="107">
        <f t="shared" si="22"/>
        <v>-2.8014451012521276E-16</v>
      </c>
      <c r="BH11" s="44">
        <f t="shared" si="23"/>
        <v>-4.1493404013974367E-15</v>
      </c>
      <c r="BI11" s="44">
        <f t="shared" si="23"/>
        <v>-1.0977104711171808E-13</v>
      </c>
      <c r="BJ11" s="44">
        <f t="shared" si="23"/>
        <v>1.3896290799197719E-15</v>
      </c>
      <c r="BK11" s="108">
        <f t="shared" si="23"/>
        <v>1.4229801778378463E-15</v>
      </c>
      <c r="BL11" s="43">
        <f t="shared" si="23"/>
        <v>-2.1679155145484459E-9</v>
      </c>
      <c r="BM11" s="42">
        <f t="shared" si="23"/>
        <v>-4.1463207282189273E-8</v>
      </c>
      <c r="BN11" s="42">
        <f t="shared" si="23"/>
        <v>-2.0537262317579484E-15</v>
      </c>
      <c r="BO11" s="42">
        <f t="shared" si="23"/>
        <v>1.6221228283650669E-13</v>
      </c>
      <c r="BP11" s="42">
        <f t="shared" si="23"/>
        <v>2.8042481395086294E-7</v>
      </c>
      <c r="BQ11" s="42">
        <f t="shared" si="23"/>
        <v>8.1940969097910819E-13</v>
      </c>
      <c r="BR11" s="42">
        <f t="shared" si="23"/>
        <v>-2.103015661320139E-15</v>
      </c>
      <c r="BS11" s="42">
        <f t="shared" si="23"/>
        <v>-6.404010732977979E-13</v>
      </c>
      <c r="BT11" s="45">
        <f t="shared" si="23"/>
        <v>-4.4718143029232326E-15</v>
      </c>
    </row>
    <row r="12" spans="2:72" x14ac:dyDescent="0.25">
      <c r="B12" s="228">
        <v>59</v>
      </c>
      <c r="C12" s="229">
        <v>450</v>
      </c>
      <c r="D12" s="230">
        <f t="shared" si="1"/>
        <v>900</v>
      </c>
      <c r="E12" s="156" t="s">
        <v>7</v>
      </c>
      <c r="F12" s="59"/>
      <c r="G12" s="4">
        <v>1998</v>
      </c>
      <c r="H12" s="58"/>
      <c r="I12" s="178"/>
      <c r="J12" s="167">
        <f t="shared" si="2"/>
        <v>900</v>
      </c>
      <c r="K12" s="69">
        <f t="shared" si="3"/>
        <v>2502.2785485842705</v>
      </c>
      <c r="L12" s="70">
        <f t="shared" si="4"/>
        <v>250.22785485842707</v>
      </c>
      <c r="M12" s="70">
        <f t="shared" si="5"/>
        <v>0.25022785485842702</v>
      </c>
      <c r="N12" s="70">
        <f t="shared" si="6"/>
        <v>25022.785485842705</v>
      </c>
      <c r="O12" s="70">
        <f>(((PI()*B12)/6)*(3*(SQRT(C12^2-(C12-B12)^2))^2+B12^2)+((PI()*(C12-B12)*(SQRT(C12^2-(C12-B12)^2))^2)/3))/1000^3</f>
        <v>2.5022785485842705E-2</v>
      </c>
      <c r="P12" s="71">
        <f t="shared" si="7"/>
        <v>25.022785485842704</v>
      </c>
      <c r="Q12" s="115">
        <f t="shared" si="8"/>
        <v>110221.26628962855</v>
      </c>
      <c r="R12" s="72">
        <f t="shared" si="9"/>
        <v>1607393.4667237496</v>
      </c>
      <c r="S12" s="72">
        <f t="shared" si="10"/>
        <v>49.995525400713717</v>
      </c>
      <c r="T12" s="72">
        <f>O12*1000*G12</f>
        <v>49995.525400713719</v>
      </c>
      <c r="U12" s="116">
        <f t="shared" si="11"/>
        <v>49995525.400713719</v>
      </c>
      <c r="V12" s="81">
        <f t="shared" si="12"/>
        <v>4.8172852514278526E-3</v>
      </c>
      <c r="W12" s="73">
        <f t="shared" si="13"/>
        <v>1.190377109690229E-4</v>
      </c>
      <c r="X12" s="73">
        <f t="shared" si="14"/>
        <v>4817.2852514278529</v>
      </c>
      <c r="Y12" s="73">
        <f t="shared" si="15"/>
        <v>48.172852514278532</v>
      </c>
      <c r="Z12" s="73">
        <f t="shared" si="16"/>
        <v>4.817285251427853E-5</v>
      </c>
      <c r="AA12" s="73">
        <f>(2*PI()*C12*B12+PI()*(SQRT(C12^2-(C12-B12)^2))*C12)/1000^2</f>
        <v>0.4817285251427853</v>
      </c>
      <c r="AB12" s="73">
        <f t="shared" si="17"/>
        <v>481728.52514278528</v>
      </c>
      <c r="AC12" s="73">
        <f t="shared" si="18"/>
        <v>5.1852826898106379</v>
      </c>
      <c r="AD12" s="81">
        <f t="shared" si="19"/>
        <v>746.68070733273191</v>
      </c>
      <c r="AE12" s="167">
        <v>900</v>
      </c>
      <c r="AF12" s="217">
        <v>2502.2800000000002</v>
      </c>
      <c r="AG12" s="70">
        <v>250.22800000000001</v>
      </c>
      <c r="AH12" s="70">
        <v>0.25022800000000001</v>
      </c>
      <c r="AI12" s="70">
        <v>25022.799999999999</v>
      </c>
      <c r="AJ12" s="70">
        <v>2.5022800000000001E-2</v>
      </c>
      <c r="AK12" s="71">
        <v>25.0228</v>
      </c>
      <c r="AL12" s="115">
        <v>110221</v>
      </c>
      <c r="AM12" s="72">
        <v>1607393</v>
      </c>
      <c r="AN12" s="72">
        <v>49.9955</v>
      </c>
      <c r="AO12" s="72">
        <v>49995.5</v>
      </c>
      <c r="AP12" s="116">
        <v>49995525</v>
      </c>
      <c r="AQ12" s="123">
        <v>4.8172900000000001E-3</v>
      </c>
      <c r="AR12" s="123">
        <v>1.1903799999999999E-4</v>
      </c>
      <c r="AS12" s="73">
        <v>4817.29</v>
      </c>
      <c r="AT12" s="73">
        <v>48.172899999999998</v>
      </c>
      <c r="AU12" s="73">
        <v>4.8172852514278503E-5</v>
      </c>
      <c r="AV12" s="73">
        <v>0.48172900000000002</v>
      </c>
      <c r="AW12" s="73">
        <v>481729</v>
      </c>
      <c r="AX12" s="73">
        <v>5.1852799999999997</v>
      </c>
      <c r="AY12" s="218">
        <v>746.68100000000004</v>
      </c>
      <c r="AZ12" s="247">
        <f t="shared" si="20"/>
        <v>0</v>
      </c>
      <c r="BA12" s="41">
        <f t="shared" si="21"/>
        <v>-5.8003763429249402E-7</v>
      </c>
      <c r="BB12" s="42">
        <f t="shared" si="21"/>
        <v>-5.800376342016274E-7</v>
      </c>
      <c r="BC12" s="42">
        <f t="shared" si="21"/>
        <v>-5.800376343578045E-7</v>
      </c>
      <c r="BD12" s="42">
        <f t="shared" si="21"/>
        <v>-5.8003763418345409E-7</v>
      </c>
      <c r="BE12" s="42">
        <f t="shared" si="21"/>
        <v>-5.8003763427461358E-7</v>
      </c>
      <c r="BF12" s="43">
        <f t="shared" si="21"/>
        <v>-5.8003763428681488E-7</v>
      </c>
      <c r="BG12" s="107">
        <f t="shared" si="22"/>
        <v>2.4159550830023484E-6</v>
      </c>
      <c r="BH12" s="44">
        <f t="shared" si="23"/>
        <v>2.9036061133072233E-7</v>
      </c>
      <c r="BI12" s="44">
        <f t="shared" si="23"/>
        <v>5.0805974162035912E-7</v>
      </c>
      <c r="BJ12" s="44">
        <f t="shared" si="23"/>
        <v>5.0805974165787919E-7</v>
      </c>
      <c r="BK12" s="108">
        <f t="shared" si="23"/>
        <v>8.0149916660714832E-9</v>
      </c>
      <c r="BL12" s="43">
        <f t="shared" si="23"/>
        <v>-9.8573613552708112E-7</v>
      </c>
      <c r="BM12" s="42">
        <f t="shared" si="23"/>
        <v>-2.4280622899832803E-6</v>
      </c>
      <c r="BN12" s="42">
        <f t="shared" si="23"/>
        <v>-9.8573613543626585E-7</v>
      </c>
      <c r="BO12" s="42">
        <f t="shared" si="23"/>
        <v>-9.8573613536546639E-7</v>
      </c>
      <c r="BP12" s="42">
        <f t="shared" si="23"/>
        <v>5.6266243117124152E-16</v>
      </c>
      <c r="BQ12" s="42">
        <f t="shared" si="23"/>
        <v>-9.8573613546226235E-7</v>
      </c>
      <c r="BR12" s="42">
        <f t="shared" si="23"/>
        <v>-9.8573613547402552E-7</v>
      </c>
      <c r="BS12" s="42">
        <f t="shared" si="23"/>
        <v>5.1873943989765526E-7</v>
      </c>
      <c r="BT12" s="45">
        <f t="shared" si="23"/>
        <v>-3.919577206867847E-7</v>
      </c>
    </row>
    <row r="13" spans="2:72" x14ac:dyDescent="0.25">
      <c r="B13" s="228">
        <v>177</v>
      </c>
      <c r="C13" s="229">
        <v>1240</v>
      </c>
      <c r="D13" s="230">
        <f t="shared" si="1"/>
        <v>2480</v>
      </c>
      <c r="E13" s="156" t="s">
        <v>8</v>
      </c>
      <c r="F13" s="59"/>
      <c r="G13" s="58"/>
      <c r="H13" s="4">
        <v>135.69999999999999</v>
      </c>
      <c r="I13" s="178"/>
      <c r="J13" s="167">
        <f t="shared" si="2"/>
        <v>2480</v>
      </c>
      <c r="K13" s="69">
        <f t="shared" si="3"/>
        <v>43579666506800.25</v>
      </c>
      <c r="L13" s="70">
        <f t="shared" si="4"/>
        <v>4357966650680.0244</v>
      </c>
      <c r="M13" s="70">
        <f t="shared" si="5"/>
        <v>4357966650.6800251</v>
      </c>
      <c r="N13" s="70">
        <f t="shared" si="6"/>
        <v>435796665068002.44</v>
      </c>
      <c r="O13" s="70">
        <f>(((PI()*B13)/6)*(3*(SQRT(C13^2-(C13-B13)^2))^2+B13^2)+((PI()*(C13-B13)*(SQRT(C13^2-(C13-B13)^2))^2)/3))*0.9144^3</f>
        <v>435796665.06800246</v>
      </c>
      <c r="P13" s="71">
        <f t="shared" si="7"/>
        <v>435796665068.00244</v>
      </c>
      <c r="Q13" s="115">
        <f t="shared" si="8"/>
        <v>2088424897793.3623</v>
      </c>
      <c r="R13" s="72">
        <f t="shared" si="9"/>
        <v>30456196426153.203</v>
      </c>
      <c r="S13" s="72">
        <f t="shared" si="10"/>
        <v>947293598.95709896</v>
      </c>
      <c r="T13" s="72">
        <f>O13*(0.45359237/0.3048^3)*H13</f>
        <v>947293598957.099</v>
      </c>
      <c r="U13" s="116">
        <f t="shared" si="11"/>
        <v>947293598957099</v>
      </c>
      <c r="V13" s="81">
        <f t="shared" si="12"/>
        <v>32326.370476279004</v>
      </c>
      <c r="W13" s="73">
        <f t="shared" si="13"/>
        <v>798.80201079898336</v>
      </c>
      <c r="X13" s="73">
        <f t="shared" si="14"/>
        <v>32326370476.279003</v>
      </c>
      <c r="Y13" s="73">
        <f t="shared" si="15"/>
        <v>323263704.76279002</v>
      </c>
      <c r="Z13" s="73">
        <f t="shared" si="16"/>
        <v>323.26370476279004</v>
      </c>
      <c r="AA13" s="73">
        <f>(2*PI()*C13*B13+PI()*(SQRT(C13^2-(C13-B13)^2))*C13)*0.9144^2</f>
        <v>3232637.0476279003</v>
      </c>
      <c r="AB13" s="73">
        <f t="shared" si="17"/>
        <v>3232637047627.9004</v>
      </c>
      <c r="AC13" s="73">
        <f t="shared" si="18"/>
        <v>34795815.590403721</v>
      </c>
      <c r="AD13" s="81">
        <f t="shared" si="19"/>
        <v>5010597445.0181351</v>
      </c>
      <c r="AE13" s="167">
        <v>2480</v>
      </c>
      <c r="AF13" s="217">
        <v>43579666506800</v>
      </c>
      <c r="AG13" s="70">
        <v>4357966650680</v>
      </c>
      <c r="AH13" s="70">
        <v>4357966651</v>
      </c>
      <c r="AI13" s="70">
        <v>435796665068002</v>
      </c>
      <c r="AJ13" s="70">
        <v>435796665</v>
      </c>
      <c r="AK13" s="71">
        <v>435796665068</v>
      </c>
      <c r="AL13" s="115">
        <v>2088424897793</v>
      </c>
      <c r="AM13" s="72">
        <v>30456196426153</v>
      </c>
      <c r="AN13" s="72">
        <v>947293599</v>
      </c>
      <c r="AO13" s="72">
        <v>947293598957</v>
      </c>
      <c r="AP13" s="116">
        <v>947293598957099</v>
      </c>
      <c r="AQ13" s="123">
        <v>32326.400000000001</v>
      </c>
      <c r="AR13" s="123">
        <v>798.80200000000002</v>
      </c>
      <c r="AS13" s="73">
        <v>32326370476</v>
      </c>
      <c r="AT13" s="73">
        <v>323263705</v>
      </c>
      <c r="AU13" s="73">
        <v>323.26400000000001</v>
      </c>
      <c r="AV13" s="73">
        <v>3232637</v>
      </c>
      <c r="AW13" s="73">
        <v>3232637047628</v>
      </c>
      <c r="AX13" s="73">
        <v>34795816</v>
      </c>
      <c r="AY13" s="218">
        <v>5010597445</v>
      </c>
      <c r="AZ13" s="247">
        <f t="shared" si="20"/>
        <v>0</v>
      </c>
      <c r="BA13" s="41">
        <f t="shared" si="21"/>
        <v>5.7366203103226951E-15</v>
      </c>
      <c r="BB13" s="42">
        <f t="shared" si="21"/>
        <v>5.6021682717995073E-15</v>
      </c>
      <c r="BC13" s="42">
        <f t="shared" si="21"/>
        <v>-7.3422980242876052E-11</v>
      </c>
      <c r="BD13" s="42">
        <f t="shared" si="21"/>
        <v>1.0039085543064718E-15</v>
      </c>
      <c r="BE13" s="42">
        <f t="shared" si="21"/>
        <v>1.5604172275268269E-10</v>
      </c>
      <c r="BF13" s="43">
        <f t="shared" si="21"/>
        <v>5.6021682717995073E-15</v>
      </c>
      <c r="BG13" s="107">
        <f t="shared" si="22"/>
        <v>1.7348226784827767E-13</v>
      </c>
      <c r="BH13" s="44">
        <f t="shared" si="23"/>
        <v>6.6694145637166121E-15</v>
      </c>
      <c r="BI13" s="44">
        <f t="shared" si="23"/>
        <v>-4.5288006981960043E-11</v>
      </c>
      <c r="BJ13" s="44">
        <f t="shared" si="23"/>
        <v>1.0450722304731151E-13</v>
      </c>
      <c r="BK13" s="108">
        <f t="shared" si="23"/>
        <v>0</v>
      </c>
      <c r="BL13" s="43">
        <f t="shared" si="23"/>
        <v>-9.133014490196361E-7</v>
      </c>
      <c r="BM13" s="42">
        <f t="shared" si="23"/>
        <v>1.3518973655003127E-8</v>
      </c>
      <c r="BN13" s="42">
        <f t="shared" si="23"/>
        <v>8.6308218089401208E-12</v>
      </c>
      <c r="BO13" s="42">
        <f t="shared" si="23"/>
        <v>-7.3379712050728338E-10</v>
      </c>
      <c r="BP13" s="42">
        <f t="shared" si="23"/>
        <v>-9.1330144899853502E-7</v>
      </c>
      <c r="BQ13" s="42">
        <f t="shared" si="23"/>
        <v>1.473345122254945E-8</v>
      </c>
      <c r="BR13" s="42">
        <f t="shared" si="23"/>
        <v>-3.0813658796954354E-14</v>
      </c>
      <c r="BS13" s="42">
        <f t="shared" si="23"/>
        <v>-1.1771423440250047E-8</v>
      </c>
      <c r="BT13" s="45">
        <f t="shared" si="23"/>
        <v>3.6193430024621769E-12</v>
      </c>
    </row>
    <row r="14" spans="2:72" ht="15.75" thickBot="1" x14ac:dyDescent="0.3">
      <c r="B14" s="231">
        <v>66</v>
      </c>
      <c r="C14" s="232">
        <v>267</v>
      </c>
      <c r="D14" s="233">
        <f t="shared" si="1"/>
        <v>534</v>
      </c>
      <c r="E14" s="157" t="s">
        <v>43</v>
      </c>
      <c r="F14" s="63"/>
      <c r="G14" s="60"/>
      <c r="H14" s="60"/>
      <c r="I14" s="179">
        <v>3588</v>
      </c>
      <c r="J14" s="168">
        <f t="shared" si="2"/>
        <v>534</v>
      </c>
      <c r="K14" s="79">
        <f t="shared" si="3"/>
        <v>9.854283941997562E-7</v>
      </c>
      <c r="L14" s="74">
        <f t="shared" si="4"/>
        <v>9.854283941997562E-8</v>
      </c>
      <c r="M14" s="74">
        <f t="shared" si="5"/>
        <v>9.8542839419975618E-11</v>
      </c>
      <c r="N14" s="74">
        <f t="shared" si="6"/>
        <v>9.8542839419975616E-6</v>
      </c>
      <c r="O14" s="281">
        <f>(((PI()*B14)/6)*(3*(SQRT(C14^2-(C14-B14)^2))^2+B14^2)+((PI()*(C14-B14)*(SQRT(C14^2-(C14-B14)^2))^2)/3))/1000000^3</f>
        <v>9.8542839419975621E-12</v>
      </c>
      <c r="P14" s="75">
        <f t="shared" si="7"/>
        <v>9.8542839419975624E-9</v>
      </c>
      <c r="Q14" s="117">
        <f t="shared" si="8"/>
        <v>7.7949218554728455E-5</v>
      </c>
      <c r="R14" s="76">
        <f t="shared" si="9"/>
        <v>1.1367594372564567E-3</v>
      </c>
      <c r="S14" s="76">
        <f t="shared" si="10"/>
        <v>3.5357170783887255E-8</v>
      </c>
      <c r="T14" s="76">
        <f>O14*1000*I14</f>
        <v>3.5357170783887256E-5</v>
      </c>
      <c r="U14" s="118">
        <f t="shared" si="11"/>
        <v>3.5357170783887254E-2</v>
      </c>
      <c r="V14" s="82">
        <f t="shared" si="12"/>
        <v>2.5814216300346125E-9</v>
      </c>
      <c r="W14" s="77">
        <f t="shared" si="13"/>
        <v>6.378831766172947E-11</v>
      </c>
      <c r="X14" s="77">
        <f t="shared" si="14"/>
        <v>2.5814216300346126E-3</v>
      </c>
      <c r="Y14" s="77">
        <f t="shared" si="15"/>
        <v>2.5814216300346124E-5</v>
      </c>
      <c r="Z14" s="77">
        <f t="shared" si="16"/>
        <v>2.5814216300346127E-11</v>
      </c>
      <c r="AA14" s="77">
        <f>(2*PI()*C14*B14+PI()*(SQRT(C14^2-(C14-B14)^2))*C14)/1000000^2</f>
        <v>2.5814216300346126E-7</v>
      </c>
      <c r="AB14" s="77">
        <f t="shared" si="17"/>
        <v>0.25814216300346127</v>
      </c>
      <c r="AC14" s="77">
        <f t="shared" si="18"/>
        <v>2.7786191173449357E-6</v>
      </c>
      <c r="AD14" s="82">
        <f t="shared" si="19"/>
        <v>4.0012115289767073E-4</v>
      </c>
      <c r="AE14" s="168">
        <v>534</v>
      </c>
      <c r="AF14" s="274">
        <v>9.8542839419975599E-7</v>
      </c>
      <c r="AG14" s="275">
        <v>9.8542839419975594E-8</v>
      </c>
      <c r="AH14" s="275">
        <v>9.8542839419975605E-11</v>
      </c>
      <c r="AI14" s="275">
        <v>9.8542839419975599E-6</v>
      </c>
      <c r="AJ14" s="275">
        <v>9.8542839419975605E-12</v>
      </c>
      <c r="AK14" s="276">
        <v>9.8542839419975607E-9</v>
      </c>
      <c r="AL14" s="277">
        <v>7.7949218554728401E-5</v>
      </c>
      <c r="AM14" s="76">
        <v>1.1367599999999999E-3</v>
      </c>
      <c r="AN14" s="278">
        <v>3.5357170783887202E-8</v>
      </c>
      <c r="AO14" s="278">
        <v>3.5357170783887297E-5</v>
      </c>
      <c r="AP14" s="118">
        <v>3.5357199999999998E-2</v>
      </c>
      <c r="AQ14" s="279">
        <v>2.5814216300346101E-9</v>
      </c>
      <c r="AR14" s="125">
        <v>6.3788317661729495E-11</v>
      </c>
      <c r="AS14" s="77">
        <v>2.5814200000000001E-3</v>
      </c>
      <c r="AT14" s="77">
        <v>2.5814216300346101E-5</v>
      </c>
      <c r="AU14" s="77">
        <v>2.5814216300346101E-11</v>
      </c>
      <c r="AV14" s="77">
        <v>2.58142163003461E-7</v>
      </c>
      <c r="AW14" s="77">
        <v>0.25814199999999998</v>
      </c>
      <c r="AX14" s="77">
        <v>2.7786191173449399E-6</v>
      </c>
      <c r="AY14" s="220">
        <v>4.0012100000000003E-4</v>
      </c>
      <c r="AZ14" s="248">
        <f t="shared" si="20"/>
        <v>0</v>
      </c>
      <c r="BA14" s="46">
        <f t="shared" si="21"/>
        <v>2.1488952222199675E-16</v>
      </c>
      <c r="BB14" s="47">
        <f t="shared" si="21"/>
        <v>2.6861190277749592E-16</v>
      </c>
      <c r="BC14" s="47">
        <f t="shared" si="21"/>
        <v>1.3115815565307419E-16</v>
      </c>
      <c r="BD14" s="47">
        <f t="shared" si="21"/>
        <v>1.7191161777759741E-16</v>
      </c>
      <c r="BE14" s="47">
        <f t="shared" si="21"/>
        <v>1.6394769456634273E-16</v>
      </c>
      <c r="BF14" s="48">
        <f t="shared" si="21"/>
        <v>1.6788243923593495E-16</v>
      </c>
      <c r="BG14" s="109">
        <f t="shared" si="22"/>
        <v>6.954541639979891E-16</v>
      </c>
      <c r="BH14" s="49">
        <f t="shared" si="23"/>
        <v>-4.9504189252981916E-7</v>
      </c>
      <c r="BI14" s="49">
        <f t="shared" si="23"/>
        <v>1.4972792796961869E-15</v>
      </c>
      <c r="BJ14" s="49">
        <f t="shared" si="23"/>
        <v>-1.1499104868066714E-15</v>
      </c>
      <c r="BK14" s="110">
        <f t="shared" si="23"/>
        <v>-8.2631364717909367E-7</v>
      </c>
      <c r="BL14" s="48">
        <f t="shared" si="23"/>
        <v>9.6130822210001001E-16</v>
      </c>
      <c r="BM14" s="47">
        <f t="shared" si="23"/>
        <v>-4.0523712005326569E-16</v>
      </c>
      <c r="BN14" s="47">
        <f t="shared" si="23"/>
        <v>6.3144842110664187E-7</v>
      </c>
      <c r="BO14" s="47">
        <f t="shared" si="23"/>
        <v>9.1875431146838293E-16</v>
      </c>
      <c r="BP14" s="47">
        <f t="shared" si="23"/>
        <v>1.001362731354177E-15</v>
      </c>
      <c r="BQ14" s="47">
        <f t="shared" si="23"/>
        <v>1.0253954369066773E-15</v>
      </c>
      <c r="BR14" s="47">
        <f t="shared" si="23"/>
        <v>6.3144842124104239E-7</v>
      </c>
      <c r="BS14" s="47">
        <f t="shared" si="23"/>
        <v>-1.5241976526521362E-15</v>
      </c>
      <c r="BT14" s="50">
        <f t="shared" si="23"/>
        <v>3.8212843684920737E-7</v>
      </c>
    </row>
    <row r="15" spans="2:72" ht="15.75" thickTop="1" x14ac:dyDescent="0.25"/>
    <row r="16" spans="2:72" ht="15.75" thickBot="1" x14ac:dyDescent="0.3"/>
    <row r="17" spans="2:72" ht="30.75" customHeight="1" thickTop="1" thickBot="1" x14ac:dyDescent="0.3">
      <c r="B17" s="343" t="s">
        <v>46</v>
      </c>
      <c r="C17" s="344"/>
      <c r="D17" s="346" t="s">
        <v>71</v>
      </c>
      <c r="E17" s="347"/>
      <c r="F17" s="347"/>
      <c r="G17" s="347"/>
      <c r="H17" s="347"/>
      <c r="I17" s="348"/>
    </row>
    <row r="18" spans="2:72" ht="16.5" customHeight="1" thickTop="1" thickBot="1" x14ac:dyDescent="0.3">
      <c r="B18" s="337" t="s">
        <v>67</v>
      </c>
      <c r="C18" s="338"/>
      <c r="D18" s="338"/>
      <c r="E18" s="339"/>
      <c r="F18" s="311" t="s">
        <v>31</v>
      </c>
      <c r="G18" s="312"/>
      <c r="H18" s="312"/>
      <c r="I18" s="312"/>
      <c r="J18" s="165" t="s">
        <v>89</v>
      </c>
      <c r="K18" s="340" t="s">
        <v>21</v>
      </c>
      <c r="L18" s="341"/>
      <c r="M18" s="341"/>
      <c r="N18" s="341"/>
      <c r="O18" s="341"/>
      <c r="P18" s="341"/>
      <c r="Q18" s="294" t="s">
        <v>22</v>
      </c>
      <c r="R18" s="295"/>
      <c r="S18" s="295"/>
      <c r="T18" s="295"/>
      <c r="U18" s="296"/>
      <c r="V18" s="304" t="s">
        <v>44</v>
      </c>
      <c r="W18" s="305"/>
      <c r="X18" s="305"/>
      <c r="Y18" s="305"/>
      <c r="Z18" s="305"/>
      <c r="AA18" s="305"/>
      <c r="AB18" s="305"/>
      <c r="AC18" s="305"/>
      <c r="AD18" s="305"/>
      <c r="AE18" s="165" t="s">
        <v>89</v>
      </c>
      <c r="AF18" s="405" t="s">
        <v>21</v>
      </c>
      <c r="AG18" s="301"/>
      <c r="AH18" s="301"/>
      <c r="AI18" s="301"/>
      <c r="AJ18" s="301"/>
      <c r="AK18" s="301"/>
      <c r="AL18" s="294" t="s">
        <v>22</v>
      </c>
      <c r="AM18" s="295"/>
      <c r="AN18" s="295"/>
      <c r="AO18" s="295"/>
      <c r="AP18" s="296"/>
      <c r="AQ18" s="304" t="s">
        <v>45</v>
      </c>
      <c r="AR18" s="305"/>
      <c r="AS18" s="305"/>
      <c r="AT18" s="305"/>
      <c r="AU18" s="305"/>
      <c r="AV18" s="305"/>
      <c r="AW18" s="305"/>
      <c r="AX18" s="305"/>
      <c r="AY18" s="305"/>
      <c r="AZ18" s="245" t="s">
        <v>89</v>
      </c>
      <c r="BA18" s="322" t="s">
        <v>21</v>
      </c>
      <c r="BB18" s="323"/>
      <c r="BC18" s="323"/>
      <c r="BD18" s="323"/>
      <c r="BE18" s="323"/>
      <c r="BF18" s="323"/>
      <c r="BG18" s="322" t="s">
        <v>22</v>
      </c>
      <c r="BH18" s="323"/>
      <c r="BI18" s="323"/>
      <c r="BJ18" s="323"/>
      <c r="BK18" s="324"/>
      <c r="BL18" s="328" t="s">
        <v>45</v>
      </c>
      <c r="BM18" s="323"/>
      <c r="BN18" s="323"/>
      <c r="BO18" s="323"/>
      <c r="BP18" s="323"/>
      <c r="BQ18" s="323"/>
      <c r="BR18" s="323"/>
      <c r="BS18" s="323"/>
      <c r="BT18" s="329"/>
    </row>
    <row r="19" spans="2:72" s="18" customFormat="1" ht="15" customHeight="1" thickBot="1" x14ac:dyDescent="0.3">
      <c r="B19" s="422" t="s">
        <v>94</v>
      </c>
      <c r="C19" s="333" t="s">
        <v>81</v>
      </c>
      <c r="D19" s="433" t="s">
        <v>80</v>
      </c>
      <c r="E19" s="362" t="s">
        <v>1</v>
      </c>
      <c r="F19" s="314"/>
      <c r="G19" s="315"/>
      <c r="H19" s="315"/>
      <c r="I19" s="315"/>
      <c r="J19" s="399" t="s">
        <v>80</v>
      </c>
      <c r="K19" s="342"/>
      <c r="L19" s="342"/>
      <c r="M19" s="342"/>
      <c r="N19" s="342"/>
      <c r="O19" s="342"/>
      <c r="P19" s="342"/>
      <c r="Q19" s="297"/>
      <c r="R19" s="298"/>
      <c r="S19" s="298"/>
      <c r="T19" s="298"/>
      <c r="U19" s="299"/>
      <c r="V19" s="307"/>
      <c r="W19" s="307"/>
      <c r="X19" s="307"/>
      <c r="Y19" s="307"/>
      <c r="Z19" s="307"/>
      <c r="AA19" s="307"/>
      <c r="AB19" s="307"/>
      <c r="AC19" s="307"/>
      <c r="AD19" s="307"/>
      <c r="AE19" s="399" t="s">
        <v>80</v>
      </c>
      <c r="AF19" s="406"/>
      <c r="AG19" s="303"/>
      <c r="AH19" s="303"/>
      <c r="AI19" s="303"/>
      <c r="AJ19" s="303"/>
      <c r="AK19" s="303"/>
      <c r="AL19" s="297"/>
      <c r="AM19" s="298"/>
      <c r="AN19" s="298"/>
      <c r="AO19" s="298"/>
      <c r="AP19" s="299"/>
      <c r="AQ19" s="307"/>
      <c r="AR19" s="307"/>
      <c r="AS19" s="307"/>
      <c r="AT19" s="307"/>
      <c r="AU19" s="307"/>
      <c r="AV19" s="307"/>
      <c r="AW19" s="307"/>
      <c r="AX19" s="307"/>
      <c r="AY19" s="307"/>
      <c r="AZ19" s="401" t="s">
        <v>80</v>
      </c>
      <c r="BA19" s="325"/>
      <c r="BB19" s="326"/>
      <c r="BC19" s="326"/>
      <c r="BD19" s="326"/>
      <c r="BE19" s="326"/>
      <c r="BF19" s="326"/>
      <c r="BG19" s="325"/>
      <c r="BH19" s="326"/>
      <c r="BI19" s="326"/>
      <c r="BJ19" s="326"/>
      <c r="BK19" s="327"/>
      <c r="BL19" s="326"/>
      <c r="BM19" s="326"/>
      <c r="BN19" s="326"/>
      <c r="BO19" s="326"/>
      <c r="BP19" s="326"/>
      <c r="BQ19" s="326"/>
      <c r="BR19" s="326"/>
      <c r="BS19" s="326"/>
      <c r="BT19" s="330"/>
    </row>
    <row r="20" spans="2:72" s="18" customFormat="1" ht="18" thickBot="1" x14ac:dyDescent="0.3">
      <c r="B20" s="439"/>
      <c r="C20" s="334"/>
      <c r="D20" s="434"/>
      <c r="E20" s="363"/>
      <c r="F20" s="19" t="s">
        <v>29</v>
      </c>
      <c r="G20" s="20" t="s">
        <v>28</v>
      </c>
      <c r="H20" s="20" t="s">
        <v>30</v>
      </c>
      <c r="I20" s="176" t="s">
        <v>27</v>
      </c>
      <c r="J20" s="400"/>
      <c r="K20" s="29" t="s">
        <v>32</v>
      </c>
      <c r="L20" s="24" t="s">
        <v>34</v>
      </c>
      <c r="M20" s="24" t="s">
        <v>33</v>
      </c>
      <c r="N20" s="24" t="s">
        <v>35</v>
      </c>
      <c r="O20" s="24" t="s">
        <v>37</v>
      </c>
      <c r="P20" s="30" t="s">
        <v>36</v>
      </c>
      <c r="Q20" s="111" t="s">
        <v>38</v>
      </c>
      <c r="R20" s="22" t="s">
        <v>39</v>
      </c>
      <c r="S20" s="22" t="s">
        <v>40</v>
      </c>
      <c r="T20" s="22" t="s">
        <v>41</v>
      </c>
      <c r="U20" s="112" t="s">
        <v>42</v>
      </c>
      <c r="V20" s="25" t="s">
        <v>11</v>
      </c>
      <c r="W20" s="23" t="s">
        <v>13</v>
      </c>
      <c r="X20" s="23" t="s">
        <v>23</v>
      </c>
      <c r="Y20" s="23" t="s">
        <v>24</v>
      </c>
      <c r="Z20" s="23" t="s">
        <v>12</v>
      </c>
      <c r="AA20" s="23" t="s">
        <v>25</v>
      </c>
      <c r="AB20" s="23" t="s">
        <v>26</v>
      </c>
      <c r="AC20" s="23" t="s">
        <v>10</v>
      </c>
      <c r="AD20" s="25" t="s">
        <v>9</v>
      </c>
      <c r="AE20" s="400"/>
      <c r="AF20" s="31" t="s">
        <v>32</v>
      </c>
      <c r="AG20" s="24" t="s">
        <v>34</v>
      </c>
      <c r="AH20" s="24" t="s">
        <v>33</v>
      </c>
      <c r="AI20" s="24" t="s">
        <v>35</v>
      </c>
      <c r="AJ20" s="24" t="s">
        <v>37</v>
      </c>
      <c r="AK20" s="30" t="s">
        <v>36</v>
      </c>
      <c r="AL20" s="111" t="s">
        <v>38</v>
      </c>
      <c r="AM20" s="22" t="s">
        <v>39</v>
      </c>
      <c r="AN20" s="22" t="s">
        <v>40</v>
      </c>
      <c r="AO20" s="22" t="s">
        <v>41</v>
      </c>
      <c r="AP20" s="112" t="s">
        <v>42</v>
      </c>
      <c r="AQ20" s="26" t="s">
        <v>11</v>
      </c>
      <c r="AR20" s="27" t="s">
        <v>13</v>
      </c>
      <c r="AS20" s="27" t="s">
        <v>23</v>
      </c>
      <c r="AT20" s="27" t="s">
        <v>24</v>
      </c>
      <c r="AU20" s="27" t="s">
        <v>12</v>
      </c>
      <c r="AV20" s="27" t="s">
        <v>25</v>
      </c>
      <c r="AW20" s="27" t="s">
        <v>26</v>
      </c>
      <c r="AX20" s="27" t="s">
        <v>10</v>
      </c>
      <c r="AY20" s="28" t="s">
        <v>9</v>
      </c>
      <c r="AZ20" s="402"/>
      <c r="BA20" s="32" t="s">
        <v>32</v>
      </c>
      <c r="BB20" s="33" t="s">
        <v>34</v>
      </c>
      <c r="BC20" s="33" t="s">
        <v>33</v>
      </c>
      <c r="BD20" s="33" t="s">
        <v>35</v>
      </c>
      <c r="BE20" s="33" t="s">
        <v>37</v>
      </c>
      <c r="BF20" s="34" t="s">
        <v>36</v>
      </c>
      <c r="BG20" s="103" t="s">
        <v>38</v>
      </c>
      <c r="BH20" s="33" t="s">
        <v>39</v>
      </c>
      <c r="BI20" s="33" t="s">
        <v>40</v>
      </c>
      <c r="BJ20" s="33" t="s">
        <v>41</v>
      </c>
      <c r="BK20" s="104" t="s">
        <v>42</v>
      </c>
      <c r="BL20" s="34" t="s">
        <v>11</v>
      </c>
      <c r="BM20" s="33" t="s">
        <v>13</v>
      </c>
      <c r="BN20" s="33" t="s">
        <v>23</v>
      </c>
      <c r="BO20" s="33" t="s">
        <v>24</v>
      </c>
      <c r="BP20" s="33" t="s">
        <v>12</v>
      </c>
      <c r="BQ20" s="33" t="s">
        <v>25</v>
      </c>
      <c r="BR20" s="33" t="s">
        <v>26</v>
      </c>
      <c r="BS20" s="33" t="s">
        <v>10</v>
      </c>
      <c r="BT20" s="35" t="s">
        <v>9</v>
      </c>
    </row>
    <row r="21" spans="2:72" x14ac:dyDescent="0.25">
      <c r="B21" s="225">
        <v>99</v>
      </c>
      <c r="C21" s="226">
        <v>259</v>
      </c>
      <c r="D21" s="234">
        <f>C21/2</f>
        <v>129.5</v>
      </c>
      <c r="E21" s="155" t="s">
        <v>2</v>
      </c>
      <c r="F21" s="10">
        <v>668</v>
      </c>
      <c r="G21" s="53"/>
      <c r="H21" s="53"/>
      <c r="I21" s="54"/>
      <c r="J21" s="169">
        <f>C21/2</f>
        <v>129.5</v>
      </c>
      <c r="K21" s="78">
        <f>O21*100000</f>
        <v>347722.94171250396</v>
      </c>
      <c r="L21" s="65">
        <f>O21*10000</f>
        <v>34772.294171250396</v>
      </c>
      <c r="M21" s="65">
        <f>O21*10</f>
        <v>34.772294171250394</v>
      </c>
      <c r="N21" s="65">
        <f>O21*1000000</f>
        <v>3477229.4171250397</v>
      </c>
      <c r="O21" s="65">
        <f>(((PI()*B21)/6)*(3*(SQRT(D21^2-(D21-B21)^2))^2+B21^2)+((PI()*(D21-B21)*(SQRT(D21^2-(D21-B21)^2))^2)/3))/100^3</f>
        <v>3.4772294171250397</v>
      </c>
      <c r="P21" s="66">
        <f>O21*1000</f>
        <v>3477.2294171250396</v>
      </c>
      <c r="Q21" s="113">
        <f>T21/0.45359237</f>
        <v>5120.8737277470655</v>
      </c>
      <c r="R21" s="67">
        <f>T21*1000/31.1034768</f>
        <v>74679.408529644716</v>
      </c>
      <c r="S21" s="67">
        <f>T21/1000</f>
        <v>2.3227892506395267</v>
      </c>
      <c r="T21" s="67">
        <f>O21*F21</f>
        <v>2322.7892506395265</v>
      </c>
      <c r="U21" s="114">
        <f>T21*1000</f>
        <v>2322789.2506395266</v>
      </c>
      <c r="V21" s="80">
        <f>AA21/100</f>
        <v>0.13175679211027863</v>
      </c>
      <c r="W21" s="68">
        <f>AA21/4046.8564224</f>
        <v>3.25578123753004E-3</v>
      </c>
      <c r="X21" s="68">
        <f>AA21*10000</f>
        <v>131756.79211027862</v>
      </c>
      <c r="Y21" s="68">
        <f>AA21*100</f>
        <v>1317.5679211027862</v>
      </c>
      <c r="Z21" s="68">
        <f>AA21/10000</f>
        <v>1.3175679211027862E-3</v>
      </c>
      <c r="AA21" s="68">
        <f>(2*PI()*D21*B21+PI()*(SQRT(D21^2-(D21-B21)^2))*D21)/100^2</f>
        <v>13.175679211027862</v>
      </c>
      <c r="AB21" s="68">
        <f>AA21*1000000</f>
        <v>13175679.211027863</v>
      </c>
      <c r="AC21" s="68">
        <f>AA21/144*10000/(2.54*2.54)</f>
        <v>141.82183070680856</v>
      </c>
      <c r="AD21" s="80">
        <f>AA21*10000/(2.54 *2.54)</f>
        <v>20422.34362178043</v>
      </c>
      <c r="AE21" s="169">
        <v>129.5</v>
      </c>
      <c r="AF21" s="215">
        <v>347723</v>
      </c>
      <c r="AG21" s="65">
        <v>34772.300000000003</v>
      </c>
      <c r="AH21" s="65">
        <v>34.772300000000001</v>
      </c>
      <c r="AI21" s="65">
        <v>3477229</v>
      </c>
      <c r="AJ21" s="65">
        <v>3.47723</v>
      </c>
      <c r="AK21" s="66">
        <v>3477.23</v>
      </c>
      <c r="AL21" s="113">
        <v>5120.87</v>
      </c>
      <c r="AM21" s="67">
        <v>74679.399999999994</v>
      </c>
      <c r="AN21" s="67">
        <v>2.3227899999999999</v>
      </c>
      <c r="AO21" s="67">
        <v>2322.79</v>
      </c>
      <c r="AP21" s="114">
        <v>2322789</v>
      </c>
      <c r="AQ21" s="121">
        <v>0.13175700000000001</v>
      </c>
      <c r="AR21" s="121">
        <v>3.2557799999999998E-3</v>
      </c>
      <c r="AS21" s="68">
        <v>131757</v>
      </c>
      <c r="AT21" s="68">
        <v>1317.57</v>
      </c>
      <c r="AU21" s="68">
        <v>1.3175699999999999E-3</v>
      </c>
      <c r="AV21" s="68">
        <v>13.175700000000001</v>
      </c>
      <c r="AW21" s="68">
        <v>13175679</v>
      </c>
      <c r="AX21" s="68">
        <v>141.822</v>
      </c>
      <c r="AY21" s="216">
        <v>20422.3</v>
      </c>
      <c r="AZ21" s="246">
        <f>(J21-AE21)/J21</f>
        <v>0</v>
      </c>
      <c r="BA21" s="36">
        <f t="shared" ref="BA21:BT21" si="24">(K21-AF21)/K21</f>
        <v>-1.6762625943282966E-7</v>
      </c>
      <c r="BB21" s="37">
        <f t="shared" si="24"/>
        <v>-1.67626259516528E-7</v>
      </c>
      <c r="BC21" s="37">
        <f t="shared" si="24"/>
        <v>-1.6762625953614481E-7</v>
      </c>
      <c r="BD21" s="37">
        <f t="shared" si="24"/>
        <v>1.1995902188093869E-7</v>
      </c>
      <c r="BE21" s="37">
        <f t="shared" si="24"/>
        <v>-1.6762625940843127E-7</v>
      </c>
      <c r="BF21" s="38">
        <f t="shared" si="24"/>
        <v>-1.6762625943806083E-7</v>
      </c>
      <c r="BG21" s="105">
        <f t="shared" si="24"/>
        <v>7.2795137387778094E-7</v>
      </c>
      <c r="BH21" s="39">
        <f t="shared" si="24"/>
        <v>1.1421682213825457E-7</v>
      </c>
      <c r="BI21" s="39">
        <f t="shared" si="24"/>
        <v>-3.2261233903274414E-7</v>
      </c>
      <c r="BJ21" s="39">
        <f t="shared" si="24"/>
        <v>-3.2261233914592743E-7</v>
      </c>
      <c r="BK21" s="106">
        <f t="shared" si="24"/>
        <v>1.0790454905460143E-7</v>
      </c>
      <c r="BL21" s="38">
        <f t="shared" si="24"/>
        <v>-1.5778292568626745E-6</v>
      </c>
      <c r="BM21" s="37">
        <f t="shared" si="24"/>
        <v>3.8010233181016643E-7</v>
      </c>
      <c r="BN21" s="37">
        <f t="shared" si="24"/>
        <v>-1.5778292568447972E-6</v>
      </c>
      <c r="BO21" s="37">
        <f t="shared" si="24"/>
        <v>-1.5778292568309916E-6</v>
      </c>
      <c r="BP21" s="37">
        <f t="shared" si="24"/>
        <v>-1.5778292567441796E-6</v>
      </c>
      <c r="BQ21" s="37">
        <f t="shared" si="24"/>
        <v>-1.577829256879527E-6</v>
      </c>
      <c r="BR21" s="37">
        <f t="shared" si="24"/>
        <v>1.6016469369373932E-8</v>
      </c>
      <c r="BS21" s="37">
        <f t="shared" si="24"/>
        <v>-1.1937033290568215E-6</v>
      </c>
      <c r="BT21" s="40">
        <f t="shared" si="24"/>
        <v>2.1359830800377501E-6</v>
      </c>
    </row>
    <row r="22" spans="2:72" x14ac:dyDescent="0.25">
      <c r="B22" s="228">
        <v>5</v>
      </c>
      <c r="C22" s="229">
        <v>77</v>
      </c>
      <c r="D22" s="235">
        <f t="shared" ref="D22:D28" si="25">C22/2</f>
        <v>38.5</v>
      </c>
      <c r="E22" s="156" t="s">
        <v>3</v>
      </c>
      <c r="F22" s="11">
        <v>645</v>
      </c>
      <c r="G22" s="58"/>
      <c r="H22" s="58"/>
      <c r="I22" s="55"/>
      <c r="J22" s="167">
        <f t="shared" ref="J22:J28" si="26">C22/2</f>
        <v>38.5</v>
      </c>
      <c r="K22" s="69">
        <f t="shared" ref="K22:K28" si="27">O22*100000</f>
        <v>43953651.96287284</v>
      </c>
      <c r="L22" s="70">
        <f t="shared" ref="L22:L28" si="28">O22*10000</f>
        <v>4395365.1962872837</v>
      </c>
      <c r="M22" s="70">
        <f t="shared" ref="M22:M28" si="29">O22*10</f>
        <v>4395.3651962872837</v>
      </c>
      <c r="N22" s="70">
        <f t="shared" ref="N22:N28" si="30">O22*1000000</f>
        <v>439536519.62872839</v>
      </c>
      <c r="O22" s="70">
        <f>(((PI()*B22)/6)*(3*(SQRT(D22^2-(D22-B22)^2))^2+B22^2)+((PI()*(D22-B22)*(SQRT(D22^2-(D22-B22)^2))^2)/3))*0.3048^3</f>
        <v>439.5365196287284</v>
      </c>
      <c r="P22" s="71">
        <f t="shared" ref="P22:P28" si="31">O22*1000</f>
        <v>439536.51962872839</v>
      </c>
      <c r="Q22" s="115">
        <f t="shared" ref="Q22:Q28" si="32">T22/0.45359237</f>
        <v>625012.83952490159</v>
      </c>
      <c r="R22" s="72">
        <f t="shared" ref="R22:R28" si="33">T22*1000/31.1034768</f>
        <v>9114770.5764048155</v>
      </c>
      <c r="S22" s="72">
        <f t="shared" ref="S22:S28" si="34">T22/1000</f>
        <v>283.5010551605298</v>
      </c>
      <c r="T22" s="72">
        <f>O22*F22</f>
        <v>283501.0551605298</v>
      </c>
      <c r="U22" s="116">
        <f t="shared" ref="U22:U28" si="35">T22*1000</f>
        <v>283501055.16052979</v>
      </c>
      <c r="V22" s="81">
        <f t="shared" ref="V22:V28" si="36">AA22/100</f>
        <v>3.2556969775508269</v>
      </c>
      <c r="W22" s="73">
        <f t="shared" ref="W22:W28" si="37">AA22/4046.8564224</f>
        <v>8.0450024357919425E-2</v>
      </c>
      <c r="X22" s="73">
        <f t="shared" ref="X22:X28" si="38">AA22*10000</f>
        <v>3255696.977550827</v>
      </c>
      <c r="Y22" s="73">
        <f t="shared" ref="Y22:Y28" si="39">AA22*100</f>
        <v>32556.969775508271</v>
      </c>
      <c r="Z22" s="73">
        <f t="shared" ref="Z22:Z28" si="40">AA22/10000</f>
        <v>3.2556969775508267E-2</v>
      </c>
      <c r="AA22" s="73">
        <f>(2*PI()*D22*B22+PI()*(SQRT(D22^2-(D22-B22)^2))*D22)*0.3048^2</f>
        <v>325.5696977550827</v>
      </c>
      <c r="AB22" s="73">
        <f t="shared" ref="AB22:AB28" si="41">AA22*1000000</f>
        <v>325569697.75508273</v>
      </c>
      <c r="AC22" s="73">
        <f t="shared" ref="AC22:AC28" si="42">AA22/144*10000/(2.54*2.54)</f>
        <v>3504.4030610309705</v>
      </c>
      <c r="AD22" s="81">
        <f t="shared" ref="AD22:AD28" si="43">AA22*10000/(2.54 *2.54)</f>
        <v>504634.04078845977</v>
      </c>
      <c r="AE22" s="167">
        <v>38.5</v>
      </c>
      <c r="AF22" s="217">
        <v>43953652</v>
      </c>
      <c r="AG22" s="69">
        <v>4395365</v>
      </c>
      <c r="AH22" s="70">
        <v>4395.37</v>
      </c>
      <c r="AI22" s="70">
        <v>439536520</v>
      </c>
      <c r="AJ22" s="70">
        <v>439.53699999999998</v>
      </c>
      <c r="AK22" s="71">
        <v>439537</v>
      </c>
      <c r="AL22" s="115">
        <v>625013</v>
      </c>
      <c r="AM22" s="72">
        <v>9114771</v>
      </c>
      <c r="AN22" s="72">
        <v>283.50099999999998</v>
      </c>
      <c r="AO22" s="72">
        <v>283501</v>
      </c>
      <c r="AP22" s="116">
        <v>283501055</v>
      </c>
      <c r="AQ22" s="123">
        <v>3.2557</v>
      </c>
      <c r="AR22" s="123">
        <v>8.0449999999999994E-2</v>
      </c>
      <c r="AS22" s="73">
        <v>3255697</v>
      </c>
      <c r="AT22" s="73">
        <v>32557</v>
      </c>
      <c r="AU22" s="73">
        <v>3.2557000000000003E-2</v>
      </c>
      <c r="AV22" s="73">
        <v>325.57</v>
      </c>
      <c r="AW22" s="73">
        <v>325569698</v>
      </c>
      <c r="AX22" s="73">
        <v>3504.4</v>
      </c>
      <c r="AY22" s="218">
        <v>504634</v>
      </c>
      <c r="AZ22" s="247">
        <f t="shared" ref="AZ22:AZ28" si="44">(J22-AE22)/J22</f>
        <v>0</v>
      </c>
      <c r="BA22" s="41">
        <f t="shared" ref="BA22:BF28" si="45">(K22-AF22)/K22</f>
        <v>-8.4468884558775125E-10</v>
      </c>
      <c r="BB22" s="42">
        <f t="shared" si="45"/>
        <v>4.4657787216335103E-8</v>
      </c>
      <c r="BC22" s="42">
        <f t="shared" si="45"/>
        <v>-1.092904116430746E-6</v>
      </c>
      <c r="BD22" s="42">
        <f t="shared" si="45"/>
        <v>-8.446888794897379E-10</v>
      </c>
      <c r="BE22" s="42">
        <f t="shared" si="45"/>
        <v>-1.0929041163272853E-6</v>
      </c>
      <c r="BF22" s="43">
        <f t="shared" si="45"/>
        <v>-1.0929041163976384E-6</v>
      </c>
      <c r="BG22" s="107">
        <f t="shared" ref="BG22:BG28" si="46">(Q22-AL22)/Q22</f>
        <v>-2.5675488288134439E-7</v>
      </c>
      <c r="BH22" s="44">
        <f t="shared" ref="BH22:BT28" si="47">(R22-AM22)/R22</f>
        <v>-4.6473488379052881E-8</v>
      </c>
      <c r="BI22" s="44">
        <f t="shared" si="47"/>
        <v>1.9456904594001147E-7</v>
      </c>
      <c r="BJ22" s="44">
        <f t="shared" si="47"/>
        <v>1.9456904583254072E-7</v>
      </c>
      <c r="BK22" s="108">
        <f t="shared" si="47"/>
        <v>5.6624054615214353E-10</v>
      </c>
      <c r="BL22" s="43">
        <f t="shared" si="47"/>
        <v>-9.2835702892595593E-7</v>
      </c>
      <c r="BM22" s="42">
        <f t="shared" si="47"/>
        <v>3.0277081487362533E-7</v>
      </c>
      <c r="BN22" s="42">
        <f t="shared" si="47"/>
        <v>-6.8953508843213549E-9</v>
      </c>
      <c r="BO22" s="42">
        <f t="shared" si="47"/>
        <v>-9.2835702885502603E-7</v>
      </c>
      <c r="BP22" s="42">
        <f t="shared" si="47"/>
        <v>-9.2835702905383451E-7</v>
      </c>
      <c r="BQ22" s="42">
        <f t="shared" si="47"/>
        <v>-9.2835702885502603E-7</v>
      </c>
      <c r="BR22" s="42">
        <f t="shared" si="47"/>
        <v>-7.5227293943574556E-10</v>
      </c>
      <c r="BS22" s="42">
        <f t="shared" si="47"/>
        <v>8.7348142241279021E-7</v>
      </c>
      <c r="BT22" s="45">
        <f t="shared" si="47"/>
        <v>8.0827800880140848E-8</v>
      </c>
    </row>
    <row r="23" spans="2:72" x14ac:dyDescent="0.25">
      <c r="B23" s="228">
        <v>19</v>
      </c>
      <c r="C23" s="229">
        <v>169</v>
      </c>
      <c r="D23" s="235">
        <f t="shared" si="25"/>
        <v>84.5</v>
      </c>
      <c r="E23" s="156" t="s">
        <v>4</v>
      </c>
      <c r="F23" s="59"/>
      <c r="G23" s="5">
        <v>1450</v>
      </c>
      <c r="H23" s="56"/>
      <c r="I23" s="55"/>
      <c r="J23" s="167">
        <f t="shared" si="26"/>
        <v>84.5</v>
      </c>
      <c r="K23" s="69">
        <f t="shared" si="27"/>
        <v>465614.80646993674</v>
      </c>
      <c r="L23" s="70">
        <f t="shared" si="28"/>
        <v>46561.480646993674</v>
      </c>
      <c r="M23" s="70">
        <f t="shared" si="29"/>
        <v>46.561480646993672</v>
      </c>
      <c r="N23" s="70">
        <f t="shared" si="30"/>
        <v>4656148.0646993676</v>
      </c>
      <c r="O23" s="70">
        <f>(((PI()*B23)/6)*(3*(SQRT(D23^2-(D23-B23)^2))^2+B23^2)+((PI()*(D23-B23)*(SQRT(D23^2-(D23-B23)^2))^2)/3))*(2.54/100)^3</f>
        <v>4.6561480646993676</v>
      </c>
      <c r="P23" s="71">
        <f t="shared" si="31"/>
        <v>4656.1480646993678</v>
      </c>
      <c r="Q23" s="115">
        <f t="shared" si="32"/>
        <v>14884321.563464753</v>
      </c>
      <c r="R23" s="72">
        <f t="shared" si="33"/>
        <v>217063022.80052766</v>
      </c>
      <c r="S23" s="72">
        <f t="shared" si="34"/>
        <v>6751.414693814083</v>
      </c>
      <c r="T23" s="72">
        <f>O23*1000*G23</f>
        <v>6751414.693814083</v>
      </c>
      <c r="U23" s="116">
        <f t="shared" si="35"/>
        <v>6751414693.8140831</v>
      </c>
      <c r="V23" s="81">
        <f t="shared" si="36"/>
        <v>0.15651313496339081</v>
      </c>
      <c r="W23" s="73">
        <f t="shared" si="37"/>
        <v>3.8675237919750618E-3</v>
      </c>
      <c r="X23" s="73">
        <f t="shared" si="38"/>
        <v>156513.13496339082</v>
      </c>
      <c r="Y23" s="73">
        <f t="shared" si="39"/>
        <v>1565.1313496339083</v>
      </c>
      <c r="Z23" s="73">
        <f t="shared" si="40"/>
        <v>1.5651313496339082E-3</v>
      </c>
      <c r="AA23" s="73">
        <f>(2*PI()*D23*B23+PI()*(SQRT(D23^2-(D23-B23)^2))*D23)*(2.54/100)^2</f>
        <v>15.651313496339082</v>
      </c>
      <c r="AB23" s="73">
        <f t="shared" si="41"/>
        <v>15651313.496339083</v>
      </c>
      <c r="AC23" s="73">
        <f t="shared" si="42"/>
        <v>168.4693363784337</v>
      </c>
      <c r="AD23" s="81">
        <f t="shared" si="43"/>
        <v>24259.584438494454</v>
      </c>
      <c r="AE23" s="167">
        <v>84.5</v>
      </c>
      <c r="AF23" s="217">
        <v>465615</v>
      </c>
      <c r="AG23" s="70">
        <v>46561.5</v>
      </c>
      <c r="AH23" s="70">
        <v>46.561500000000002</v>
      </c>
      <c r="AI23" s="70">
        <v>4656148</v>
      </c>
      <c r="AJ23" s="70">
        <v>4.6561500000000002</v>
      </c>
      <c r="AK23" s="71">
        <v>4656.1499999999996</v>
      </c>
      <c r="AL23" s="115">
        <v>14884322</v>
      </c>
      <c r="AM23" s="72">
        <v>217063023</v>
      </c>
      <c r="AN23" s="72">
        <v>6751.41</v>
      </c>
      <c r="AO23" s="72">
        <v>6751415</v>
      </c>
      <c r="AP23" s="116">
        <v>6751414694</v>
      </c>
      <c r="AQ23" s="123">
        <v>0.15651300000000001</v>
      </c>
      <c r="AR23" s="123">
        <v>3.8675200000000002E-3</v>
      </c>
      <c r="AS23" s="73">
        <v>156513</v>
      </c>
      <c r="AT23" s="73">
        <v>1565.13</v>
      </c>
      <c r="AU23" s="73">
        <v>1.5651300000000001E-3</v>
      </c>
      <c r="AV23" s="73">
        <v>15.651300000000001</v>
      </c>
      <c r="AW23" s="73">
        <v>15651313</v>
      </c>
      <c r="AX23" s="73">
        <v>168.46899999999999</v>
      </c>
      <c r="AY23" s="218">
        <v>24259.599999999999</v>
      </c>
      <c r="AZ23" s="247">
        <f t="shared" si="44"/>
        <v>0</v>
      </c>
      <c r="BA23" s="41">
        <f t="shared" si="45"/>
        <v>-4.1564413453371053E-7</v>
      </c>
      <c r="BB23" s="42">
        <f t="shared" si="45"/>
        <v>-4.1564413453371053E-7</v>
      </c>
      <c r="BC23" s="42">
        <f t="shared" si="45"/>
        <v>-4.156441346155058E-7</v>
      </c>
      <c r="BD23" s="42">
        <f t="shared" si="45"/>
        <v>1.3895470401933693E-8</v>
      </c>
      <c r="BE23" s="42">
        <f t="shared" si="45"/>
        <v>-4.1564413453920423E-7</v>
      </c>
      <c r="BF23" s="43">
        <f t="shared" si="45"/>
        <v>-4.1564413437744487E-7</v>
      </c>
      <c r="BG23" s="107">
        <f t="shared" si="46"/>
        <v>-2.9328528331568108E-8</v>
      </c>
      <c r="BH23" s="44">
        <f t="shared" si="47"/>
        <v>-9.1896047234403477E-10</v>
      </c>
      <c r="BI23" s="44">
        <f t="shared" si="47"/>
        <v>6.9523415402290541E-7</v>
      </c>
      <c r="BJ23" s="44">
        <f t="shared" si="47"/>
        <v>-4.5351371658155164E-8</v>
      </c>
      <c r="BK23" s="108">
        <f t="shared" si="47"/>
        <v>-2.7537473117317195E-11</v>
      </c>
      <c r="BL23" s="43">
        <f t="shared" si="47"/>
        <v>8.6231351016078186E-7</v>
      </c>
      <c r="BM23" s="42">
        <f t="shared" si="47"/>
        <v>9.8046586539693269E-7</v>
      </c>
      <c r="BN23" s="42">
        <f t="shared" si="47"/>
        <v>8.6231351034160317E-7</v>
      </c>
      <c r="BO23" s="42">
        <f t="shared" si="47"/>
        <v>8.6231351027768236E-7</v>
      </c>
      <c r="BP23" s="42">
        <f t="shared" si="47"/>
        <v>8.6231351024945043E-7</v>
      </c>
      <c r="BQ23" s="42">
        <f t="shared" si="47"/>
        <v>8.6231351024590359E-7</v>
      </c>
      <c r="BR23" s="42">
        <f t="shared" si="47"/>
        <v>3.1712295765719059E-8</v>
      </c>
      <c r="BS23" s="42">
        <f t="shared" si="47"/>
        <v>1.9966745339671055E-6</v>
      </c>
      <c r="BT23" s="45">
        <f t="shared" si="47"/>
        <v>-6.4145804245178976E-7</v>
      </c>
    </row>
    <row r="24" spans="2:72" x14ac:dyDescent="0.25">
      <c r="B24" s="228">
        <v>45</v>
      </c>
      <c r="C24" s="229">
        <v>267</v>
      </c>
      <c r="D24" s="235">
        <f t="shared" si="25"/>
        <v>133.5</v>
      </c>
      <c r="E24" s="156" t="s">
        <v>5</v>
      </c>
      <c r="F24" s="59"/>
      <c r="G24" s="5">
        <v>438</v>
      </c>
      <c r="H24" s="56"/>
      <c r="I24" s="57"/>
      <c r="J24" s="167">
        <f t="shared" si="26"/>
        <v>133.5</v>
      </c>
      <c r="K24" s="69">
        <f t="shared" si="27"/>
        <v>167970749011.32208</v>
      </c>
      <c r="L24" s="70">
        <f t="shared" si="28"/>
        <v>16797074901.132208</v>
      </c>
      <c r="M24" s="70">
        <f t="shared" si="29"/>
        <v>16797074.901132207</v>
      </c>
      <c r="N24" s="70">
        <f t="shared" si="30"/>
        <v>1679707490113.2209</v>
      </c>
      <c r="O24" s="70">
        <f>((PI()*B24)/6)*(3*(SQRT(D24^2-(D24-B24)^2))^2+B24^2)+((PI()*(D24-B24)*(SQRT(D24^2-(D24-B24)^2))^2)/3)</f>
        <v>1679707.4901132209</v>
      </c>
      <c r="P24" s="71">
        <f t="shared" si="31"/>
        <v>1679707490.1132209</v>
      </c>
      <c r="Q24" s="115">
        <f t="shared" si="32"/>
        <v>1621967055287.0869</v>
      </c>
      <c r="R24" s="72">
        <f t="shared" si="33"/>
        <v>23653686222936.687</v>
      </c>
      <c r="S24" s="72">
        <f t="shared" si="34"/>
        <v>735711880.66959083</v>
      </c>
      <c r="T24" s="72">
        <f>O24*1000*G24</f>
        <v>735711880669.59082</v>
      </c>
      <c r="U24" s="116">
        <f t="shared" si="35"/>
        <v>735711880669590.87</v>
      </c>
      <c r="V24" s="81">
        <f t="shared" si="36"/>
        <v>796.65522282186748</v>
      </c>
      <c r="W24" s="73">
        <f t="shared" si="37"/>
        <v>19.685779273320716</v>
      </c>
      <c r="X24" s="73">
        <f t="shared" si="38"/>
        <v>796655222.82186747</v>
      </c>
      <c r="Y24" s="73">
        <f t="shared" si="39"/>
        <v>7966552.2282186747</v>
      </c>
      <c r="Z24" s="73">
        <f t="shared" si="40"/>
        <v>7.9665522282186751</v>
      </c>
      <c r="AA24" s="73">
        <f>2*PI()*D24*B24+PI()*(SQRT(D24^2-(D24-B24)^2))*D24</f>
        <v>79665.52228218675</v>
      </c>
      <c r="AB24" s="73">
        <f t="shared" si="41"/>
        <v>79665522282.186752</v>
      </c>
      <c r="AC24" s="73">
        <f t="shared" si="42"/>
        <v>857512.54514585028</v>
      </c>
      <c r="AD24" s="81">
        <f t="shared" si="43"/>
        <v>123481806.50100246</v>
      </c>
      <c r="AE24" s="167">
        <v>133.5</v>
      </c>
      <c r="AF24" s="217">
        <v>167970749011</v>
      </c>
      <c r="AG24" s="70">
        <v>16797074901</v>
      </c>
      <c r="AH24" s="70">
        <v>16797075</v>
      </c>
      <c r="AI24" s="70">
        <v>1679707490113</v>
      </c>
      <c r="AJ24" s="70">
        <v>1679707</v>
      </c>
      <c r="AK24" s="71">
        <v>1679707490</v>
      </c>
      <c r="AL24" s="115">
        <v>1621967055287</v>
      </c>
      <c r="AM24" s="72">
        <v>23653686222937</v>
      </c>
      <c r="AN24" s="72">
        <v>735711881</v>
      </c>
      <c r="AO24" s="72">
        <v>735711880670</v>
      </c>
      <c r="AP24" s="266">
        <v>735711880669591</v>
      </c>
      <c r="AQ24" s="123">
        <v>796.65499999999997</v>
      </c>
      <c r="AR24" s="123">
        <v>19.6858</v>
      </c>
      <c r="AS24" s="73">
        <v>796655223</v>
      </c>
      <c r="AT24" s="73">
        <v>7966552</v>
      </c>
      <c r="AU24" s="73">
        <v>7.9665499999999998</v>
      </c>
      <c r="AV24" s="73">
        <v>79665.5</v>
      </c>
      <c r="AW24" s="73">
        <v>79665522282</v>
      </c>
      <c r="AX24" s="73">
        <v>857513</v>
      </c>
      <c r="AY24" s="218">
        <v>123481807</v>
      </c>
      <c r="AZ24" s="247">
        <f t="shared" si="44"/>
        <v>0</v>
      </c>
      <c r="BA24" s="41">
        <f t="shared" si="45"/>
        <v>1.917491714640982E-12</v>
      </c>
      <c r="BB24" s="42">
        <f t="shared" si="45"/>
        <v>7.8708865240868199E-12</v>
      </c>
      <c r="BC24" s="42">
        <f t="shared" si="45"/>
        <v>-5.8860124883703348E-9</v>
      </c>
      <c r="BD24" s="42">
        <f t="shared" si="45"/>
        <v>1.3153913221528054E-13</v>
      </c>
      <c r="BE24" s="42">
        <f t="shared" si="45"/>
        <v>2.9178486359136653E-7</v>
      </c>
      <c r="BF24" s="43">
        <f t="shared" si="45"/>
        <v>6.7405146887721282E-11</v>
      </c>
      <c r="BG24" s="107">
        <f t="shared" si="46"/>
        <v>5.3585590543709455E-14</v>
      </c>
      <c r="BH24" s="44">
        <f t="shared" si="47"/>
        <v>-1.3211471440632057E-14</v>
      </c>
      <c r="BI24" s="44">
        <f t="shared" si="47"/>
        <v>-4.4910130973604561E-10</v>
      </c>
      <c r="BJ24" s="44">
        <f t="shared" si="47"/>
        <v>-5.5616838364441627E-13</v>
      </c>
      <c r="BK24" s="108">
        <f t="shared" si="47"/>
        <v>-1.6990346803457108E-16</v>
      </c>
      <c r="BL24" s="43">
        <f t="shared" si="47"/>
        <v>2.7969673847203978E-7</v>
      </c>
      <c r="BM24" s="42">
        <f t="shared" si="47"/>
        <v>-1.0528757331424013E-6</v>
      </c>
      <c r="BN24" s="42">
        <f t="shared" si="47"/>
        <v>-2.2360053499194863E-10</v>
      </c>
      <c r="BO24" s="42">
        <f t="shared" si="47"/>
        <v>2.8647107069899775E-8</v>
      </c>
      <c r="BP24" s="42">
        <f t="shared" si="47"/>
        <v>2.7969673850325655E-7</v>
      </c>
      <c r="BQ24" s="42">
        <f t="shared" si="47"/>
        <v>2.7969673846062337E-7</v>
      </c>
      <c r="BR24" s="42">
        <f t="shared" si="47"/>
        <v>2.3442050461231383E-12</v>
      </c>
      <c r="BS24" s="42">
        <f t="shared" si="47"/>
        <v>-5.3043439690234216E-7</v>
      </c>
      <c r="BT24" s="45">
        <f t="shared" si="47"/>
        <v>-4.0410612172068772E-9</v>
      </c>
    </row>
    <row r="25" spans="2:72" x14ac:dyDescent="0.25">
      <c r="B25" s="228">
        <v>97</v>
      </c>
      <c r="C25" s="229">
        <v>210</v>
      </c>
      <c r="D25" s="235">
        <f t="shared" si="25"/>
        <v>105</v>
      </c>
      <c r="E25" s="156" t="s">
        <v>6</v>
      </c>
      <c r="F25" s="59"/>
      <c r="G25" s="58"/>
      <c r="H25" s="4">
        <v>2300</v>
      </c>
      <c r="I25" s="55"/>
      <c r="J25" s="167">
        <f t="shared" si="26"/>
        <v>105</v>
      </c>
      <c r="K25" s="69">
        <f t="shared" si="27"/>
        <v>9.3358873268925484E+20</v>
      </c>
      <c r="L25" s="70">
        <f t="shared" si="28"/>
        <v>9.3358873268925481E+19</v>
      </c>
      <c r="M25" s="70">
        <f t="shared" si="29"/>
        <v>9.3358873268925472E+16</v>
      </c>
      <c r="N25" s="70">
        <f t="shared" si="30"/>
        <v>9.3358873268925476E+21</v>
      </c>
      <c r="O25" s="70">
        <f>(((PI()*B25)/6)*(3*(SQRT(D25^2-(D25-B25)^2))^2+B25^2)+((PI()*(D25-B25)*(SQRT(D25^2-(D25-B25)^2))^2)/3))*(63360*2.54/100)^3</f>
        <v>9335887326892548</v>
      </c>
      <c r="P25" s="71">
        <f t="shared" si="31"/>
        <v>9.3358873268925481E+18</v>
      </c>
      <c r="Q25" s="115">
        <f t="shared" si="32"/>
        <v>7.582956238467325E+20</v>
      </c>
      <c r="R25" s="72">
        <f t="shared" si="33"/>
        <v>1.105847784776485E+22</v>
      </c>
      <c r="S25" s="72">
        <f t="shared" si="34"/>
        <v>3.439571091812679E+17</v>
      </c>
      <c r="T25" s="72">
        <f>O25*(0.45359237/0.3048^3)*H25</f>
        <v>3.439571091812679E+20</v>
      </c>
      <c r="U25" s="116">
        <f t="shared" si="35"/>
        <v>3.4395710918126793E+23</v>
      </c>
      <c r="V25" s="81">
        <f t="shared" si="36"/>
        <v>2551905548.6819868</v>
      </c>
      <c r="W25" s="73">
        <f t="shared" si="37"/>
        <v>63058959.407523818</v>
      </c>
      <c r="X25" s="73">
        <f t="shared" si="38"/>
        <v>2551905548681986.5</v>
      </c>
      <c r="Y25" s="73">
        <f t="shared" si="39"/>
        <v>25519055486819.867</v>
      </c>
      <c r="Z25" s="73">
        <f t="shared" si="40"/>
        <v>25519055.486819867</v>
      </c>
      <c r="AA25" s="73">
        <f>(2*PI()*D25*B25+PI()*(SQRT(D25^2-(D25-B25)^2))*D25)*(63360*2.54/100)^2</f>
        <v>255190554868.19867</v>
      </c>
      <c r="AB25" s="73">
        <f t="shared" si="41"/>
        <v>2.5519055486819866E+17</v>
      </c>
      <c r="AC25" s="73">
        <f t="shared" si="42"/>
        <v>2746848271791.7378</v>
      </c>
      <c r="AD25" s="81">
        <f t="shared" si="43"/>
        <v>395546151138010.19</v>
      </c>
      <c r="AE25" s="167">
        <v>105</v>
      </c>
      <c r="AF25" s="267">
        <v>9.3358873268925497E+20</v>
      </c>
      <c r="AG25" s="268">
        <v>9.3358873268925497E+19</v>
      </c>
      <c r="AH25" s="268">
        <v>9.3358873268925504E+16</v>
      </c>
      <c r="AI25" s="268">
        <v>9.3358873268925497E+21</v>
      </c>
      <c r="AJ25" s="268">
        <v>9335887326892550</v>
      </c>
      <c r="AK25" s="269">
        <v>9.3358873268925501E+18</v>
      </c>
      <c r="AL25" s="270">
        <v>7.5829562384673197E+20</v>
      </c>
      <c r="AM25" s="271">
        <v>1.10584778477648E+22</v>
      </c>
      <c r="AN25" s="271">
        <v>3.4395710918126797E+17</v>
      </c>
      <c r="AO25" s="271">
        <v>3.4395710918126797E+20</v>
      </c>
      <c r="AP25" s="266">
        <v>3.4395710918126799E+23</v>
      </c>
      <c r="AQ25" s="123">
        <v>2551905549</v>
      </c>
      <c r="AR25" s="123">
        <v>63058959</v>
      </c>
      <c r="AS25" s="272">
        <v>2551905548681990</v>
      </c>
      <c r="AT25" s="73">
        <v>25519055486820</v>
      </c>
      <c r="AU25" s="73">
        <v>25519055</v>
      </c>
      <c r="AV25" s="73">
        <v>255190554868</v>
      </c>
      <c r="AW25" s="272">
        <v>2.5519055486819901E+17</v>
      </c>
      <c r="AX25" s="73">
        <v>2746848271792</v>
      </c>
      <c r="AY25" s="218">
        <v>395546151138010</v>
      </c>
      <c r="AZ25" s="247">
        <f t="shared" si="44"/>
        <v>0</v>
      </c>
      <c r="BA25" s="41">
        <f t="shared" si="45"/>
        <v>-1.4039586748486107E-16</v>
      </c>
      <c r="BB25" s="42">
        <f t="shared" si="45"/>
        <v>-1.7549483435607635E-16</v>
      </c>
      <c r="BC25" s="42">
        <f t="shared" si="45"/>
        <v>-3.4276334835171163E-16</v>
      </c>
      <c r="BD25" s="42">
        <f t="shared" si="45"/>
        <v>-2.2463338797577774E-16</v>
      </c>
      <c r="BE25" s="42">
        <f t="shared" si="45"/>
        <v>-2.1422709271981975E-16</v>
      </c>
      <c r="BF25" s="43">
        <f t="shared" si="45"/>
        <v>-2.1936854294509541E-16</v>
      </c>
      <c r="BG25" s="107">
        <f t="shared" si="46"/>
        <v>6.9140317247296897E-16</v>
      </c>
      <c r="BH25" s="44">
        <f t="shared" si="47"/>
        <v>4.5514083125077729E-15</v>
      </c>
      <c r="BI25" s="44">
        <f t="shared" si="47"/>
        <v>-1.8606971128563456E-16</v>
      </c>
      <c r="BJ25" s="44">
        <f t="shared" si="47"/>
        <v>-1.9053538435648978E-16</v>
      </c>
      <c r="BK25" s="108">
        <f t="shared" si="47"/>
        <v>-1.9510823358104552E-16</v>
      </c>
      <c r="BL25" s="43">
        <f t="shared" si="47"/>
        <v>-1.2461793164225558E-10</v>
      </c>
      <c r="BM25" s="42">
        <f t="shared" si="47"/>
        <v>6.4625839395861041E-9</v>
      </c>
      <c r="BN25" s="42">
        <f t="shared" si="47"/>
        <v>-1.3715241153057908E-15</v>
      </c>
      <c r="BO25" s="42">
        <f t="shared" si="47"/>
        <v>-5.2044441875442948E-15</v>
      </c>
      <c r="BP25" s="42">
        <f t="shared" si="47"/>
        <v>1.9076719641764209E-8</v>
      </c>
      <c r="BQ25" s="42">
        <f t="shared" si="47"/>
        <v>7.7851405470848713E-13</v>
      </c>
      <c r="BR25" s="42">
        <f t="shared" si="47"/>
        <v>-1.379361395964681E-15</v>
      </c>
      <c r="BS25" s="42">
        <f t="shared" si="47"/>
        <v>-9.5457413481002115E-14</v>
      </c>
      <c r="BT25" s="45">
        <f t="shared" si="47"/>
        <v>4.7402812405215214E-16</v>
      </c>
    </row>
    <row r="26" spans="2:72" x14ac:dyDescent="0.25">
      <c r="B26" s="228">
        <v>59</v>
      </c>
      <c r="C26" s="229">
        <v>189</v>
      </c>
      <c r="D26" s="235">
        <f t="shared" si="25"/>
        <v>94.5</v>
      </c>
      <c r="E26" s="156" t="s">
        <v>7</v>
      </c>
      <c r="F26" s="59"/>
      <c r="G26" s="58"/>
      <c r="H26" s="4">
        <v>3400</v>
      </c>
      <c r="I26" s="55"/>
      <c r="J26" s="167">
        <f t="shared" si="26"/>
        <v>94.5</v>
      </c>
      <c r="K26" s="69">
        <f t="shared" si="27"/>
        <v>110.35048399256632</v>
      </c>
      <c r="L26" s="70">
        <f t="shared" si="28"/>
        <v>11.035048399256633</v>
      </c>
      <c r="M26" s="70">
        <f t="shared" si="29"/>
        <v>1.1035048399256633E-2</v>
      </c>
      <c r="N26" s="70">
        <f t="shared" si="30"/>
        <v>1103.5048399256632</v>
      </c>
      <c r="O26" s="70">
        <f>(((PI()*B26)/6)*(3*(SQRT(D26^2-(D26-B26)^2))^2+B26^2)+((PI()*(D26-B26)*(SQRT(D26^2-(D26-B26)^2))^2)/3))/1000^3</f>
        <v>1.1035048399256633E-3</v>
      </c>
      <c r="P26" s="71">
        <f t="shared" si="31"/>
        <v>1.1035048399256633</v>
      </c>
      <c r="Q26" s="115">
        <f t="shared" si="32"/>
        <v>132.49767920158297</v>
      </c>
      <c r="R26" s="72">
        <f t="shared" si="33"/>
        <v>1932.2578216897518</v>
      </c>
      <c r="S26" s="72">
        <f t="shared" si="34"/>
        <v>6.0099936328545732E-2</v>
      </c>
      <c r="T26" s="72">
        <f>O26*(0.45359237/0.3048^3)*H26</f>
        <v>60.099936328545731</v>
      </c>
      <c r="U26" s="116">
        <f t="shared" si="35"/>
        <v>60099.936328545729</v>
      </c>
      <c r="V26" s="81">
        <f t="shared" si="36"/>
        <v>6.1032259796353042E-4</v>
      </c>
      <c r="W26" s="73">
        <f t="shared" si="37"/>
        <v>1.5081399838780956E-5</v>
      </c>
      <c r="X26" s="73">
        <f t="shared" si="38"/>
        <v>610.32259796353037</v>
      </c>
      <c r="Y26" s="73">
        <f t="shared" si="39"/>
        <v>6.1032259796353037</v>
      </c>
      <c r="Z26" s="73">
        <f t="shared" si="40"/>
        <v>6.1032259796353041E-6</v>
      </c>
      <c r="AA26" s="73">
        <f>(2*PI()*D26*B26+PI()*(SQRT(D26^2-(D26-B26)^2))*D26)/1000^2</f>
        <v>6.1032259796353037E-2</v>
      </c>
      <c r="AB26" s="73">
        <f t="shared" si="41"/>
        <v>61032.259796353035</v>
      </c>
      <c r="AC26" s="73">
        <f t="shared" si="42"/>
        <v>0.65694577697729839</v>
      </c>
      <c r="AD26" s="81">
        <f t="shared" si="43"/>
        <v>94.600191884730975</v>
      </c>
      <c r="AE26" s="167">
        <v>94.5</v>
      </c>
      <c r="AF26" s="217">
        <v>110.35</v>
      </c>
      <c r="AG26" s="70">
        <v>11.035</v>
      </c>
      <c r="AH26" s="70">
        <v>1.1035E-2</v>
      </c>
      <c r="AI26" s="70">
        <v>1103.5</v>
      </c>
      <c r="AJ26" s="70">
        <v>1.1035000000000001E-3</v>
      </c>
      <c r="AK26" s="71">
        <v>1.1034999999999999</v>
      </c>
      <c r="AL26" s="115">
        <v>132.49799999999999</v>
      </c>
      <c r="AM26" s="72">
        <v>1932.26</v>
      </c>
      <c r="AN26" s="72">
        <v>6.0099899999999998E-2</v>
      </c>
      <c r="AO26" s="72">
        <v>60.099899999999998</v>
      </c>
      <c r="AP26" s="116">
        <v>60099.9</v>
      </c>
      <c r="AQ26" s="123">
        <v>6.1032299999999996E-4</v>
      </c>
      <c r="AR26" s="273">
        <v>1.5081399838781E-5</v>
      </c>
      <c r="AS26" s="73">
        <v>610.32299999999998</v>
      </c>
      <c r="AT26" s="73">
        <v>6.1032299999999999</v>
      </c>
      <c r="AU26" s="272">
        <v>6.1032259796352999E-6</v>
      </c>
      <c r="AV26" s="73">
        <v>6.1032299999999998E-2</v>
      </c>
      <c r="AW26" s="73">
        <v>61032.3</v>
      </c>
      <c r="AX26" s="73">
        <v>0.65694600000000003</v>
      </c>
      <c r="AY26" s="218">
        <v>94.600200000000001</v>
      </c>
      <c r="AZ26" s="247">
        <f t="shared" si="44"/>
        <v>0</v>
      </c>
      <c r="BA26" s="41">
        <f t="shared" si="45"/>
        <v>4.3859578029859388E-6</v>
      </c>
      <c r="BB26" s="42">
        <f t="shared" si="45"/>
        <v>4.3859578029537431E-6</v>
      </c>
      <c r="BC26" s="42">
        <f t="shared" si="45"/>
        <v>4.3859578030468066E-6</v>
      </c>
      <c r="BD26" s="42">
        <f t="shared" si="45"/>
        <v>4.385957802882915E-6</v>
      </c>
      <c r="BE26" s="42">
        <f t="shared" si="45"/>
        <v>4.3859578028503051E-6</v>
      </c>
      <c r="BF26" s="43">
        <f t="shared" si="45"/>
        <v>4.3859578030342307E-6</v>
      </c>
      <c r="BG26" s="107">
        <f t="shared" si="46"/>
        <v>-2.4211625362406601E-6</v>
      </c>
      <c r="BH26" s="44">
        <f t="shared" si="47"/>
        <v>-1.1273393352084009E-6</v>
      </c>
      <c r="BI26" s="44">
        <f t="shared" si="47"/>
        <v>6.044689554338087E-7</v>
      </c>
      <c r="BJ26" s="44">
        <f t="shared" si="47"/>
        <v>6.0446895540702287E-7</v>
      </c>
      <c r="BK26" s="108">
        <f t="shared" si="47"/>
        <v>6.044689553294661E-7</v>
      </c>
      <c r="BL26" s="43">
        <f t="shared" si="47"/>
        <v>-6.5872781195843972E-7</v>
      </c>
      <c r="BM26" s="42">
        <f t="shared" si="47"/>
        <v>-2.9205321606793151E-15</v>
      </c>
      <c r="BN26" s="42">
        <f t="shared" si="47"/>
        <v>-6.5872781206263864E-7</v>
      </c>
      <c r="BO26" s="42">
        <f t="shared" si="47"/>
        <v>-6.5872781209174386E-7</v>
      </c>
      <c r="BP26" s="42">
        <f t="shared" si="47"/>
        <v>6.9392232081902568E-16</v>
      </c>
      <c r="BQ26" s="42">
        <f t="shared" si="47"/>
        <v>-6.587278120508147E-7</v>
      </c>
      <c r="BR26" s="42">
        <f t="shared" si="47"/>
        <v>-6.5872781217440273E-7</v>
      </c>
      <c r="BS26" s="42">
        <f t="shared" si="47"/>
        <v>-3.3948418492911674E-7</v>
      </c>
      <c r="BT26" s="45">
        <f t="shared" si="47"/>
        <v>-8.5784910833523276E-8</v>
      </c>
    </row>
    <row r="27" spans="2:72" x14ac:dyDescent="0.25">
      <c r="B27" s="228">
        <v>177</v>
      </c>
      <c r="C27" s="229">
        <v>394</v>
      </c>
      <c r="D27" s="235">
        <f t="shared" si="25"/>
        <v>197</v>
      </c>
      <c r="E27" s="156" t="s">
        <v>8</v>
      </c>
      <c r="F27" s="59"/>
      <c r="G27" s="58"/>
      <c r="H27" s="58"/>
      <c r="I27" s="14">
        <v>399</v>
      </c>
      <c r="J27" s="167">
        <f t="shared" si="26"/>
        <v>197</v>
      </c>
      <c r="K27" s="69">
        <f t="shared" si="27"/>
        <v>1099950102407.9158</v>
      </c>
      <c r="L27" s="70">
        <f t="shared" si="28"/>
        <v>109995010240.79156</v>
      </c>
      <c r="M27" s="70">
        <f t="shared" si="29"/>
        <v>109995010.24079157</v>
      </c>
      <c r="N27" s="70">
        <f t="shared" si="30"/>
        <v>10999501024079.156</v>
      </c>
      <c r="O27" s="70">
        <f>(((PI()*B27)/6)*(3*(SQRT(D27^2-(D27-B27)^2))^2+B27^2)+((PI()*(D27-B27)*(SQRT(D27^2-(D27-B27)^2))^2)/3))*0.9144^3</f>
        <v>10999501.024079157</v>
      </c>
      <c r="P27" s="71">
        <f t="shared" si="31"/>
        <v>10999501024.079157</v>
      </c>
      <c r="Q27" s="115">
        <f t="shared" si="32"/>
        <v>9675649765906.7402</v>
      </c>
      <c r="R27" s="72">
        <f t="shared" si="33"/>
        <v>141103225752806.62</v>
      </c>
      <c r="S27" s="72">
        <f t="shared" si="34"/>
        <v>4388800908.607583</v>
      </c>
      <c r="T27" s="72">
        <f>O27*1000*I27</f>
        <v>4388800908607.5835</v>
      </c>
      <c r="U27" s="116">
        <f t="shared" si="35"/>
        <v>4388800908607583.5</v>
      </c>
      <c r="V27" s="81">
        <f t="shared" si="36"/>
        <v>2846.014587592284</v>
      </c>
      <c r="W27" s="73">
        <f t="shared" si="37"/>
        <v>70.326552032810852</v>
      </c>
      <c r="X27" s="73">
        <f t="shared" si="38"/>
        <v>2846014587.5922842</v>
      </c>
      <c r="Y27" s="73">
        <f t="shared" si="39"/>
        <v>28460145.87592284</v>
      </c>
      <c r="Z27" s="73">
        <f t="shared" si="40"/>
        <v>28.460145875922841</v>
      </c>
      <c r="AA27" s="73">
        <f>(2*PI()*D27*B27+PI()*(SQRT(D27^2-(D27-B27)^2))*D27)*0.9144^2</f>
        <v>284601.45875922841</v>
      </c>
      <c r="AB27" s="73">
        <f t="shared" si="41"/>
        <v>284601458759.22839</v>
      </c>
      <c r="AC27" s="73">
        <f t="shared" si="42"/>
        <v>3063424.6065492416</v>
      </c>
      <c r="AD27" s="81">
        <f t="shared" si="43"/>
        <v>441133143.34309071</v>
      </c>
      <c r="AE27" s="167">
        <v>197</v>
      </c>
      <c r="AF27" s="217">
        <v>1099950102408</v>
      </c>
      <c r="AG27" s="70">
        <v>109995010241</v>
      </c>
      <c r="AH27" s="70">
        <v>109995010</v>
      </c>
      <c r="AI27" s="70">
        <v>10999501024079</v>
      </c>
      <c r="AJ27" s="70">
        <v>10999501</v>
      </c>
      <c r="AK27" s="71">
        <v>10999501024</v>
      </c>
      <c r="AL27" s="115">
        <v>9675649765907</v>
      </c>
      <c r="AM27" s="72">
        <v>141103225752807</v>
      </c>
      <c r="AN27" s="72">
        <v>4388800909</v>
      </c>
      <c r="AO27" s="72">
        <v>4388800908608</v>
      </c>
      <c r="AP27" s="266">
        <v>4388800908607580</v>
      </c>
      <c r="AQ27" s="123">
        <v>2846.01</v>
      </c>
      <c r="AR27" s="123">
        <v>70.326599999999999</v>
      </c>
      <c r="AS27" s="73">
        <v>2846014588</v>
      </c>
      <c r="AT27" s="73">
        <v>28460146</v>
      </c>
      <c r="AU27" s="73">
        <v>28.460100000000001</v>
      </c>
      <c r="AV27" s="73">
        <v>284601</v>
      </c>
      <c r="AW27" s="73">
        <v>284601458759</v>
      </c>
      <c r="AX27" s="73">
        <v>3063425</v>
      </c>
      <c r="AY27" s="218">
        <v>441133143</v>
      </c>
      <c r="AZ27" s="247">
        <f t="shared" si="44"/>
        <v>0</v>
      </c>
      <c r="BA27" s="41">
        <f t="shared" si="45"/>
        <v>-7.6574851386998562E-14</v>
      </c>
      <c r="BB27" s="42">
        <f t="shared" si="45"/>
        <v>-1.8949501267144936E-12</v>
      </c>
      <c r="BC27" s="42">
        <f t="shared" si="45"/>
        <v>2.1891136115483914E-9</v>
      </c>
      <c r="BD27" s="42">
        <f t="shared" si="45"/>
        <v>1.4205189822515677E-14</v>
      </c>
      <c r="BE27" s="42">
        <f t="shared" si="45"/>
        <v>2.1891135776805797E-9</v>
      </c>
      <c r="BF27" s="43">
        <f t="shared" si="45"/>
        <v>7.1964060403347546E-12</v>
      </c>
      <c r="BG27" s="107">
        <f t="shared" si="46"/>
        <v>-2.6847357157894855E-14</v>
      </c>
      <c r="BH27" s="44">
        <f t="shared" si="47"/>
        <v>-2.6576288245666917E-15</v>
      </c>
      <c r="BI27" s="44">
        <f t="shared" si="47"/>
        <v>-8.9413250273188605E-11</v>
      </c>
      <c r="BJ27" s="44">
        <f t="shared" si="47"/>
        <v>-9.490152661815376E-14</v>
      </c>
      <c r="BK27" s="108">
        <f t="shared" si="47"/>
        <v>7.9748434091316083E-16</v>
      </c>
      <c r="BL27" s="43">
        <f t="shared" si="47"/>
        <v>1.6119356182395975E-6</v>
      </c>
      <c r="BM27" s="42">
        <f t="shared" si="47"/>
        <v>-6.8206371221673665E-7</v>
      </c>
      <c r="BN27" s="42">
        <f t="shared" si="47"/>
        <v>-1.4325850584246028E-10</v>
      </c>
      <c r="BO27" s="42">
        <f t="shared" si="47"/>
        <v>-4.3596810941282931E-9</v>
      </c>
      <c r="BP27" s="42">
        <f t="shared" si="47"/>
        <v>1.6119356183244827E-6</v>
      </c>
      <c r="BQ27" s="42">
        <f t="shared" si="47"/>
        <v>1.6119356183482506E-6</v>
      </c>
      <c r="BR27" s="42">
        <f t="shared" si="47"/>
        <v>8.0250310621464514E-13</v>
      </c>
      <c r="BS27" s="42">
        <f t="shared" si="47"/>
        <v>-1.2843494094118703E-7</v>
      </c>
      <c r="BT27" s="45">
        <f t="shared" si="47"/>
        <v>7.7774866432400678E-10</v>
      </c>
    </row>
    <row r="28" spans="2:72" ht="15.75" thickBot="1" x14ac:dyDescent="0.3">
      <c r="B28" s="231">
        <v>66</v>
      </c>
      <c r="C28" s="232">
        <v>190</v>
      </c>
      <c r="D28" s="236">
        <f t="shared" si="25"/>
        <v>95</v>
      </c>
      <c r="E28" s="157" t="s">
        <v>43</v>
      </c>
      <c r="F28" s="63"/>
      <c r="G28" s="60"/>
      <c r="H28" s="60"/>
      <c r="I28" s="15">
        <v>270</v>
      </c>
      <c r="J28" s="168">
        <f t="shared" si="26"/>
        <v>95</v>
      </c>
      <c r="K28" s="79">
        <f t="shared" si="27"/>
        <v>1.2475264427405069E-7</v>
      </c>
      <c r="L28" s="74">
        <f t="shared" si="28"/>
        <v>1.247526442740507E-8</v>
      </c>
      <c r="M28" s="74">
        <f t="shared" si="29"/>
        <v>1.247526442740507E-11</v>
      </c>
      <c r="N28" s="74">
        <f t="shared" si="30"/>
        <v>1.247526442740507E-6</v>
      </c>
      <c r="O28" s="281">
        <f>(((PI()*B28)/6)*(3*(SQRT(D28^2-(D28-B28)^2))^2+B28^2)+((PI()*(D28-B28)*(SQRT(D28^2-(D28-B28)^2))^2)/3))/1000000^3</f>
        <v>1.247526442740507E-12</v>
      </c>
      <c r="P28" s="75">
        <f t="shared" si="31"/>
        <v>1.2475264427405071E-9</v>
      </c>
      <c r="Q28" s="117">
        <f t="shared" si="32"/>
        <v>7.4258775459546844E-7</v>
      </c>
      <c r="R28" s="76">
        <f t="shared" si="33"/>
        <v>1.0829404754517248E-5</v>
      </c>
      <c r="S28" s="76">
        <f t="shared" si="34"/>
        <v>3.3683213953993691E-10</v>
      </c>
      <c r="T28" s="76">
        <f>O28*1000*I28</f>
        <v>3.3683213953993693E-7</v>
      </c>
      <c r="U28" s="118">
        <f t="shared" si="35"/>
        <v>3.3683213953993691E-4</v>
      </c>
      <c r="V28" s="82">
        <f t="shared" si="36"/>
        <v>6.6395107109554766E-10</v>
      </c>
      <c r="W28" s="77">
        <f t="shared" si="37"/>
        <v>1.6406588269859829E-11</v>
      </c>
      <c r="X28" s="77">
        <f t="shared" si="38"/>
        <v>6.6395107109554761E-4</v>
      </c>
      <c r="Y28" s="77">
        <f t="shared" si="39"/>
        <v>6.6395107109554767E-6</v>
      </c>
      <c r="Z28" s="77">
        <f t="shared" si="40"/>
        <v>6.6395107109554759E-12</v>
      </c>
      <c r="AA28" s="77">
        <f>(2*PI()*D28*B28+PI()*(SQRT(D28^2-(D28-B28)^2))*D28)/1000000^2</f>
        <v>6.6395107109554763E-8</v>
      </c>
      <c r="AB28" s="77">
        <f t="shared" si="41"/>
        <v>6.6395107109554763E-2</v>
      </c>
      <c r="AC28" s="77">
        <f t="shared" si="42"/>
        <v>7.1467098503509428E-7</v>
      </c>
      <c r="AD28" s="82">
        <f t="shared" si="43"/>
        <v>1.0291262184505357E-4</v>
      </c>
      <c r="AE28" s="168">
        <v>95</v>
      </c>
      <c r="AF28" s="274">
        <v>1.2475264427405101E-7</v>
      </c>
      <c r="AG28" s="275">
        <v>1.24752644274051E-8</v>
      </c>
      <c r="AH28" s="275">
        <v>1.24752644274051E-11</v>
      </c>
      <c r="AI28" s="275">
        <v>1.24752644274051E-6</v>
      </c>
      <c r="AJ28" s="275">
        <v>1.2475264427405101E-12</v>
      </c>
      <c r="AK28" s="276">
        <v>1.24752644274051E-9</v>
      </c>
      <c r="AL28" s="277">
        <v>7.4258775459546801E-7</v>
      </c>
      <c r="AM28" s="278">
        <v>1.0829404754517199E-5</v>
      </c>
      <c r="AN28" s="278">
        <v>3.3683213953993702E-10</v>
      </c>
      <c r="AO28" s="278">
        <v>3.3683213953993698E-7</v>
      </c>
      <c r="AP28" s="118">
        <v>3.3683200000000002E-4</v>
      </c>
      <c r="AQ28" s="279">
        <v>6.6395107109554797E-10</v>
      </c>
      <c r="AR28" s="279">
        <v>1.64065882698598E-11</v>
      </c>
      <c r="AS28" s="77">
        <v>6.6395099999999997E-4</v>
      </c>
      <c r="AT28" s="280">
        <v>6.6395107109554801E-6</v>
      </c>
      <c r="AU28" s="280">
        <v>6.63951071095548E-12</v>
      </c>
      <c r="AV28" s="280">
        <v>6.6395107109554802E-8</v>
      </c>
      <c r="AW28" s="77">
        <v>6.6395099999999999E-2</v>
      </c>
      <c r="AX28" s="280">
        <v>7.1467098503509396E-7</v>
      </c>
      <c r="AY28" s="220">
        <v>1.02913E-4</v>
      </c>
      <c r="AZ28" s="248">
        <f t="shared" si="44"/>
        <v>0</v>
      </c>
      <c r="BA28" s="46">
        <f t="shared" si="45"/>
        <v>-2.5461372547951124E-15</v>
      </c>
      <c r="BB28" s="47">
        <f t="shared" si="45"/>
        <v>-2.3870036763704175E-15</v>
      </c>
      <c r="BC28" s="47">
        <f t="shared" si="45"/>
        <v>-2.331058277705486E-15</v>
      </c>
      <c r="BD28" s="47">
        <f t="shared" si="45"/>
        <v>-2.3763947711421048E-15</v>
      </c>
      <c r="BE28" s="47">
        <f t="shared" si="45"/>
        <v>-2.4281857059432147E-15</v>
      </c>
      <c r="BF28" s="48">
        <f t="shared" si="45"/>
        <v>-2.3206980186934617E-15</v>
      </c>
      <c r="BG28" s="109">
        <f t="shared" si="46"/>
        <v>5.7032515148039938E-16</v>
      </c>
      <c r="BH28" s="49">
        <f t="shared" si="47"/>
        <v>4.5365292049183763E-15</v>
      </c>
      <c r="BI28" s="49">
        <f t="shared" si="47"/>
        <v>-3.0697063739331501E-16</v>
      </c>
      <c r="BJ28" s="49">
        <f t="shared" si="47"/>
        <v>-1.5716896634537729E-16</v>
      </c>
      <c r="BK28" s="110">
        <f t="shared" si="47"/>
        <v>4.1427144419045569E-7</v>
      </c>
      <c r="BL28" s="48">
        <f t="shared" si="47"/>
        <v>-4.6719215196920174E-16</v>
      </c>
      <c r="BM28" s="47">
        <f t="shared" si="47"/>
        <v>1.7724933381482263E-15</v>
      </c>
      <c r="BN28" s="47">
        <f t="shared" si="47"/>
        <v>1.0707949836954524E-7</v>
      </c>
      <c r="BO28" s="47">
        <f t="shared" si="47"/>
        <v>-5.1029841452422677E-16</v>
      </c>
      <c r="BP28" s="47">
        <f t="shared" si="47"/>
        <v>-6.0832311454323151E-16</v>
      </c>
      <c r="BQ28" s="47">
        <f t="shared" si="47"/>
        <v>-5.9800595452057823E-16</v>
      </c>
      <c r="BR28" s="47">
        <f t="shared" si="47"/>
        <v>1.0707949838260887E-7</v>
      </c>
      <c r="BS28" s="47">
        <f t="shared" si="47"/>
        <v>4.4445256890450766E-16</v>
      </c>
      <c r="BT28" s="50">
        <f t="shared" si="47"/>
        <v>-3.6745244621137935E-6</v>
      </c>
    </row>
    <row r="29" spans="2:72" ht="15.75" thickTop="1" x14ac:dyDescent="0.25"/>
    <row r="31" spans="2:72" x14ac:dyDescent="0.25">
      <c r="B31" s="317" t="s">
        <v>14</v>
      </c>
      <c r="C31" s="318"/>
      <c r="D31" s="349" t="s">
        <v>15</v>
      </c>
      <c r="E31" s="318"/>
      <c r="F31" s="350"/>
      <c r="H31" s="207"/>
      <c r="I31" s="206"/>
      <c r="J31" s="208"/>
      <c r="K31" s="206"/>
    </row>
    <row r="32" spans="2:72" x14ac:dyDescent="0.25">
      <c r="B32" s="264"/>
      <c r="C32" s="265" t="s">
        <v>16</v>
      </c>
      <c r="D32" s="351">
        <v>41031</v>
      </c>
      <c r="E32" s="352"/>
      <c r="F32" s="353"/>
      <c r="H32" s="206"/>
      <c r="I32" s="207"/>
      <c r="J32" s="205"/>
      <c r="K32" s="206"/>
    </row>
    <row r="34" spans="2:2" x14ac:dyDescent="0.25">
      <c r="B34" s="102"/>
    </row>
  </sheetData>
  <mergeCells count="47">
    <mergeCell ref="B3:C3"/>
    <mergeCell ref="D3:I3"/>
    <mergeCell ref="B4:E4"/>
    <mergeCell ref="F4:I5"/>
    <mergeCell ref="BG4:BK5"/>
    <mergeCell ref="AZ5:AZ6"/>
    <mergeCell ref="D5:D6"/>
    <mergeCell ref="BL4:BT5"/>
    <mergeCell ref="B5:B6"/>
    <mergeCell ref="C5:C6"/>
    <mergeCell ref="E5:E6"/>
    <mergeCell ref="Q4:U5"/>
    <mergeCell ref="V4:AD5"/>
    <mergeCell ref="AF4:AK5"/>
    <mergeCell ref="AL4:AP5"/>
    <mergeCell ref="AQ4:AY5"/>
    <mergeCell ref="BA4:BF5"/>
    <mergeCell ref="K4:P5"/>
    <mergeCell ref="J5:J6"/>
    <mergeCell ref="AE5:AE6"/>
    <mergeCell ref="BG18:BK19"/>
    <mergeCell ref="Q18:U19"/>
    <mergeCell ref="AE19:AE20"/>
    <mergeCell ref="AZ19:AZ20"/>
    <mergeCell ref="B17:C17"/>
    <mergeCell ref="D17:I17"/>
    <mergeCell ref="B18:E18"/>
    <mergeCell ref="F18:I19"/>
    <mergeCell ref="K18:P19"/>
    <mergeCell ref="J19:J20"/>
    <mergeCell ref="D19:D20"/>
    <mergeCell ref="D32:F32"/>
    <mergeCell ref="J1:AD1"/>
    <mergeCell ref="AE1:AY1"/>
    <mergeCell ref="AZ1:BT1"/>
    <mergeCell ref="B1:I1"/>
    <mergeCell ref="B31:C31"/>
    <mergeCell ref="D31:F31"/>
    <mergeCell ref="BL18:BT19"/>
    <mergeCell ref="B19:B20"/>
    <mergeCell ref="C19:C20"/>
    <mergeCell ref="E19:E20"/>
    <mergeCell ref="V18:AD19"/>
    <mergeCell ref="AF18:AK19"/>
    <mergeCell ref="AL18:AP19"/>
    <mergeCell ref="AQ18:AY19"/>
    <mergeCell ref="BA18:BF19"/>
  </mergeCells>
  <conditionalFormatting sqref="BA7:BF14 BL7:BT14">
    <cfRule type="cellIs" dxfId="12" priority="6" operator="notBetween">
      <formula>0.0001</formula>
      <formula>-0.0001</formula>
    </cfRule>
  </conditionalFormatting>
  <conditionalFormatting sqref="BG7:BK14">
    <cfRule type="cellIs" dxfId="11" priority="5" operator="notBetween">
      <formula>0.0001</formula>
      <formula>-0.0001</formula>
    </cfRule>
  </conditionalFormatting>
  <conditionalFormatting sqref="BA21:BF28 BL21:BT28">
    <cfRule type="cellIs" dxfId="10" priority="4" operator="notBetween">
      <formula>0.0001</formula>
      <formula>-0.0001</formula>
    </cfRule>
  </conditionalFormatting>
  <conditionalFormatting sqref="BG21:BK28">
    <cfRule type="cellIs" dxfId="9" priority="3" operator="notBetween">
      <formula>0.0001</formula>
      <formula>-0.0001</formula>
    </cfRule>
  </conditionalFormatting>
  <conditionalFormatting sqref="AZ7:AZ14 AZ21:AZ28">
    <cfRule type="cellIs" dxfId="8" priority="1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Hranol 3-boký</vt:lpstr>
      <vt:lpstr>Hranol kolmý</vt:lpstr>
      <vt:lpstr>Jehlan 4-boký</vt:lpstr>
      <vt:lpstr>Jehlan pravidelný</vt:lpstr>
      <vt:lpstr>Koule</vt:lpstr>
      <vt:lpstr>Krychle</vt:lpstr>
      <vt:lpstr>Kulová úseč</vt:lpstr>
      <vt:lpstr>Kulová vrstva</vt:lpstr>
      <vt:lpstr>Kulová výseč</vt:lpstr>
      <vt:lpstr>Kužel rotační</vt:lpstr>
      <vt:lpstr>Kvádr</vt:lpstr>
      <vt:lpstr>Válec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Míra</dc:creator>
  <cp:lastModifiedBy>Josef Spilka</cp:lastModifiedBy>
  <dcterms:created xsi:type="dcterms:W3CDTF">2012-04-03T07:28:58Z</dcterms:created>
  <dcterms:modified xsi:type="dcterms:W3CDTF">2012-05-26T16:00:50Z</dcterms:modified>
</cp:coreProperties>
</file>