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drawings/drawing8.xml" ContentType="application/vnd.openxmlformats-officedocument.drawing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85" yWindow="15" windowWidth="11145" windowHeight="4110"/>
  </bookViews>
  <sheets>
    <sheet name="Čtverec" sheetId="8" r:id="rId1"/>
    <sheet name="Čtyřúhelník" sheetId="11" r:id="rId2"/>
    <sheet name="Kruh" sheetId="6" r:id="rId3"/>
    <sheet name="Kruhová úseč" sheetId="10" r:id="rId4"/>
    <sheet name="Kruhová výseč" sheetId="9" r:id="rId5"/>
    <sheet name="Mnohoúhelník" sheetId="12" r:id="rId6"/>
    <sheet name="Obdélník" sheetId="7" r:id="rId7"/>
    <sheet name="Trojúhelník" sheetId="5" r:id="rId8"/>
    <sheet name="Výseč mezikruží" sheetId="13" r:id="rId9"/>
  </sheets>
  <calcPr calcId="144525"/>
</workbook>
</file>

<file path=xl/calcChain.xml><?xml version="1.0" encoding="utf-8"?>
<calcChain xmlns="http://schemas.openxmlformats.org/spreadsheetml/2006/main">
  <c r="H37" i="12" l="1"/>
  <c r="AV37" i="12" s="1"/>
  <c r="H38" i="12"/>
  <c r="AV38" i="12" s="1"/>
  <c r="H39" i="12"/>
  <c r="AV39" i="12" s="1"/>
  <c r="H40" i="12"/>
  <c r="AV40" i="12" s="1"/>
  <c r="H41" i="12"/>
  <c r="AV41" i="12" s="1"/>
  <c r="H42" i="12"/>
  <c r="AV42" i="12" s="1"/>
  <c r="H43" i="12"/>
  <c r="AV43" i="12" s="1"/>
  <c r="G37" i="12"/>
  <c r="AU37" i="12" s="1"/>
  <c r="G38" i="12"/>
  <c r="AU38" i="12" s="1"/>
  <c r="G39" i="12"/>
  <c r="AU39" i="12" s="1"/>
  <c r="G40" i="12"/>
  <c r="AU40" i="12" s="1"/>
  <c r="G41" i="12"/>
  <c r="AU41" i="12" s="1"/>
  <c r="G42" i="12"/>
  <c r="AU42" i="12" s="1"/>
  <c r="G43" i="12"/>
  <c r="AU43" i="12" s="1"/>
  <c r="G36" i="12"/>
  <c r="H36" i="12"/>
  <c r="H24" i="12"/>
  <c r="AV24" i="12" s="1"/>
  <c r="H25" i="12"/>
  <c r="AV25" i="12" s="1"/>
  <c r="H26" i="12"/>
  <c r="AV26" i="12" s="1"/>
  <c r="H27" i="12"/>
  <c r="AV27" i="12" s="1"/>
  <c r="H28" i="12"/>
  <c r="AV28" i="12" s="1"/>
  <c r="H29" i="12"/>
  <c r="AV29" i="12" s="1"/>
  <c r="H30" i="12"/>
  <c r="G24" i="12"/>
  <c r="AU24" i="12" s="1"/>
  <c r="G25" i="12"/>
  <c r="AU25" i="12" s="1"/>
  <c r="G26" i="12"/>
  <c r="AU26" i="12" s="1"/>
  <c r="G27" i="12"/>
  <c r="AU27" i="12" s="1"/>
  <c r="G28" i="12"/>
  <c r="AU28" i="12" s="1"/>
  <c r="G29" i="12"/>
  <c r="AU29" i="12" s="1"/>
  <c r="G30" i="12"/>
  <c r="H11" i="12"/>
  <c r="AV11" i="12" s="1"/>
  <c r="H12" i="12"/>
  <c r="AV12" i="12" s="1"/>
  <c r="H13" i="12"/>
  <c r="AV13" i="12" s="1"/>
  <c r="H14" i="12"/>
  <c r="AV14" i="12" s="1"/>
  <c r="H15" i="12"/>
  <c r="AV15" i="12" s="1"/>
  <c r="H16" i="12"/>
  <c r="AV16" i="12" s="1"/>
  <c r="H17" i="12"/>
  <c r="AV17" i="12" s="1"/>
  <c r="G11" i="12"/>
  <c r="AU11" i="12" s="1"/>
  <c r="G12" i="12"/>
  <c r="AU12" i="12" s="1"/>
  <c r="G13" i="12"/>
  <c r="AU13" i="12" s="1"/>
  <c r="G14" i="12"/>
  <c r="AU14" i="12" s="1"/>
  <c r="G15" i="12"/>
  <c r="AU15" i="12" s="1"/>
  <c r="G16" i="12"/>
  <c r="AU16" i="12" s="1"/>
  <c r="G17" i="12"/>
  <c r="AU17" i="12" s="1"/>
  <c r="H23" i="12"/>
  <c r="AV23" i="12" s="1"/>
  <c r="G23" i="12"/>
  <c r="AU23" i="12" s="1"/>
  <c r="H10" i="12"/>
  <c r="AV10" i="12" s="1"/>
  <c r="G10" i="12"/>
  <c r="AU10" i="12" s="1"/>
  <c r="AV36" i="12"/>
  <c r="AU36" i="12"/>
  <c r="AV30" i="12"/>
  <c r="AU30" i="12"/>
  <c r="E37" i="12"/>
  <c r="W37" i="12" s="1"/>
  <c r="E38" i="12"/>
  <c r="D38" i="12" s="1"/>
  <c r="M38" i="12" s="1"/>
  <c r="E39" i="12"/>
  <c r="W39" i="12" s="1"/>
  <c r="E40" i="12"/>
  <c r="D40" i="12" s="1"/>
  <c r="M40" i="12" s="1"/>
  <c r="E41" i="12"/>
  <c r="W41" i="12" s="1"/>
  <c r="E42" i="12"/>
  <c r="D42" i="12" s="1"/>
  <c r="M42" i="12" s="1"/>
  <c r="E43" i="12"/>
  <c r="W43" i="12" s="1"/>
  <c r="D39" i="12"/>
  <c r="M39" i="12" s="1"/>
  <c r="E36" i="12"/>
  <c r="W36" i="12" s="1"/>
  <c r="E24" i="12"/>
  <c r="E25" i="12"/>
  <c r="E26" i="12"/>
  <c r="E27" i="12"/>
  <c r="E28" i="12"/>
  <c r="E29" i="12"/>
  <c r="E30" i="12"/>
  <c r="D24" i="12"/>
  <c r="M24" i="12" s="1"/>
  <c r="D25" i="12"/>
  <c r="M25" i="12" s="1"/>
  <c r="D26" i="12"/>
  <c r="M26" i="12" s="1"/>
  <c r="D27" i="12"/>
  <c r="M27" i="12" s="1"/>
  <c r="D28" i="12"/>
  <c r="M28" i="12" s="1"/>
  <c r="D29" i="12"/>
  <c r="M29" i="12" s="1"/>
  <c r="D30" i="12"/>
  <c r="M30" i="12" s="1"/>
  <c r="D23" i="12"/>
  <c r="M23" i="12" s="1"/>
  <c r="E23" i="12"/>
  <c r="D11" i="12"/>
  <c r="W11" i="12" s="1"/>
  <c r="D12" i="12"/>
  <c r="W12" i="12" s="1"/>
  <c r="Y12" i="12" s="1"/>
  <c r="BM12" i="12" s="1"/>
  <c r="D13" i="12"/>
  <c r="W13" i="12" s="1"/>
  <c r="D14" i="12"/>
  <c r="W14" i="12" s="1"/>
  <c r="D15" i="12"/>
  <c r="E15" i="12" s="1"/>
  <c r="D16" i="12"/>
  <c r="W16" i="12" s="1"/>
  <c r="D17" i="12"/>
  <c r="E17" i="12" s="1"/>
  <c r="D10" i="12"/>
  <c r="W10" i="12" s="1"/>
  <c r="T30" i="13"/>
  <c r="V30" i="13" s="1"/>
  <c r="BD30" i="13" s="1"/>
  <c r="T22" i="13"/>
  <c r="V22" i="13" s="1"/>
  <c r="BD22" i="13" s="1"/>
  <c r="T31" i="13"/>
  <c r="P31" i="13" s="1"/>
  <c r="AX31" i="13" s="1"/>
  <c r="T23" i="13"/>
  <c r="V23" i="13" s="1"/>
  <c r="BD23" i="13" s="1"/>
  <c r="T32" i="13"/>
  <c r="T24" i="13"/>
  <c r="V24" i="13" s="1"/>
  <c r="BD24" i="13" s="1"/>
  <c r="T33" i="13"/>
  <c r="R33" i="13" s="1"/>
  <c r="AZ33" i="13" s="1"/>
  <c r="T25" i="13"/>
  <c r="V25" i="13" s="1"/>
  <c r="BD25" i="13" s="1"/>
  <c r="T29" i="13"/>
  <c r="V29" i="13" s="1"/>
  <c r="BD29" i="13" s="1"/>
  <c r="T28" i="13"/>
  <c r="V28" i="13" s="1"/>
  <c r="BD28" i="13" s="1"/>
  <c r="T20" i="13"/>
  <c r="T27" i="13"/>
  <c r="P27" i="13" s="1"/>
  <c r="AX27" i="13" s="1"/>
  <c r="T19" i="13"/>
  <c r="V19" i="13" s="1"/>
  <c r="BD19" i="13" s="1"/>
  <c r="T26" i="13"/>
  <c r="J31" i="13"/>
  <c r="L31" i="13" s="1"/>
  <c r="AT31" i="13" s="1"/>
  <c r="J23" i="13"/>
  <c r="L23" i="13" s="1"/>
  <c r="AT23" i="13" s="1"/>
  <c r="J32" i="13"/>
  <c r="H32" i="13" s="1"/>
  <c r="AP32" i="13" s="1"/>
  <c r="J33" i="13"/>
  <c r="N33" i="13" s="1"/>
  <c r="AV33" i="13" s="1"/>
  <c r="J25" i="13"/>
  <c r="M25" i="13" s="1"/>
  <c r="J30" i="13"/>
  <c r="L30" i="13" s="1"/>
  <c r="AT30" i="13" s="1"/>
  <c r="J29" i="13"/>
  <c r="L29" i="13" s="1"/>
  <c r="AT29" i="13" s="1"/>
  <c r="J28" i="13"/>
  <c r="H28" i="13" s="1"/>
  <c r="AP28" i="13" s="1"/>
  <c r="J20" i="13"/>
  <c r="H20" i="13" s="1"/>
  <c r="AP20" i="13" s="1"/>
  <c r="J27" i="13"/>
  <c r="M27" i="13" s="1"/>
  <c r="J19" i="13"/>
  <c r="M19" i="13" s="1"/>
  <c r="J26" i="13"/>
  <c r="M26" i="13" s="1"/>
  <c r="J16" i="13"/>
  <c r="N16" i="13" s="1"/>
  <c r="AV16" i="13" s="1"/>
  <c r="J24" i="13"/>
  <c r="L24" i="13" s="1"/>
  <c r="AT24" i="13" s="1"/>
  <c r="T16" i="13"/>
  <c r="V16" i="13" s="1"/>
  <c r="BD16" i="13" s="1"/>
  <c r="M22" i="13"/>
  <c r="M23" i="13"/>
  <c r="M29" i="13"/>
  <c r="W27" i="12"/>
  <c r="X27" i="12" s="1"/>
  <c r="BL27" i="12" s="1"/>
  <c r="W28" i="12"/>
  <c r="X28" i="12" s="1"/>
  <c r="BL28" i="12" s="1"/>
  <c r="W29" i="12"/>
  <c r="X29" i="12" s="1"/>
  <c r="BL29" i="12" s="1"/>
  <c r="W30" i="12"/>
  <c r="Z30" i="12" s="1"/>
  <c r="BN30" i="12" s="1"/>
  <c r="W25" i="12"/>
  <c r="BK25" i="12" s="1"/>
  <c r="W24" i="12"/>
  <c r="BK24" i="12" s="1"/>
  <c r="M17" i="12"/>
  <c r="P17" i="12"/>
  <c r="V32" i="13"/>
  <c r="BD32" i="13" s="1"/>
  <c r="P32" i="13"/>
  <c r="AX32" i="13" s="1"/>
  <c r="N32" i="13"/>
  <c r="AV32" i="13" s="1"/>
  <c r="BB31" i="13"/>
  <c r="V26" i="13"/>
  <c r="BD26" i="13" s="1"/>
  <c r="L25" i="13"/>
  <c r="AT25" i="13" s="1"/>
  <c r="J22" i="13"/>
  <c r="L22" i="13" s="1"/>
  <c r="AT22" i="13" s="1"/>
  <c r="T21" i="13"/>
  <c r="V21" i="13" s="1"/>
  <c r="BD21" i="13" s="1"/>
  <c r="J21" i="13"/>
  <c r="L21" i="13" s="1"/>
  <c r="AT21" i="13" s="1"/>
  <c r="V20" i="13"/>
  <c r="BD20" i="13" s="1"/>
  <c r="P19" i="13"/>
  <c r="AX19" i="13" s="1"/>
  <c r="T18" i="13"/>
  <c r="V18" i="13" s="1"/>
  <c r="BD18" i="13" s="1"/>
  <c r="J18" i="13"/>
  <c r="L18" i="13" s="1"/>
  <c r="AT18" i="13" s="1"/>
  <c r="T17" i="13"/>
  <c r="V17" i="13" s="1"/>
  <c r="BD17" i="13" s="1"/>
  <c r="J17" i="13"/>
  <c r="AR17" i="13" s="1"/>
  <c r="T15" i="13"/>
  <c r="V15" i="13" s="1"/>
  <c r="BD15" i="13" s="1"/>
  <c r="J15" i="13"/>
  <c r="N15" i="13" s="1"/>
  <c r="AV15" i="13" s="1"/>
  <c r="T14" i="13"/>
  <c r="V14" i="13" s="1"/>
  <c r="BD14" i="13" s="1"/>
  <c r="J14" i="13"/>
  <c r="N14" i="13" s="1"/>
  <c r="AV14" i="13" s="1"/>
  <c r="T13" i="13"/>
  <c r="V13" i="13" s="1"/>
  <c r="BD13" i="13" s="1"/>
  <c r="J13" i="13"/>
  <c r="N13" i="13" s="1"/>
  <c r="AV13" i="13" s="1"/>
  <c r="T12" i="13"/>
  <c r="V12" i="13" s="1"/>
  <c r="BD12" i="13" s="1"/>
  <c r="J12" i="13"/>
  <c r="N12" i="13" s="1"/>
  <c r="AV12" i="13" s="1"/>
  <c r="T11" i="13"/>
  <c r="V11" i="13" s="1"/>
  <c r="BD11" i="13" s="1"/>
  <c r="J11" i="13"/>
  <c r="N11" i="13" s="1"/>
  <c r="AV11" i="13" s="1"/>
  <c r="T10" i="13"/>
  <c r="V10" i="13" s="1"/>
  <c r="BD10" i="13" s="1"/>
  <c r="J10" i="13"/>
  <c r="N10" i="13" s="1"/>
  <c r="AV10" i="13" s="1"/>
  <c r="T30" i="12"/>
  <c r="BH30" i="12" s="1"/>
  <c r="U28" i="12"/>
  <c r="BI28" i="12" s="1"/>
  <c r="Z27" i="12"/>
  <c r="BN27" i="12" s="1"/>
  <c r="W26" i="12"/>
  <c r="Y26" i="12" s="1"/>
  <c r="BM26" i="12" s="1"/>
  <c r="T25" i="12"/>
  <c r="BH25" i="12" s="1"/>
  <c r="V24" i="12"/>
  <c r="BJ24" i="12" s="1"/>
  <c r="W23" i="12"/>
  <c r="Y23" i="12" s="1"/>
  <c r="BM23" i="12" s="1"/>
  <c r="BD17" i="12"/>
  <c r="N17" i="12"/>
  <c r="BB17" i="12" s="1"/>
  <c r="BA17" i="12"/>
  <c r="L17" i="12"/>
  <c r="AZ17" i="12" s="1"/>
  <c r="K17" i="12"/>
  <c r="AY17" i="12" s="1"/>
  <c r="J17" i="12"/>
  <c r="AX17" i="12" s="1"/>
  <c r="M16" i="12"/>
  <c r="BA16" i="12" s="1"/>
  <c r="M15" i="12"/>
  <c r="BA15" i="12" s="1"/>
  <c r="M14" i="12"/>
  <c r="BA14" i="12" s="1"/>
  <c r="M13" i="12"/>
  <c r="BA13" i="12" s="1"/>
  <c r="M12" i="12"/>
  <c r="P12" i="12" s="1"/>
  <c r="M11" i="12"/>
  <c r="BA11" i="12" s="1"/>
  <c r="M10" i="12"/>
  <c r="Q10" i="12" s="1"/>
  <c r="BE10" i="12" s="1"/>
  <c r="AJ31" i="10"/>
  <c r="AM67" i="11"/>
  <c r="BJ67" i="11" s="1"/>
  <c r="AL65" i="11"/>
  <c r="BI65" i="11" s="1"/>
  <c r="AL64" i="11"/>
  <c r="BI64" i="11" s="1"/>
  <c r="AN69" i="11"/>
  <c r="AN68" i="11"/>
  <c r="BK68" i="11" s="1"/>
  <c r="AM66" i="11"/>
  <c r="BJ66" i="11" s="1"/>
  <c r="AN54" i="11"/>
  <c r="BL108" i="11"/>
  <c r="AT199" i="5"/>
  <c r="AT191" i="5"/>
  <c r="BE189" i="5"/>
  <c r="BF189" i="5"/>
  <c r="BG189" i="5"/>
  <c r="BH189" i="5"/>
  <c r="BJ189" i="5"/>
  <c r="BK189" i="5"/>
  <c r="BL189" i="5"/>
  <c r="BM189" i="5"/>
  <c r="BN189" i="5"/>
  <c r="BO189" i="5"/>
  <c r="BQ189" i="5"/>
  <c r="BR189" i="5"/>
  <c r="BS189" i="5"/>
  <c r="BT189" i="5"/>
  <c r="BU189" i="5"/>
  <c r="AP184" i="5"/>
  <c r="CB116" i="11"/>
  <c r="CC116" i="11"/>
  <c r="CD116" i="11"/>
  <c r="CE116" i="11"/>
  <c r="CC117" i="11"/>
  <c r="CD117" i="11"/>
  <c r="CE117" i="11"/>
  <c r="CB118" i="11"/>
  <c r="CC118" i="11"/>
  <c r="CD118" i="11"/>
  <c r="CE118" i="11"/>
  <c r="CB119" i="11"/>
  <c r="CC119" i="11"/>
  <c r="CD119" i="11"/>
  <c r="CE119" i="11"/>
  <c r="CB120" i="11"/>
  <c r="CC120" i="11"/>
  <c r="CD120" i="11"/>
  <c r="CE120" i="11"/>
  <c r="CB121" i="11"/>
  <c r="CC121" i="11"/>
  <c r="CD121" i="11"/>
  <c r="CE121" i="11"/>
  <c r="BV116" i="11"/>
  <c r="BW116" i="11"/>
  <c r="BY116" i="11"/>
  <c r="BZ116" i="11"/>
  <c r="CA116" i="11"/>
  <c r="BV117" i="11"/>
  <c r="BW117" i="11"/>
  <c r="BX117" i="11"/>
  <c r="BY117" i="11"/>
  <c r="BZ117" i="11"/>
  <c r="CA117" i="11"/>
  <c r="BV118" i="11"/>
  <c r="BW118" i="11"/>
  <c r="BX118" i="11"/>
  <c r="BY118" i="11"/>
  <c r="BZ118" i="11"/>
  <c r="BV119" i="11"/>
  <c r="BW119" i="11"/>
  <c r="BX119" i="11"/>
  <c r="BY119" i="11"/>
  <c r="CA119" i="11"/>
  <c r="BV120" i="11"/>
  <c r="BW120" i="11"/>
  <c r="BX120" i="11"/>
  <c r="BY120" i="11"/>
  <c r="CA120" i="11"/>
  <c r="BV121" i="11"/>
  <c r="BW121" i="11"/>
  <c r="BX121" i="11"/>
  <c r="BY121" i="11"/>
  <c r="CA121" i="11"/>
  <c r="CC130" i="11"/>
  <c r="CD130" i="11"/>
  <c r="CE130" i="11"/>
  <c r="CC131" i="11"/>
  <c r="CD131" i="11"/>
  <c r="CE131" i="11"/>
  <c r="CC132" i="11"/>
  <c r="CD132" i="11"/>
  <c r="CE132" i="11"/>
  <c r="CC133" i="11"/>
  <c r="CD133" i="11"/>
  <c r="CE133" i="11"/>
  <c r="CC134" i="11"/>
  <c r="CD134" i="11"/>
  <c r="CE134" i="11"/>
  <c r="CC135" i="11"/>
  <c r="CD135" i="11"/>
  <c r="CE135" i="11"/>
  <c r="BV130" i="11"/>
  <c r="BW130" i="11"/>
  <c r="BY130" i="11"/>
  <c r="BZ130" i="11"/>
  <c r="CA130" i="11"/>
  <c r="CB130" i="11"/>
  <c r="BV131" i="11"/>
  <c r="BW131" i="11"/>
  <c r="BX131" i="11"/>
  <c r="BY131" i="11"/>
  <c r="BZ131" i="11"/>
  <c r="CA131" i="11"/>
  <c r="BV132" i="11"/>
  <c r="BW132" i="11"/>
  <c r="BX132" i="11"/>
  <c r="BY132" i="11"/>
  <c r="BZ132" i="11"/>
  <c r="CB132" i="11"/>
  <c r="BV133" i="11"/>
  <c r="BW133" i="11"/>
  <c r="BX133" i="11"/>
  <c r="BY133" i="11"/>
  <c r="CA133" i="11"/>
  <c r="CB133" i="11"/>
  <c r="BV134" i="11"/>
  <c r="BW134" i="11"/>
  <c r="BX134" i="11"/>
  <c r="BY134" i="11"/>
  <c r="CA134" i="11"/>
  <c r="CB134" i="11"/>
  <c r="BV135" i="11"/>
  <c r="BW135" i="11"/>
  <c r="BX135" i="11"/>
  <c r="BY135" i="11"/>
  <c r="CA135" i="11"/>
  <c r="CB135" i="11"/>
  <c r="BP130" i="11"/>
  <c r="BQ130" i="11"/>
  <c r="BR130" i="11"/>
  <c r="BS130" i="11"/>
  <c r="BT130" i="11"/>
  <c r="BU130" i="11"/>
  <c r="BO131" i="11"/>
  <c r="BQ131" i="11"/>
  <c r="BR131" i="11"/>
  <c r="BS131" i="11"/>
  <c r="BT131" i="11"/>
  <c r="BU131" i="11"/>
  <c r="BO132" i="11"/>
  <c r="BP132" i="11"/>
  <c r="BR132" i="11"/>
  <c r="BS132" i="11"/>
  <c r="BT132" i="11"/>
  <c r="BU132" i="11"/>
  <c r="BO133" i="11"/>
  <c r="BP133" i="11"/>
  <c r="BQ133" i="11"/>
  <c r="BS133" i="11"/>
  <c r="BT133" i="11"/>
  <c r="BU133" i="11"/>
  <c r="BO134" i="11"/>
  <c r="BP134" i="11"/>
  <c r="BQ134" i="11"/>
  <c r="BR134" i="11"/>
  <c r="BT134" i="11"/>
  <c r="BU134" i="11"/>
  <c r="BO135" i="11"/>
  <c r="BP135" i="11"/>
  <c r="BQ135" i="11"/>
  <c r="BR135" i="11"/>
  <c r="BS135" i="11"/>
  <c r="BT135" i="11"/>
  <c r="BP116" i="11"/>
  <c r="BQ116" i="11"/>
  <c r="BR116" i="11"/>
  <c r="BS116" i="11"/>
  <c r="BT116" i="11"/>
  <c r="BU116" i="11"/>
  <c r="BO117" i="11"/>
  <c r="BQ117" i="11"/>
  <c r="BR117" i="11"/>
  <c r="BS117" i="11"/>
  <c r="BT117" i="11"/>
  <c r="BU117" i="11"/>
  <c r="BO118" i="11"/>
  <c r="BP118" i="11"/>
  <c r="BR118" i="11"/>
  <c r="BS118" i="11"/>
  <c r="BT118" i="11"/>
  <c r="BU118" i="11"/>
  <c r="BO119" i="11"/>
  <c r="BP119" i="11"/>
  <c r="BQ119" i="11"/>
  <c r="BS119" i="11"/>
  <c r="BT119" i="11"/>
  <c r="BU119" i="11"/>
  <c r="BO120" i="11"/>
  <c r="BP120" i="11"/>
  <c r="BQ120" i="11"/>
  <c r="BR120" i="11"/>
  <c r="BT120" i="11"/>
  <c r="BU120" i="11"/>
  <c r="BO121" i="11"/>
  <c r="BP121" i="11"/>
  <c r="BQ121" i="11"/>
  <c r="BR121" i="11"/>
  <c r="BS121" i="11"/>
  <c r="BT121" i="11"/>
  <c r="BK107" i="11"/>
  <c r="BL107" i="11"/>
  <c r="BM107" i="11"/>
  <c r="BK108" i="11"/>
  <c r="BM108" i="11"/>
  <c r="BK109" i="11"/>
  <c r="BL109" i="11"/>
  <c r="BM109" i="11"/>
  <c r="BK110" i="11"/>
  <c r="BL110" i="11"/>
  <c r="BM110" i="11"/>
  <c r="BK111" i="11"/>
  <c r="BL111" i="11"/>
  <c r="BM111" i="11"/>
  <c r="BK112" i="11"/>
  <c r="BL112" i="11"/>
  <c r="BM112" i="11"/>
  <c r="BK113" i="11"/>
  <c r="BL113" i="11"/>
  <c r="BM113" i="11"/>
  <c r="BK114" i="11"/>
  <c r="BL114" i="11"/>
  <c r="BM114" i="11"/>
  <c r="BK115" i="11"/>
  <c r="BL115" i="11"/>
  <c r="BM115" i="11"/>
  <c r="BK116" i="11"/>
  <c r="BL116" i="11"/>
  <c r="BM116" i="11"/>
  <c r="BK117" i="11"/>
  <c r="BL117" i="11"/>
  <c r="BM117" i="11"/>
  <c r="BK118" i="11"/>
  <c r="BL118" i="11"/>
  <c r="BM118" i="11"/>
  <c r="BK119" i="11"/>
  <c r="BL119" i="11"/>
  <c r="BM119" i="11"/>
  <c r="BL120" i="11"/>
  <c r="BM120" i="11"/>
  <c r="BL121" i="11"/>
  <c r="BM121" i="11"/>
  <c r="BK122" i="11"/>
  <c r="BL122" i="11"/>
  <c r="BM122" i="11"/>
  <c r="BK123" i="11"/>
  <c r="BL123" i="11"/>
  <c r="BM123" i="11"/>
  <c r="BK124" i="11"/>
  <c r="BL124" i="11"/>
  <c r="BM124" i="11"/>
  <c r="BK125" i="11"/>
  <c r="BL125" i="11"/>
  <c r="BM125" i="11"/>
  <c r="BK126" i="11"/>
  <c r="BL126" i="11"/>
  <c r="BM126" i="11"/>
  <c r="BK127" i="11"/>
  <c r="BL127" i="11"/>
  <c r="BM127" i="11"/>
  <c r="BK128" i="11"/>
  <c r="BL128" i="11"/>
  <c r="BM128" i="11"/>
  <c r="BK129" i="11"/>
  <c r="BL129" i="11"/>
  <c r="BM129" i="11"/>
  <c r="BK130" i="11"/>
  <c r="BL130" i="11"/>
  <c r="BM130" i="11"/>
  <c r="BK131" i="11"/>
  <c r="BL131" i="11"/>
  <c r="BM131" i="11"/>
  <c r="BK132" i="11"/>
  <c r="BL132" i="11"/>
  <c r="BM132" i="11"/>
  <c r="BK133" i="11"/>
  <c r="BL133" i="11"/>
  <c r="BM133" i="11"/>
  <c r="BL134" i="11"/>
  <c r="BM134" i="11"/>
  <c r="BL135" i="11"/>
  <c r="BM135" i="11"/>
  <c r="BI132" i="11"/>
  <c r="BI133" i="11"/>
  <c r="BI134" i="11"/>
  <c r="BI135" i="11"/>
  <c r="BJ130" i="11"/>
  <c r="BJ131" i="11"/>
  <c r="BJ132" i="11"/>
  <c r="BJ133" i="11"/>
  <c r="BJ134" i="11"/>
  <c r="BJ135" i="11"/>
  <c r="BJ116" i="11"/>
  <c r="BJ117" i="11"/>
  <c r="BJ120" i="11"/>
  <c r="BJ121" i="11"/>
  <c r="BJ122" i="11"/>
  <c r="BJ123" i="11"/>
  <c r="BJ124" i="11"/>
  <c r="BJ125" i="11"/>
  <c r="BJ126" i="11"/>
  <c r="BJ127" i="11"/>
  <c r="BJ128" i="11"/>
  <c r="BJ129" i="11"/>
  <c r="BJ108" i="11"/>
  <c r="BJ109" i="11"/>
  <c r="BJ110" i="11"/>
  <c r="BJ111" i="11"/>
  <c r="BJ112" i="11"/>
  <c r="BJ113" i="11"/>
  <c r="BJ114" i="11"/>
  <c r="BJ115" i="11"/>
  <c r="BI110" i="11"/>
  <c r="BI111" i="11"/>
  <c r="BI112" i="11"/>
  <c r="BI113" i="11"/>
  <c r="BI114" i="11"/>
  <c r="BI115" i="11"/>
  <c r="BI118" i="11"/>
  <c r="BI119" i="11"/>
  <c r="BI120" i="11"/>
  <c r="BI121" i="11"/>
  <c r="BI122" i="11"/>
  <c r="BI123" i="11"/>
  <c r="BI124" i="11"/>
  <c r="BI125" i="11"/>
  <c r="BI126" i="11"/>
  <c r="BI127" i="11"/>
  <c r="BI128" i="11"/>
  <c r="BI129" i="11"/>
  <c r="BI108" i="11"/>
  <c r="BI109" i="11"/>
  <c r="BB135" i="11"/>
  <c r="BZ135" i="11" s="1"/>
  <c r="BB134" i="11"/>
  <c r="BZ134" i="11" s="1"/>
  <c r="BB133" i="11"/>
  <c r="BZ133" i="11" s="1"/>
  <c r="BC132" i="11"/>
  <c r="CA132" i="11" s="1"/>
  <c r="BD131" i="11"/>
  <c r="CB131" i="11" s="1"/>
  <c r="AZ130" i="11"/>
  <c r="BX130" i="11" s="1"/>
  <c r="BB121" i="11"/>
  <c r="BZ121" i="11" s="1"/>
  <c r="BB120" i="11"/>
  <c r="BZ120" i="11" s="1"/>
  <c r="BB119" i="11"/>
  <c r="BZ119" i="11" s="1"/>
  <c r="BC118" i="11"/>
  <c r="CA118" i="11" s="1"/>
  <c r="BD117" i="11"/>
  <c r="CB117" i="11" s="1"/>
  <c r="AZ116" i="11"/>
  <c r="BX116" i="11" s="1"/>
  <c r="AW135" i="11"/>
  <c r="BU135" i="11" s="1"/>
  <c r="AU134" i="11"/>
  <c r="BS134" i="11" s="1"/>
  <c r="AT133" i="11"/>
  <c r="BR133" i="11" s="1"/>
  <c r="AS132" i="11"/>
  <c r="BQ132" i="11" s="1"/>
  <c r="AR131" i="11"/>
  <c r="BP131" i="11" s="1"/>
  <c r="AQ130" i="11"/>
  <c r="BO130" i="11" s="1"/>
  <c r="AW121" i="11"/>
  <c r="BU121" i="11" s="1"/>
  <c r="AU120" i="11"/>
  <c r="BS120" i="11" s="1"/>
  <c r="AT119" i="11"/>
  <c r="BR119" i="11" s="1"/>
  <c r="AS118" i="11"/>
  <c r="BQ118" i="11" s="1"/>
  <c r="AR117" i="11"/>
  <c r="BP117" i="11" s="1"/>
  <c r="AQ116" i="11"/>
  <c r="BO116" i="11" s="1"/>
  <c r="BB106" i="11"/>
  <c r="BZ106" i="11" s="1"/>
  <c r="BB107" i="11"/>
  <c r="BZ107" i="11" s="1"/>
  <c r="BB100" i="11"/>
  <c r="BZ100" i="11" s="1"/>
  <c r="BD103" i="11"/>
  <c r="CB103" i="11" s="1"/>
  <c r="BC104" i="11"/>
  <c r="CA104" i="11" s="1"/>
  <c r="BB105" i="11"/>
  <c r="BZ105" i="11" s="1"/>
  <c r="AZ102" i="11"/>
  <c r="BX102" i="11" s="1"/>
  <c r="CA102" i="11"/>
  <c r="CB102" i="11"/>
  <c r="CC102" i="11"/>
  <c r="CD102" i="11"/>
  <c r="CE102" i="11"/>
  <c r="CA103" i="11"/>
  <c r="CC103" i="11"/>
  <c r="CD103" i="11"/>
  <c r="CE103" i="11"/>
  <c r="CB104" i="11"/>
  <c r="CC104" i="11"/>
  <c r="CD104" i="11"/>
  <c r="CE104" i="11"/>
  <c r="CA105" i="11"/>
  <c r="CB105" i="11"/>
  <c r="CC105" i="11"/>
  <c r="CD105" i="11"/>
  <c r="CE105" i="11"/>
  <c r="CA106" i="11"/>
  <c r="CB106" i="11"/>
  <c r="CC106" i="11"/>
  <c r="CD106" i="11"/>
  <c r="CE106" i="11"/>
  <c r="CA107" i="11"/>
  <c r="CB107" i="11"/>
  <c r="CC107" i="11"/>
  <c r="CD107" i="11"/>
  <c r="CE107" i="11"/>
  <c r="BU102" i="11"/>
  <c r="BV102" i="11"/>
  <c r="BW102" i="11"/>
  <c r="BY102" i="11"/>
  <c r="BZ102" i="11"/>
  <c r="BU103" i="11"/>
  <c r="BV103" i="11"/>
  <c r="BW103" i="11"/>
  <c r="BX103" i="11"/>
  <c r="BY103" i="11"/>
  <c r="BZ103" i="11"/>
  <c r="BU104" i="11"/>
  <c r="BV104" i="11"/>
  <c r="BW104" i="11"/>
  <c r="BX104" i="11"/>
  <c r="BY104" i="11"/>
  <c r="BZ104" i="11"/>
  <c r="BU105" i="11"/>
  <c r="BV105" i="11"/>
  <c r="BW105" i="11"/>
  <c r="BX105" i="11"/>
  <c r="BY105" i="11"/>
  <c r="BU106" i="11"/>
  <c r="BV106" i="11"/>
  <c r="BW106" i="11"/>
  <c r="BX106" i="11"/>
  <c r="BY106" i="11"/>
  <c r="BV107" i="11"/>
  <c r="BW107" i="11"/>
  <c r="BX107" i="11"/>
  <c r="BY107" i="11"/>
  <c r="BP102" i="11"/>
  <c r="BQ102" i="11"/>
  <c r="BR102" i="11"/>
  <c r="BS102" i="11"/>
  <c r="BT102" i="11"/>
  <c r="BO103" i="11"/>
  <c r="BQ103" i="11"/>
  <c r="BR103" i="11"/>
  <c r="BS103" i="11"/>
  <c r="BT103" i="11"/>
  <c r="BO104" i="11"/>
  <c r="BP104" i="11"/>
  <c r="BR104" i="11"/>
  <c r="BS104" i="11"/>
  <c r="BT104" i="11"/>
  <c r="BO105" i="11"/>
  <c r="BP105" i="11"/>
  <c r="BQ105" i="11"/>
  <c r="BS105" i="11"/>
  <c r="BT105" i="11"/>
  <c r="BO106" i="11"/>
  <c r="BP106" i="11"/>
  <c r="BQ106" i="11"/>
  <c r="BR106" i="11"/>
  <c r="BT106" i="11"/>
  <c r="BO107" i="11"/>
  <c r="BP107" i="11"/>
  <c r="BQ107" i="11"/>
  <c r="BR107" i="11"/>
  <c r="BS107" i="11"/>
  <c r="BT107" i="11"/>
  <c r="BK102" i="11"/>
  <c r="BL102" i="11"/>
  <c r="BM102" i="11"/>
  <c r="BK103" i="11"/>
  <c r="BL103" i="11"/>
  <c r="BM103" i="11"/>
  <c r="BK104" i="11"/>
  <c r="BL104" i="11"/>
  <c r="BM104" i="11"/>
  <c r="BK105" i="11"/>
  <c r="BL105" i="11"/>
  <c r="BM105" i="11"/>
  <c r="BK106" i="11"/>
  <c r="BL106" i="11"/>
  <c r="BM106" i="11"/>
  <c r="BJ102" i="11"/>
  <c r="BJ103" i="11"/>
  <c r="BJ104" i="11"/>
  <c r="BJ105" i="11"/>
  <c r="BJ106" i="11"/>
  <c r="BJ107" i="11"/>
  <c r="BI102" i="11"/>
  <c r="BI103" i="11"/>
  <c r="BI104" i="11"/>
  <c r="BI105" i="11"/>
  <c r="BI106" i="11"/>
  <c r="BI107" i="11"/>
  <c r="AW107" i="11"/>
  <c r="BU107" i="11" s="1"/>
  <c r="AU106" i="11"/>
  <c r="BS106" i="11" s="1"/>
  <c r="AT105" i="11"/>
  <c r="BR105" i="11" s="1"/>
  <c r="AS104" i="11"/>
  <c r="BQ104" i="11" s="1"/>
  <c r="AR103" i="11"/>
  <c r="BP103" i="11" s="1"/>
  <c r="AQ102" i="11"/>
  <c r="BO102" i="11" s="1"/>
  <c r="AQ94" i="11"/>
  <c r="BO94" i="11" s="1"/>
  <c r="AM119" i="11"/>
  <c r="BJ119" i="11" s="1"/>
  <c r="AM118" i="11"/>
  <c r="AN135" i="11"/>
  <c r="BK135" i="11" s="1"/>
  <c r="AN134" i="11"/>
  <c r="BK134" i="11" s="1"/>
  <c r="AL131" i="11"/>
  <c r="BI131" i="11" s="1"/>
  <c r="AL130" i="11"/>
  <c r="BI130" i="11" s="1"/>
  <c r="AN121" i="11"/>
  <c r="BK121" i="11" s="1"/>
  <c r="AN120" i="11"/>
  <c r="BK120" i="11" s="1"/>
  <c r="AL117" i="11"/>
  <c r="BI117" i="11" s="1"/>
  <c r="AL116" i="11"/>
  <c r="BI116" i="11" s="1"/>
  <c r="I118" i="11"/>
  <c r="BJ118" i="11" s="1"/>
  <c r="CB64" i="11"/>
  <c r="CC64" i="11"/>
  <c r="CD64" i="11"/>
  <c r="CE64" i="11"/>
  <c r="CC65" i="11"/>
  <c r="CD65" i="11"/>
  <c r="CE65" i="11"/>
  <c r="CB66" i="11"/>
  <c r="CC66" i="11"/>
  <c r="CD66" i="11"/>
  <c r="CE66" i="11"/>
  <c r="CB67" i="11"/>
  <c r="CC67" i="11"/>
  <c r="CD67" i="11"/>
  <c r="CE67" i="11"/>
  <c r="CB68" i="11"/>
  <c r="CC68" i="11"/>
  <c r="CD68" i="11"/>
  <c r="CE68" i="11"/>
  <c r="CB69" i="11"/>
  <c r="CC69" i="11"/>
  <c r="CD69" i="11"/>
  <c r="CE69" i="11"/>
  <c r="BU64" i="11"/>
  <c r="BV64" i="11"/>
  <c r="BW64" i="11"/>
  <c r="BY64" i="11"/>
  <c r="BZ64" i="11"/>
  <c r="CA64" i="11"/>
  <c r="BU65" i="11"/>
  <c r="BV65" i="11"/>
  <c r="BW65" i="11"/>
  <c r="BX65" i="11"/>
  <c r="BY65" i="11"/>
  <c r="BZ65" i="11"/>
  <c r="CA65" i="11"/>
  <c r="BU66" i="11"/>
  <c r="BV66" i="11"/>
  <c r="BW66" i="11"/>
  <c r="BX66" i="11"/>
  <c r="BY66" i="11"/>
  <c r="BZ66" i="11"/>
  <c r="BU67" i="11"/>
  <c r="BV67" i="11"/>
  <c r="BW67" i="11"/>
  <c r="BX67" i="11"/>
  <c r="BY67" i="11"/>
  <c r="CA67" i="11"/>
  <c r="BU68" i="11"/>
  <c r="BV68" i="11"/>
  <c r="BW68" i="11"/>
  <c r="BX68" i="11"/>
  <c r="BY68" i="11"/>
  <c r="CA68" i="11"/>
  <c r="BV69" i="11"/>
  <c r="BW69" i="11"/>
  <c r="BX69" i="11"/>
  <c r="BY69" i="11"/>
  <c r="BZ69" i="11"/>
  <c r="CA69" i="11"/>
  <c r="BP64" i="11"/>
  <c r="BQ64" i="11"/>
  <c r="BR64" i="11"/>
  <c r="BS64" i="11"/>
  <c r="BT64" i="11"/>
  <c r="BO65" i="11"/>
  <c r="BQ65" i="11"/>
  <c r="BR65" i="11"/>
  <c r="BS65" i="11"/>
  <c r="BT65" i="11"/>
  <c r="BO66" i="11"/>
  <c r="BP66" i="11"/>
  <c r="BR66" i="11"/>
  <c r="BS66" i="11"/>
  <c r="BT66" i="11"/>
  <c r="BO67" i="11"/>
  <c r="BP67" i="11"/>
  <c r="BQ67" i="11"/>
  <c r="BS67" i="11"/>
  <c r="BT67" i="11"/>
  <c r="BO68" i="11"/>
  <c r="BP68" i="11"/>
  <c r="BQ68" i="11"/>
  <c r="BR68" i="11"/>
  <c r="BT68" i="11"/>
  <c r="BO69" i="11"/>
  <c r="BP69" i="11"/>
  <c r="BQ69" i="11"/>
  <c r="BR69" i="11"/>
  <c r="BS69" i="11"/>
  <c r="BT69" i="11"/>
  <c r="BZ50" i="11"/>
  <c r="CA50" i="11"/>
  <c r="CB50" i="11"/>
  <c r="CC50" i="11"/>
  <c r="CD50" i="11"/>
  <c r="CE50" i="11"/>
  <c r="BZ51" i="11"/>
  <c r="CA51" i="11"/>
  <c r="CC51" i="11"/>
  <c r="CD51" i="11"/>
  <c r="CE51" i="11"/>
  <c r="BZ52" i="11"/>
  <c r="CB52" i="11"/>
  <c r="CC52" i="11"/>
  <c r="CD52" i="11"/>
  <c r="CE52" i="11"/>
  <c r="CA53" i="11"/>
  <c r="CB53" i="11"/>
  <c r="CC53" i="11"/>
  <c r="CD53" i="11"/>
  <c r="CE53" i="11"/>
  <c r="CA54" i="11"/>
  <c r="CB54" i="11"/>
  <c r="CC54" i="11"/>
  <c r="CD54" i="11"/>
  <c r="CE54" i="11"/>
  <c r="BZ55" i="11"/>
  <c r="CA55" i="11"/>
  <c r="CB55" i="11"/>
  <c r="CC55" i="11"/>
  <c r="CD55" i="11"/>
  <c r="CE55" i="11"/>
  <c r="BU50" i="11"/>
  <c r="BV50" i="11"/>
  <c r="BW50" i="11"/>
  <c r="BY50" i="11"/>
  <c r="BU51" i="11"/>
  <c r="BV51" i="11"/>
  <c r="BW51" i="11"/>
  <c r="BX51" i="11"/>
  <c r="BY51" i="11"/>
  <c r="BU52" i="11"/>
  <c r="BV52" i="11"/>
  <c r="BW52" i="11"/>
  <c r="BX52" i="11"/>
  <c r="BY52" i="11"/>
  <c r="BU53" i="11"/>
  <c r="BV53" i="11"/>
  <c r="BW53" i="11"/>
  <c r="BX53" i="11"/>
  <c r="BY53" i="11"/>
  <c r="BU54" i="11"/>
  <c r="BV54" i="11"/>
  <c r="BW54" i="11"/>
  <c r="BX54" i="11"/>
  <c r="BY54" i="11"/>
  <c r="BV55" i="11"/>
  <c r="BW55" i="11"/>
  <c r="BX55" i="11"/>
  <c r="BY55" i="11"/>
  <c r="BQ50" i="11"/>
  <c r="BR50" i="11"/>
  <c r="BS50" i="11"/>
  <c r="BT50" i="11"/>
  <c r="BQ51" i="11"/>
  <c r="BR51" i="11"/>
  <c r="BS51" i="11"/>
  <c r="BT51" i="11"/>
  <c r="BR52" i="11"/>
  <c r="BS52" i="11"/>
  <c r="BT52" i="11"/>
  <c r="BQ53" i="11"/>
  <c r="BS53" i="11"/>
  <c r="BT53" i="11"/>
  <c r="BQ54" i="11"/>
  <c r="BR54" i="11"/>
  <c r="BT54" i="11"/>
  <c r="BQ55" i="11"/>
  <c r="BR55" i="11"/>
  <c r="BS55" i="11"/>
  <c r="BT55" i="11"/>
  <c r="BP50" i="11"/>
  <c r="BP52" i="11"/>
  <c r="BP53" i="11"/>
  <c r="BP54" i="11"/>
  <c r="BP55" i="11"/>
  <c r="BO51" i="11"/>
  <c r="BO52" i="11"/>
  <c r="BO53" i="11"/>
  <c r="BO54" i="11"/>
  <c r="BO55" i="11"/>
  <c r="BM64" i="11"/>
  <c r="BM65" i="11"/>
  <c r="BM66" i="11"/>
  <c r="BM67" i="11"/>
  <c r="BM68" i="11"/>
  <c r="BM69" i="11"/>
  <c r="BM50" i="11"/>
  <c r="BM51" i="11"/>
  <c r="BM52" i="11"/>
  <c r="BM53" i="11"/>
  <c r="BM54" i="11"/>
  <c r="BM55" i="11"/>
  <c r="BJ68" i="11"/>
  <c r="BJ69" i="11"/>
  <c r="BI66" i="11"/>
  <c r="BI67" i="11"/>
  <c r="BI68" i="11"/>
  <c r="BI69" i="11"/>
  <c r="BJ54" i="11"/>
  <c r="BJ55" i="11"/>
  <c r="BI52" i="11"/>
  <c r="BI53" i="11"/>
  <c r="BI54" i="11"/>
  <c r="BI55" i="11"/>
  <c r="BD65" i="11"/>
  <c r="CB65" i="11" s="1"/>
  <c r="BD51" i="11"/>
  <c r="CB51" i="11" s="1"/>
  <c r="BC66" i="11"/>
  <c r="CA66" i="11" s="1"/>
  <c r="BC52" i="11"/>
  <c r="CA52" i="11" s="1"/>
  <c r="BB68" i="11"/>
  <c r="BZ68" i="11" s="1"/>
  <c r="BB54" i="11"/>
  <c r="BZ54" i="11" s="1"/>
  <c r="BB67" i="11"/>
  <c r="BZ67" i="11" s="1"/>
  <c r="BB53" i="11"/>
  <c r="BZ53" i="11" s="1"/>
  <c r="AZ64" i="11"/>
  <c r="BX64" i="11" s="1"/>
  <c r="AZ50" i="11"/>
  <c r="BX50" i="11" s="1"/>
  <c r="AW69" i="11"/>
  <c r="BU69" i="11" s="1"/>
  <c r="AU68" i="11"/>
  <c r="BS68" i="11" s="1"/>
  <c r="AT67" i="11"/>
  <c r="BR67" i="11" s="1"/>
  <c r="AS66" i="11"/>
  <c r="BQ66" i="11" s="1"/>
  <c r="AR65" i="11"/>
  <c r="BP65" i="11" s="1"/>
  <c r="AQ64" i="11"/>
  <c r="BO64" i="11" s="1"/>
  <c r="AW55" i="11"/>
  <c r="BU55" i="11" s="1"/>
  <c r="AU54" i="11"/>
  <c r="BS54" i="11" s="1"/>
  <c r="AT53" i="11"/>
  <c r="BR53" i="11" s="1"/>
  <c r="AS52" i="11"/>
  <c r="BQ52" i="11" s="1"/>
  <c r="AR51" i="11"/>
  <c r="BP51" i="11" s="1"/>
  <c r="AQ50" i="11"/>
  <c r="BO50" i="11" s="1"/>
  <c r="BB34" i="11"/>
  <c r="BB40" i="11"/>
  <c r="BZ40" i="11" s="1"/>
  <c r="AW41" i="11"/>
  <c r="BU41" i="11" s="1"/>
  <c r="BU40" i="11"/>
  <c r="BL69" i="11"/>
  <c r="BL55" i="11"/>
  <c r="BB32" i="11"/>
  <c r="AZ36" i="11"/>
  <c r="BX36" i="11" s="1"/>
  <c r="BL68" i="11"/>
  <c r="BL54" i="11"/>
  <c r="BD37" i="11"/>
  <c r="CB37" i="11" s="1"/>
  <c r="BZ36" i="11"/>
  <c r="CA36" i="11"/>
  <c r="CB36" i="11"/>
  <c r="CC36" i="11"/>
  <c r="CD36" i="11"/>
  <c r="CE36" i="11"/>
  <c r="BZ37" i="11"/>
  <c r="CA37" i="11"/>
  <c r="CC37" i="11"/>
  <c r="CD37" i="11"/>
  <c r="CE37" i="11"/>
  <c r="BZ38" i="11"/>
  <c r="CB38" i="11"/>
  <c r="CC38" i="11"/>
  <c r="CD38" i="11"/>
  <c r="CE38" i="11"/>
  <c r="CA39" i="11"/>
  <c r="CB39" i="11"/>
  <c r="CC39" i="11"/>
  <c r="CD39" i="11"/>
  <c r="CE39" i="11"/>
  <c r="CA40" i="11"/>
  <c r="CB40" i="11"/>
  <c r="CC40" i="11"/>
  <c r="CD40" i="11"/>
  <c r="CE40" i="11"/>
  <c r="BZ41" i="11"/>
  <c r="CA41" i="11"/>
  <c r="CB41" i="11"/>
  <c r="CC41" i="11"/>
  <c r="CD41" i="11"/>
  <c r="CE41" i="11"/>
  <c r="BT36" i="11"/>
  <c r="BU36" i="11"/>
  <c r="BV36" i="11"/>
  <c r="BW36" i="11"/>
  <c r="BY36" i="11"/>
  <c r="BT37" i="11"/>
  <c r="BU37" i="11"/>
  <c r="BV37" i="11"/>
  <c r="BW37" i="11"/>
  <c r="BX37" i="11"/>
  <c r="BY37" i="11"/>
  <c r="BT38" i="11"/>
  <c r="BU38" i="11"/>
  <c r="BV38" i="11"/>
  <c r="BW38" i="11"/>
  <c r="BX38" i="11"/>
  <c r="BY38" i="11"/>
  <c r="BT39" i="11"/>
  <c r="BU39" i="11"/>
  <c r="BV39" i="11"/>
  <c r="BW39" i="11"/>
  <c r="BX39" i="11"/>
  <c r="BY39" i="11"/>
  <c r="BT40" i="11"/>
  <c r="BV40" i="11"/>
  <c r="BW40" i="11"/>
  <c r="BX40" i="11"/>
  <c r="BY40" i="11"/>
  <c r="BT41" i="11"/>
  <c r="BV41" i="11"/>
  <c r="BW41" i="11"/>
  <c r="BX41" i="11"/>
  <c r="BY41" i="11"/>
  <c r="BP36" i="11"/>
  <c r="BQ36" i="11"/>
  <c r="BR36" i="11"/>
  <c r="BS36" i="11"/>
  <c r="BQ37" i="11"/>
  <c r="BR37" i="11"/>
  <c r="BS37" i="11"/>
  <c r="BP38" i="11"/>
  <c r="BR38" i="11"/>
  <c r="BS38" i="11"/>
  <c r="BP39" i="11"/>
  <c r="BQ39" i="11"/>
  <c r="BS39" i="11"/>
  <c r="BP40" i="11"/>
  <c r="BQ40" i="11"/>
  <c r="BR40" i="11"/>
  <c r="BP41" i="11"/>
  <c r="BQ41" i="11"/>
  <c r="BR41" i="11"/>
  <c r="BS41" i="11"/>
  <c r="BO37" i="11"/>
  <c r="BO38" i="11"/>
  <c r="BO39" i="11"/>
  <c r="BO40" i="11"/>
  <c r="BO41" i="11"/>
  <c r="BL67" i="11"/>
  <c r="BK67" i="11"/>
  <c r="BL53" i="11"/>
  <c r="BK53" i="11"/>
  <c r="BL66" i="11"/>
  <c r="BK66" i="11"/>
  <c r="BL52" i="11"/>
  <c r="BK52" i="11"/>
  <c r="BL65" i="11"/>
  <c r="BK65" i="11"/>
  <c r="BJ65" i="11"/>
  <c r="BL51" i="11"/>
  <c r="BK51" i="11"/>
  <c r="BJ51" i="11"/>
  <c r="BL36" i="11"/>
  <c r="BM36" i="11"/>
  <c r="BL37" i="11"/>
  <c r="BM37" i="11"/>
  <c r="BL38" i="11"/>
  <c r="BM38" i="11"/>
  <c r="BL39" i="11"/>
  <c r="BM39" i="11"/>
  <c r="BL40" i="11"/>
  <c r="BM40" i="11"/>
  <c r="BL41" i="11"/>
  <c r="BM41" i="11"/>
  <c r="BK36" i="11"/>
  <c r="BK37" i="11"/>
  <c r="BK38" i="11"/>
  <c r="BK39" i="11"/>
  <c r="BK40" i="11"/>
  <c r="BK41" i="11"/>
  <c r="BJ36" i="11"/>
  <c r="BJ37" i="11"/>
  <c r="BJ38" i="11"/>
  <c r="BJ39" i="11"/>
  <c r="BJ40" i="11"/>
  <c r="BJ41" i="11"/>
  <c r="BI37" i="11"/>
  <c r="BI38" i="11"/>
  <c r="BI39" i="11"/>
  <c r="BI40" i="11"/>
  <c r="BI41" i="11"/>
  <c r="BI36" i="11"/>
  <c r="BL64" i="11"/>
  <c r="BK64" i="11"/>
  <c r="BJ64" i="11"/>
  <c r="BL50" i="11"/>
  <c r="BK50" i="11"/>
  <c r="BJ50" i="11"/>
  <c r="BB39" i="11"/>
  <c r="BZ39" i="11" s="1"/>
  <c r="BC38" i="11"/>
  <c r="CA38" i="11" s="1"/>
  <c r="AU40" i="11"/>
  <c r="BS40" i="11" s="1"/>
  <c r="AT39" i="11"/>
  <c r="BR39" i="11" s="1"/>
  <c r="AS38" i="11"/>
  <c r="BQ38" i="11" s="1"/>
  <c r="AR37" i="11"/>
  <c r="BP37" i="11" s="1"/>
  <c r="AQ36" i="11"/>
  <c r="BO36" i="11" s="1"/>
  <c r="BK69" i="11"/>
  <c r="AN55" i="11"/>
  <c r="BK55" i="11" s="1"/>
  <c r="BK54" i="11"/>
  <c r="AM53" i="11"/>
  <c r="BJ53" i="11" s="1"/>
  <c r="AM52" i="11"/>
  <c r="BJ52" i="11" s="1"/>
  <c r="AL51" i="11"/>
  <c r="BI51" i="11" s="1"/>
  <c r="AL50" i="11"/>
  <c r="BI50" i="11" s="1"/>
  <c r="BC88" i="10"/>
  <c r="CD100" i="11"/>
  <c r="CD101" i="11"/>
  <c r="CD108" i="11"/>
  <c r="CD109" i="11"/>
  <c r="CD110" i="11"/>
  <c r="CD111" i="11"/>
  <c r="CD112" i="11"/>
  <c r="CD113" i="11"/>
  <c r="CC108" i="11"/>
  <c r="CE108" i="11"/>
  <c r="CC109" i="11"/>
  <c r="CE109" i="11"/>
  <c r="CC110" i="11"/>
  <c r="CE110" i="11"/>
  <c r="CC111" i="11"/>
  <c r="CE111" i="11"/>
  <c r="CC112" i="11"/>
  <c r="CE112" i="11"/>
  <c r="CC113" i="11"/>
  <c r="CE113" i="11"/>
  <c r="CC114" i="11"/>
  <c r="CD114" i="11"/>
  <c r="CE114" i="11"/>
  <c r="CC115" i="11"/>
  <c r="CD115" i="11"/>
  <c r="CE115" i="11"/>
  <c r="CC122" i="11"/>
  <c r="CD122" i="11"/>
  <c r="CE122" i="11"/>
  <c r="CC123" i="11"/>
  <c r="CD123" i="11"/>
  <c r="CE123" i="11"/>
  <c r="CC124" i="11"/>
  <c r="CD124" i="11"/>
  <c r="CE124" i="11"/>
  <c r="CC125" i="11"/>
  <c r="CD125" i="11"/>
  <c r="CE125" i="11"/>
  <c r="CC126" i="11"/>
  <c r="CD126" i="11"/>
  <c r="CE126" i="11"/>
  <c r="CC127" i="11"/>
  <c r="CD127" i="11"/>
  <c r="CE127" i="11"/>
  <c r="CC128" i="11"/>
  <c r="CD128" i="11"/>
  <c r="CE128" i="11"/>
  <c r="CC129" i="11"/>
  <c r="CD129" i="11"/>
  <c r="CE129" i="11"/>
  <c r="BY108" i="11"/>
  <c r="BZ108" i="11"/>
  <c r="CA108" i="11"/>
  <c r="CB108" i="11"/>
  <c r="BX109" i="11"/>
  <c r="BY109" i="11"/>
  <c r="BZ109" i="11"/>
  <c r="CA109" i="11"/>
  <c r="BX110" i="11"/>
  <c r="BY110" i="11"/>
  <c r="BZ110" i="11"/>
  <c r="CB110" i="11"/>
  <c r="BX111" i="11"/>
  <c r="BY111" i="11"/>
  <c r="CA111" i="11"/>
  <c r="CB111" i="11"/>
  <c r="BX112" i="11"/>
  <c r="BY112" i="11"/>
  <c r="CA112" i="11"/>
  <c r="CB112" i="11"/>
  <c r="BX113" i="11"/>
  <c r="BY113" i="11"/>
  <c r="BZ113" i="11"/>
  <c r="CA113" i="11"/>
  <c r="CB113" i="11"/>
  <c r="BX114" i="11"/>
  <c r="BY114" i="11"/>
  <c r="CA114" i="11"/>
  <c r="CB114" i="11"/>
  <c r="BX115" i="11"/>
  <c r="BY115" i="11"/>
  <c r="BZ115" i="11"/>
  <c r="CA115" i="11"/>
  <c r="CB115" i="11"/>
  <c r="BY122" i="11"/>
  <c r="BZ122" i="11"/>
  <c r="CA122" i="11"/>
  <c r="CB122" i="11"/>
  <c r="BX123" i="11"/>
  <c r="BY123" i="11"/>
  <c r="BZ123" i="11"/>
  <c r="CA123" i="11"/>
  <c r="BX124" i="11"/>
  <c r="BY124" i="11"/>
  <c r="BZ124" i="11"/>
  <c r="CB124" i="11"/>
  <c r="BX125" i="11"/>
  <c r="BY125" i="11"/>
  <c r="CA125" i="11"/>
  <c r="CB125" i="11"/>
  <c r="BX126" i="11"/>
  <c r="BY126" i="11"/>
  <c r="CA126" i="11"/>
  <c r="CB126" i="11"/>
  <c r="BX127" i="11"/>
  <c r="BY127" i="11"/>
  <c r="BZ127" i="11"/>
  <c r="CA127" i="11"/>
  <c r="CB127" i="11"/>
  <c r="BX128" i="11"/>
  <c r="BY128" i="11"/>
  <c r="CA128" i="11"/>
  <c r="CB128" i="11"/>
  <c r="BX129" i="11"/>
  <c r="BY129" i="11"/>
  <c r="BZ129" i="11"/>
  <c r="CA129" i="11"/>
  <c r="CB129" i="11"/>
  <c r="BV108" i="11"/>
  <c r="BV109" i="11"/>
  <c r="BV110" i="11"/>
  <c r="BV111" i="11"/>
  <c r="BV112" i="11"/>
  <c r="BV113" i="11"/>
  <c r="BV114" i="11"/>
  <c r="BV122" i="11"/>
  <c r="BV123" i="11"/>
  <c r="BV124" i="11"/>
  <c r="BV125" i="11"/>
  <c r="BV126" i="11"/>
  <c r="BV127" i="11"/>
  <c r="BV128" i="11"/>
  <c r="BP108" i="11"/>
  <c r="BQ108" i="11"/>
  <c r="BR108" i="11"/>
  <c r="BS108" i="11"/>
  <c r="BT108" i="11"/>
  <c r="BU108" i="11"/>
  <c r="BO109" i="11"/>
  <c r="BQ109" i="11"/>
  <c r="BR109" i="11"/>
  <c r="BS109" i="11"/>
  <c r="BT109" i="11"/>
  <c r="BU109" i="11"/>
  <c r="BO110" i="11"/>
  <c r="BP110" i="11"/>
  <c r="BR110" i="11"/>
  <c r="BS110" i="11"/>
  <c r="BT110" i="11"/>
  <c r="BU110" i="11"/>
  <c r="BO111" i="11"/>
  <c r="BP111" i="11"/>
  <c r="BQ111" i="11"/>
  <c r="BS111" i="11"/>
  <c r="BT111" i="11"/>
  <c r="BU111" i="11"/>
  <c r="BO112" i="11"/>
  <c r="BP112" i="11"/>
  <c r="BQ112" i="11"/>
  <c r="BR112" i="11"/>
  <c r="BT112" i="11"/>
  <c r="BU112" i="11"/>
  <c r="BO113" i="11"/>
  <c r="BP113" i="11"/>
  <c r="BQ113" i="11"/>
  <c r="BR113" i="11"/>
  <c r="BS113" i="11"/>
  <c r="BU113" i="11"/>
  <c r="BO114" i="11"/>
  <c r="BP114" i="11"/>
  <c r="BQ114" i="11"/>
  <c r="BR114" i="11"/>
  <c r="BS114" i="11"/>
  <c r="BT114" i="11"/>
  <c r="BO115" i="11"/>
  <c r="BP115" i="11"/>
  <c r="BQ115" i="11"/>
  <c r="BR115" i="11"/>
  <c r="BS115" i="11"/>
  <c r="BT115" i="11"/>
  <c r="BU115" i="11"/>
  <c r="BP122" i="11"/>
  <c r="BQ122" i="11"/>
  <c r="BR122" i="11"/>
  <c r="BS122" i="11"/>
  <c r="BT122" i="11"/>
  <c r="BU122" i="11"/>
  <c r="BO123" i="11"/>
  <c r="BQ123" i="11"/>
  <c r="BR123" i="11"/>
  <c r="BS123" i="11"/>
  <c r="BT123" i="11"/>
  <c r="BU123" i="11"/>
  <c r="BO124" i="11"/>
  <c r="BP124" i="11"/>
  <c r="BR124" i="11"/>
  <c r="BS124" i="11"/>
  <c r="BT124" i="11"/>
  <c r="BU124" i="11"/>
  <c r="BO125" i="11"/>
  <c r="BP125" i="11"/>
  <c r="BQ125" i="11"/>
  <c r="BS125" i="11"/>
  <c r="BT125" i="11"/>
  <c r="BU125" i="11"/>
  <c r="BO126" i="11"/>
  <c r="BP126" i="11"/>
  <c r="BQ126" i="11"/>
  <c r="BR126" i="11"/>
  <c r="BT126" i="11"/>
  <c r="BU126" i="11"/>
  <c r="BO127" i="11"/>
  <c r="BP127" i="11"/>
  <c r="BQ127" i="11"/>
  <c r="BR127" i="11"/>
  <c r="BS127" i="11"/>
  <c r="BU127" i="11"/>
  <c r="BO128" i="11"/>
  <c r="BP128" i="11"/>
  <c r="BQ128" i="11"/>
  <c r="BR128" i="11"/>
  <c r="BS128" i="11"/>
  <c r="BT128" i="11"/>
  <c r="BO129" i="11"/>
  <c r="BP129" i="11"/>
  <c r="BQ129" i="11"/>
  <c r="BR129" i="11"/>
  <c r="BS129" i="11"/>
  <c r="BT129" i="11"/>
  <c r="BU129" i="11"/>
  <c r="BW128" i="11"/>
  <c r="BW109" i="11"/>
  <c r="BW110" i="11"/>
  <c r="BW111" i="11"/>
  <c r="BW112" i="11"/>
  <c r="BW114" i="11"/>
  <c r="BW122" i="11"/>
  <c r="BW123" i="11"/>
  <c r="BW124" i="11"/>
  <c r="BW125" i="11"/>
  <c r="BW126" i="11"/>
  <c r="BW108" i="11"/>
  <c r="BS202" i="10"/>
  <c r="BR202" i="10"/>
  <c r="BQ202" i="10"/>
  <c r="BP202" i="10"/>
  <c r="BO202" i="10"/>
  <c r="BS201" i="10"/>
  <c r="BR201" i="10"/>
  <c r="BQ201" i="10"/>
  <c r="BP201" i="10"/>
  <c r="BO201" i="10"/>
  <c r="BS200" i="10"/>
  <c r="BR200" i="10"/>
  <c r="BQ200" i="10"/>
  <c r="BP200" i="10"/>
  <c r="BO200" i="10"/>
  <c r="BS199" i="10"/>
  <c r="BR199" i="10"/>
  <c r="BQ199" i="10"/>
  <c r="BP199" i="10"/>
  <c r="BO199" i="10"/>
  <c r="BS198" i="10"/>
  <c r="BR198" i="10"/>
  <c r="BQ198" i="10"/>
  <c r="BP198" i="10"/>
  <c r="BO198" i="10"/>
  <c r="BS197" i="10"/>
  <c r="BR197" i="10"/>
  <c r="BQ197" i="10"/>
  <c r="BP197" i="10"/>
  <c r="BS196" i="10"/>
  <c r="BR196" i="10"/>
  <c r="BQ196" i="10"/>
  <c r="BO196" i="10"/>
  <c r="BS195" i="10"/>
  <c r="BR195" i="10"/>
  <c r="BQ195" i="10"/>
  <c r="BP195" i="10"/>
  <c r="BO195" i="10"/>
  <c r="BS194" i="10"/>
  <c r="BR194" i="10"/>
  <c r="BQ194" i="10"/>
  <c r="BP194" i="10"/>
  <c r="BO194" i="10"/>
  <c r="BS193" i="10"/>
  <c r="BR193" i="10"/>
  <c r="BQ193" i="10"/>
  <c r="BP193" i="10"/>
  <c r="BO193" i="10"/>
  <c r="BS192" i="10"/>
  <c r="BR192" i="10"/>
  <c r="BQ192" i="10"/>
  <c r="BP192" i="10"/>
  <c r="BO192" i="10"/>
  <c r="BS191" i="10"/>
  <c r="BR191" i="10"/>
  <c r="BQ191" i="10"/>
  <c r="BP191" i="10"/>
  <c r="BO191" i="10"/>
  <c r="BS190" i="10"/>
  <c r="BR190" i="10"/>
  <c r="BQ190" i="10"/>
  <c r="BP190" i="10"/>
  <c r="BO190" i="10"/>
  <c r="BS189" i="10"/>
  <c r="BR189" i="10"/>
  <c r="BQ189" i="10"/>
  <c r="BP189" i="10"/>
  <c r="BS188" i="10"/>
  <c r="BR188" i="10"/>
  <c r="BQ188" i="10"/>
  <c r="BO188" i="10"/>
  <c r="BS187" i="10"/>
  <c r="BR187" i="10"/>
  <c r="BQ187" i="10"/>
  <c r="BP187" i="10"/>
  <c r="BO187" i="10"/>
  <c r="BN202" i="10"/>
  <c r="BM202" i="10"/>
  <c r="BL202" i="10"/>
  <c r="BK202" i="10"/>
  <c r="BM201" i="10"/>
  <c r="BL201" i="10"/>
  <c r="BK201" i="10"/>
  <c r="BJ201" i="10"/>
  <c r="BN200" i="10"/>
  <c r="BM200" i="10"/>
  <c r="BL200" i="10"/>
  <c r="BJ200" i="10"/>
  <c r="BM199" i="10"/>
  <c r="BL199" i="10"/>
  <c r="BK199" i="10"/>
  <c r="BJ199" i="10"/>
  <c r="BM198" i="10"/>
  <c r="BL198" i="10"/>
  <c r="BK198" i="10"/>
  <c r="BJ198" i="10"/>
  <c r="BN197" i="10"/>
  <c r="BM197" i="10"/>
  <c r="BL197" i="10"/>
  <c r="BK197" i="10"/>
  <c r="BJ197" i="10"/>
  <c r="BN196" i="10"/>
  <c r="BM196" i="10"/>
  <c r="BL196" i="10"/>
  <c r="BK196" i="10"/>
  <c r="BJ196" i="10"/>
  <c r="BN195" i="10"/>
  <c r="BM195" i="10"/>
  <c r="BK195" i="10"/>
  <c r="BJ195" i="10"/>
  <c r="BN194" i="10"/>
  <c r="BM194" i="10"/>
  <c r="BL194" i="10"/>
  <c r="BK194" i="10"/>
  <c r="BM193" i="10"/>
  <c r="BL193" i="10"/>
  <c r="BK193" i="10"/>
  <c r="BJ193" i="10"/>
  <c r="BN192" i="10"/>
  <c r="BM192" i="10"/>
  <c r="BL192" i="10"/>
  <c r="BJ192" i="10"/>
  <c r="BM191" i="10"/>
  <c r="BL191" i="10"/>
  <c r="BK191" i="10"/>
  <c r="BJ191" i="10"/>
  <c r="BM190" i="10"/>
  <c r="BL190" i="10"/>
  <c r="BK190" i="10"/>
  <c r="BJ190" i="10"/>
  <c r="BN189" i="10"/>
  <c r="BM189" i="10"/>
  <c r="BL189" i="10"/>
  <c r="BK189" i="10"/>
  <c r="BJ189" i="10"/>
  <c r="BN188" i="10"/>
  <c r="BM188" i="10"/>
  <c r="BL188" i="10"/>
  <c r="BK188" i="10"/>
  <c r="BJ188" i="10"/>
  <c r="BN187" i="10"/>
  <c r="BM187" i="10"/>
  <c r="BK187" i="10"/>
  <c r="BJ187" i="10"/>
  <c r="BI202" i="10"/>
  <c r="BH202" i="10"/>
  <c r="BG202" i="10"/>
  <c r="BF202" i="10"/>
  <c r="BE202" i="10"/>
  <c r="BD202" i="10"/>
  <c r="BC202" i="10"/>
  <c r="BH201" i="10"/>
  <c r="BG201" i="10"/>
  <c r="BF201" i="10"/>
  <c r="BE201" i="10"/>
  <c r="BD201" i="10"/>
  <c r="BC201" i="10"/>
  <c r="BI200" i="10"/>
  <c r="BG200" i="10"/>
  <c r="BF200" i="10"/>
  <c r="BE200" i="10"/>
  <c r="BD200" i="10"/>
  <c r="BC200" i="10"/>
  <c r="BI199" i="10"/>
  <c r="BH199" i="10"/>
  <c r="BF199" i="10"/>
  <c r="BE199" i="10"/>
  <c r="BD199" i="10"/>
  <c r="BC199" i="10"/>
  <c r="BI198" i="10"/>
  <c r="BH198" i="10"/>
  <c r="BG198" i="10"/>
  <c r="BE198" i="10"/>
  <c r="BD198" i="10"/>
  <c r="BC198" i="10"/>
  <c r="BI197" i="10"/>
  <c r="BH197" i="10"/>
  <c r="BG197" i="10"/>
  <c r="BF197" i="10"/>
  <c r="BD197" i="10"/>
  <c r="BC197" i="10"/>
  <c r="BI196" i="10"/>
  <c r="BH196" i="10"/>
  <c r="BG196" i="10"/>
  <c r="BF196" i="10"/>
  <c r="BE196" i="10"/>
  <c r="BC196" i="10"/>
  <c r="BI195" i="10"/>
  <c r="BH195" i="10"/>
  <c r="BG195" i="10"/>
  <c r="BF195" i="10"/>
  <c r="BE195" i="10"/>
  <c r="BD195" i="10"/>
  <c r="BI194" i="10"/>
  <c r="BH194" i="10"/>
  <c r="BG194" i="10"/>
  <c r="BF194" i="10"/>
  <c r="BE194" i="10"/>
  <c r="BD194" i="10"/>
  <c r="BC194" i="10"/>
  <c r="BH193" i="10"/>
  <c r="BG193" i="10"/>
  <c r="BF193" i="10"/>
  <c r="BE193" i="10"/>
  <c r="BD193" i="10"/>
  <c r="BC193" i="10"/>
  <c r="BI192" i="10"/>
  <c r="BG192" i="10"/>
  <c r="BF192" i="10"/>
  <c r="BE192" i="10"/>
  <c r="BD192" i="10"/>
  <c r="BC192" i="10"/>
  <c r="BI191" i="10"/>
  <c r="BH191" i="10"/>
  <c r="BF191" i="10"/>
  <c r="BE191" i="10"/>
  <c r="BD191" i="10"/>
  <c r="BC191" i="10"/>
  <c r="BI190" i="10"/>
  <c r="BH190" i="10"/>
  <c r="BG190" i="10"/>
  <c r="BE190" i="10"/>
  <c r="BD190" i="10"/>
  <c r="BC190" i="10"/>
  <c r="BI189" i="10"/>
  <c r="BH189" i="10"/>
  <c r="BG189" i="10"/>
  <c r="BF189" i="10"/>
  <c r="BD189" i="10"/>
  <c r="BC189" i="10"/>
  <c r="BI188" i="10"/>
  <c r="BH188" i="10"/>
  <c r="BG188" i="10"/>
  <c r="BF188" i="10"/>
  <c r="BE188" i="10"/>
  <c r="BC188" i="10"/>
  <c r="BI187" i="10"/>
  <c r="BH187" i="10"/>
  <c r="BG187" i="10"/>
  <c r="BF187" i="10"/>
  <c r="BE187" i="10"/>
  <c r="BD187" i="10"/>
  <c r="BA202" i="10"/>
  <c r="AZ202" i="10"/>
  <c r="AY202" i="10"/>
  <c r="BA201" i="10"/>
  <c r="AZ201" i="10"/>
  <c r="AY201" i="10"/>
  <c r="BA200" i="10"/>
  <c r="AZ200" i="10"/>
  <c r="AY200" i="10"/>
  <c r="BA199" i="10"/>
  <c r="AZ199" i="10"/>
  <c r="AY199" i="10"/>
  <c r="BA198" i="10"/>
  <c r="AZ198" i="10"/>
  <c r="AY198" i="10"/>
  <c r="BA197" i="10"/>
  <c r="AZ197" i="10"/>
  <c r="AY197" i="10"/>
  <c r="BA196" i="10"/>
  <c r="AZ196" i="10"/>
  <c r="AY196" i="10"/>
  <c r="BA195" i="10"/>
  <c r="AZ195" i="10"/>
  <c r="AY195" i="10"/>
  <c r="BA194" i="10"/>
  <c r="AZ194" i="10"/>
  <c r="AY194" i="10"/>
  <c r="BA193" i="10"/>
  <c r="AZ193" i="10"/>
  <c r="AY193" i="10"/>
  <c r="BA192" i="10"/>
  <c r="AZ192" i="10"/>
  <c r="AY192" i="10"/>
  <c r="BA191" i="10"/>
  <c r="AZ191" i="10"/>
  <c r="AY191" i="10"/>
  <c r="BA190" i="10"/>
  <c r="AZ190" i="10"/>
  <c r="AY190" i="10"/>
  <c r="BA189" i="10"/>
  <c r="AZ189" i="10"/>
  <c r="AY189" i="10"/>
  <c r="BA188" i="10"/>
  <c r="AZ188" i="10"/>
  <c r="AY188" i="10"/>
  <c r="BA187" i="10"/>
  <c r="AZ187" i="10"/>
  <c r="AY187" i="10"/>
  <c r="AT196" i="10"/>
  <c r="BP196" i="10" s="1"/>
  <c r="AT188" i="10"/>
  <c r="BP188" i="10" s="1"/>
  <c r="AS197" i="10"/>
  <c r="BO197" i="10" s="1"/>
  <c r="AS189" i="10"/>
  <c r="BO189" i="10" s="1"/>
  <c r="AR201" i="10"/>
  <c r="BN201" i="10" s="1"/>
  <c r="AR199" i="10"/>
  <c r="BN199" i="10" s="1"/>
  <c r="AR198" i="10"/>
  <c r="BN198" i="10" s="1"/>
  <c r="AR193" i="10"/>
  <c r="BN193" i="10" s="1"/>
  <c r="AR191" i="10"/>
  <c r="BN191" i="10" s="1"/>
  <c r="AR190" i="10"/>
  <c r="BN190" i="10" s="1"/>
  <c r="AP195" i="10"/>
  <c r="BL195" i="10" s="1"/>
  <c r="AP187" i="10"/>
  <c r="BL187" i="10" s="1"/>
  <c r="AO200" i="10"/>
  <c r="BK200" i="10" s="1"/>
  <c r="AO192" i="10"/>
  <c r="BK192" i="10" s="1"/>
  <c r="AN202" i="10"/>
  <c r="BJ202" i="10" s="1"/>
  <c r="AM201" i="10"/>
  <c r="BI201" i="10" s="1"/>
  <c r="AL200" i="10"/>
  <c r="BH200" i="10" s="1"/>
  <c r="AK199" i="10"/>
  <c r="BG199" i="10" s="1"/>
  <c r="AJ198" i="10"/>
  <c r="BF198" i="10" s="1"/>
  <c r="AI197" i="10"/>
  <c r="BE197" i="10" s="1"/>
  <c r="AH196" i="10"/>
  <c r="BD196" i="10" s="1"/>
  <c r="AG195" i="10"/>
  <c r="BC195" i="10" s="1"/>
  <c r="AN194" i="10"/>
  <c r="BJ194" i="10" s="1"/>
  <c r="AM193" i="10"/>
  <c r="BI193" i="10" s="1"/>
  <c r="AL192" i="10"/>
  <c r="BH192" i="10" s="1"/>
  <c r="AK191" i="10"/>
  <c r="BG191" i="10" s="1"/>
  <c r="AJ190" i="10"/>
  <c r="BF190" i="10" s="1"/>
  <c r="AI189" i="10"/>
  <c r="BE189" i="10" s="1"/>
  <c r="AH188" i="10"/>
  <c r="BD188" i="10" s="1"/>
  <c r="AG187" i="10"/>
  <c r="BC187" i="10" s="1"/>
  <c r="BQ180" i="10"/>
  <c r="BR180" i="10"/>
  <c r="BS180" i="10"/>
  <c r="BP181" i="10"/>
  <c r="BQ181" i="10"/>
  <c r="BR181" i="10"/>
  <c r="BS181" i="10"/>
  <c r="BP182" i="10"/>
  <c r="BQ182" i="10"/>
  <c r="BR182" i="10"/>
  <c r="BS182" i="10"/>
  <c r="BP183" i="10"/>
  <c r="BQ183" i="10"/>
  <c r="BR183" i="10"/>
  <c r="BS183" i="10"/>
  <c r="BP184" i="10"/>
  <c r="BQ184" i="10"/>
  <c r="BR184" i="10"/>
  <c r="BS184" i="10"/>
  <c r="BP185" i="10"/>
  <c r="BQ185" i="10"/>
  <c r="BR185" i="10"/>
  <c r="BS185" i="10"/>
  <c r="BP186" i="10"/>
  <c r="BQ186" i="10"/>
  <c r="BR186" i="10"/>
  <c r="BS186" i="10"/>
  <c r="BM180" i="10"/>
  <c r="BN180" i="10"/>
  <c r="BO180" i="10"/>
  <c r="BM181" i="10"/>
  <c r="BN181" i="10"/>
  <c r="BM182" i="10"/>
  <c r="BO182" i="10"/>
  <c r="BM183" i="10"/>
  <c r="BO183" i="10"/>
  <c r="BM184" i="10"/>
  <c r="BN184" i="10"/>
  <c r="BO184" i="10"/>
  <c r="BM185" i="10"/>
  <c r="BO185" i="10"/>
  <c r="BM186" i="10"/>
  <c r="BN186" i="10"/>
  <c r="BO186" i="10"/>
  <c r="BK180" i="10"/>
  <c r="BL180" i="10"/>
  <c r="BK181" i="10"/>
  <c r="BL181" i="10"/>
  <c r="BK182" i="10"/>
  <c r="BL182" i="10"/>
  <c r="BK183" i="10"/>
  <c r="BL183" i="10"/>
  <c r="BL184" i="10"/>
  <c r="BK185" i="10"/>
  <c r="BL185" i="10"/>
  <c r="BL186" i="10"/>
  <c r="BS179" i="10"/>
  <c r="BM179" i="10"/>
  <c r="BN179" i="10"/>
  <c r="BO179" i="10"/>
  <c r="BP179" i="10"/>
  <c r="BQ179" i="10"/>
  <c r="BR179" i="10"/>
  <c r="BK179" i="10"/>
  <c r="BG180" i="10"/>
  <c r="BH180" i="10"/>
  <c r="BI180" i="10"/>
  <c r="BJ180" i="10"/>
  <c r="BG181" i="10"/>
  <c r="BH181" i="10"/>
  <c r="BI181" i="10"/>
  <c r="BJ181" i="10"/>
  <c r="BG182" i="10"/>
  <c r="BH182" i="10"/>
  <c r="BI182" i="10"/>
  <c r="BJ182" i="10"/>
  <c r="BH183" i="10"/>
  <c r="BI183" i="10"/>
  <c r="BJ183" i="10"/>
  <c r="BG184" i="10"/>
  <c r="BI184" i="10"/>
  <c r="BJ184" i="10"/>
  <c r="BG185" i="10"/>
  <c r="BH185" i="10"/>
  <c r="BJ185" i="10"/>
  <c r="BG186" i="10"/>
  <c r="BH186" i="10"/>
  <c r="BI186" i="10"/>
  <c r="BC180" i="10"/>
  <c r="BE180" i="10"/>
  <c r="BF180" i="10"/>
  <c r="BC181" i="10"/>
  <c r="BD181" i="10"/>
  <c r="BF181" i="10"/>
  <c r="BC182" i="10"/>
  <c r="BD182" i="10"/>
  <c r="BE182" i="10"/>
  <c r="BC183" i="10"/>
  <c r="BD183" i="10"/>
  <c r="BE183" i="10"/>
  <c r="BF183" i="10"/>
  <c r="BC184" i="10"/>
  <c r="BD184" i="10"/>
  <c r="BE184" i="10"/>
  <c r="BF184" i="10"/>
  <c r="BC185" i="10"/>
  <c r="BD185" i="10"/>
  <c r="BE185" i="10"/>
  <c r="BF185" i="10"/>
  <c r="BC186" i="10"/>
  <c r="BD186" i="10"/>
  <c r="BE186" i="10"/>
  <c r="BF186" i="10"/>
  <c r="BA180" i="10"/>
  <c r="BA181" i="10"/>
  <c r="BA182" i="10"/>
  <c r="BA183" i="10"/>
  <c r="BA184" i="10"/>
  <c r="BA185" i="10"/>
  <c r="BA186" i="10"/>
  <c r="AZ180" i="10"/>
  <c r="AZ181" i="10"/>
  <c r="AZ182" i="10"/>
  <c r="AZ183" i="10"/>
  <c r="AZ184" i="10"/>
  <c r="AZ185" i="10"/>
  <c r="AZ186" i="10"/>
  <c r="AY180" i="10"/>
  <c r="AY181" i="10"/>
  <c r="AY182" i="10"/>
  <c r="AY183" i="10"/>
  <c r="AY184" i="10"/>
  <c r="AY185" i="10"/>
  <c r="AY186" i="10"/>
  <c r="BD179" i="10"/>
  <c r="BE179" i="10"/>
  <c r="BF179" i="10"/>
  <c r="BG179" i="10"/>
  <c r="BH179" i="10"/>
  <c r="BI179" i="10"/>
  <c r="BJ179" i="10"/>
  <c r="AO186" i="10"/>
  <c r="BK186" i="10" s="1"/>
  <c r="AR185" i="10"/>
  <c r="BN185" i="10" s="1"/>
  <c r="AO184" i="10"/>
  <c r="BK184" i="10" s="1"/>
  <c r="AR183" i="10"/>
  <c r="BN183" i="10" s="1"/>
  <c r="AR182" i="10"/>
  <c r="BN182" i="10" s="1"/>
  <c r="AS181" i="10"/>
  <c r="BO181" i="10" s="1"/>
  <c r="AT180" i="10"/>
  <c r="BP180" i="10" s="1"/>
  <c r="AP179" i="10"/>
  <c r="AN186" i="10"/>
  <c r="BJ186" i="10" s="1"/>
  <c r="AM185" i="10"/>
  <c r="BI185" i="10" s="1"/>
  <c r="AL184" i="10"/>
  <c r="BH184" i="10" s="1"/>
  <c r="AK183" i="10"/>
  <c r="BG183" i="10" s="1"/>
  <c r="AJ182" i="10"/>
  <c r="BF182" i="10" s="1"/>
  <c r="AI181" i="10"/>
  <c r="BE181" i="10" s="1"/>
  <c r="AH180" i="10"/>
  <c r="BD180" i="10" s="1"/>
  <c r="AG179" i="10"/>
  <c r="AG127" i="10"/>
  <c r="BC127" i="10" s="1"/>
  <c r="BS150" i="10"/>
  <c r="BR150" i="10"/>
  <c r="BQ150" i="10"/>
  <c r="BP150" i="10"/>
  <c r="BS149" i="10"/>
  <c r="BR149" i="10"/>
  <c r="BQ149" i="10"/>
  <c r="BP149" i="10"/>
  <c r="BS148" i="10"/>
  <c r="BR148" i="10"/>
  <c r="BQ148" i="10"/>
  <c r="BP148" i="10"/>
  <c r="BS147" i="10"/>
  <c r="BR147" i="10"/>
  <c r="BQ147" i="10"/>
  <c r="BP147" i="10"/>
  <c r="BS146" i="10"/>
  <c r="BR146" i="10"/>
  <c r="BQ146" i="10"/>
  <c r="BP146" i="10"/>
  <c r="BS145" i="10"/>
  <c r="BR145" i="10"/>
  <c r="BQ145" i="10"/>
  <c r="BP145" i="10"/>
  <c r="BS144" i="10"/>
  <c r="BR144" i="10"/>
  <c r="BQ144" i="10"/>
  <c r="BS143" i="10"/>
  <c r="BR143" i="10"/>
  <c r="BQ143" i="10"/>
  <c r="BP143" i="10"/>
  <c r="BS142" i="10"/>
  <c r="BR142" i="10"/>
  <c r="BQ142" i="10"/>
  <c r="BP142" i="10"/>
  <c r="BS141" i="10"/>
  <c r="BR141" i="10"/>
  <c r="BQ141" i="10"/>
  <c r="BP141" i="10"/>
  <c r="BS140" i="10"/>
  <c r="BR140" i="10"/>
  <c r="BQ140" i="10"/>
  <c r="BP140" i="10"/>
  <c r="BS139" i="10"/>
  <c r="BR139" i="10"/>
  <c r="BQ139" i="10"/>
  <c r="BP139" i="10"/>
  <c r="BS138" i="10"/>
  <c r="BR138" i="10"/>
  <c r="BQ138" i="10"/>
  <c r="BP138" i="10"/>
  <c r="BS137" i="10"/>
  <c r="BR137" i="10"/>
  <c r="BQ137" i="10"/>
  <c r="BP137" i="10"/>
  <c r="BS136" i="10"/>
  <c r="BR136" i="10"/>
  <c r="BQ136" i="10"/>
  <c r="BS135" i="10"/>
  <c r="BR135" i="10"/>
  <c r="BQ135" i="10"/>
  <c r="BP135" i="10"/>
  <c r="BO150" i="10"/>
  <c r="BN150" i="10"/>
  <c r="BM150" i="10"/>
  <c r="BL150" i="10"/>
  <c r="BO149" i="10"/>
  <c r="BM149" i="10"/>
  <c r="BL149" i="10"/>
  <c r="BK149" i="10"/>
  <c r="BO148" i="10"/>
  <c r="BN148" i="10"/>
  <c r="BM148" i="10"/>
  <c r="BL148" i="10"/>
  <c r="BO147" i="10"/>
  <c r="BM147" i="10"/>
  <c r="BL147" i="10"/>
  <c r="BK147" i="10"/>
  <c r="BO146" i="10"/>
  <c r="BM146" i="10"/>
  <c r="BL146" i="10"/>
  <c r="BK146" i="10"/>
  <c r="BN145" i="10"/>
  <c r="BM145" i="10"/>
  <c r="BL145" i="10"/>
  <c r="BK145" i="10"/>
  <c r="BO144" i="10"/>
  <c r="BN144" i="10"/>
  <c r="BM144" i="10"/>
  <c r="BL144" i="10"/>
  <c r="BK144" i="10"/>
  <c r="BO143" i="10"/>
  <c r="BN143" i="10"/>
  <c r="BM143" i="10"/>
  <c r="BK143" i="10"/>
  <c r="BO142" i="10"/>
  <c r="BN142" i="10"/>
  <c r="BM142" i="10"/>
  <c r="BL142" i="10"/>
  <c r="BO141" i="10"/>
  <c r="BM141" i="10"/>
  <c r="BL141" i="10"/>
  <c r="BK141" i="10"/>
  <c r="BO140" i="10"/>
  <c r="BN140" i="10"/>
  <c r="BM140" i="10"/>
  <c r="BL140" i="10"/>
  <c r="BO139" i="10"/>
  <c r="BM139" i="10"/>
  <c r="BL139" i="10"/>
  <c r="BK139" i="10"/>
  <c r="BO138" i="10"/>
  <c r="BM138" i="10"/>
  <c r="BL138" i="10"/>
  <c r="BK138" i="10"/>
  <c r="BN137" i="10"/>
  <c r="BM137" i="10"/>
  <c r="BL137" i="10"/>
  <c r="BK137" i="10"/>
  <c r="BO136" i="10"/>
  <c r="BN136" i="10"/>
  <c r="BM136" i="10"/>
  <c r="BL136" i="10"/>
  <c r="BK136" i="10"/>
  <c r="BO135" i="10"/>
  <c r="BN135" i="10"/>
  <c r="BM135" i="10"/>
  <c r="BK135" i="10"/>
  <c r="BI150" i="10"/>
  <c r="BH150" i="10"/>
  <c r="BG150" i="10"/>
  <c r="BJ149" i="10"/>
  <c r="BH149" i="10"/>
  <c r="BG149" i="10"/>
  <c r="BJ148" i="10"/>
  <c r="BI148" i="10"/>
  <c r="BG148" i="10"/>
  <c r="BJ147" i="10"/>
  <c r="BI147" i="10"/>
  <c r="BH147" i="10"/>
  <c r="BJ146" i="10"/>
  <c r="BI146" i="10"/>
  <c r="BH146" i="10"/>
  <c r="BG146" i="10"/>
  <c r="BJ145" i="10"/>
  <c r="BI145" i="10"/>
  <c r="BH145" i="10"/>
  <c r="BG145" i="10"/>
  <c r="BJ144" i="10"/>
  <c r="BI144" i="10"/>
  <c r="BH144" i="10"/>
  <c r="BG144" i="10"/>
  <c r="BJ143" i="10"/>
  <c r="BI143" i="10"/>
  <c r="BH143" i="10"/>
  <c r="BG143" i="10"/>
  <c r="BI142" i="10"/>
  <c r="BH142" i="10"/>
  <c r="BG142" i="10"/>
  <c r="BJ141" i="10"/>
  <c r="BH141" i="10"/>
  <c r="BG141" i="10"/>
  <c r="BJ140" i="10"/>
  <c r="BI140" i="10"/>
  <c r="BG140" i="10"/>
  <c r="BJ139" i="10"/>
  <c r="BI139" i="10"/>
  <c r="BH139" i="10"/>
  <c r="BJ138" i="10"/>
  <c r="BI138" i="10"/>
  <c r="BH138" i="10"/>
  <c r="BG138" i="10"/>
  <c r="BJ137" i="10"/>
  <c r="BI137" i="10"/>
  <c r="BH137" i="10"/>
  <c r="BG137" i="10"/>
  <c r="BJ136" i="10"/>
  <c r="BI136" i="10"/>
  <c r="BH136" i="10"/>
  <c r="BG136" i="10"/>
  <c r="BJ135" i="10"/>
  <c r="BI135" i="10"/>
  <c r="BH135" i="10"/>
  <c r="BG135" i="10"/>
  <c r="BF150" i="10"/>
  <c r="BE150" i="10"/>
  <c r="BD150" i="10"/>
  <c r="BC150" i="10"/>
  <c r="BF149" i="10"/>
  <c r="BE149" i="10"/>
  <c r="BD149" i="10"/>
  <c r="BC149" i="10"/>
  <c r="BF148" i="10"/>
  <c r="BE148" i="10"/>
  <c r="BD148" i="10"/>
  <c r="BC148" i="10"/>
  <c r="BF147" i="10"/>
  <c r="BE147" i="10"/>
  <c r="BD147" i="10"/>
  <c r="BC147" i="10"/>
  <c r="BE146" i="10"/>
  <c r="BD146" i="10"/>
  <c r="BC146" i="10"/>
  <c r="BF145" i="10"/>
  <c r="BD145" i="10"/>
  <c r="BC145" i="10"/>
  <c r="BF144" i="10"/>
  <c r="BE144" i="10"/>
  <c r="BC144" i="10"/>
  <c r="BF143" i="10"/>
  <c r="BE143" i="10"/>
  <c r="BD143" i="10"/>
  <c r="BF142" i="10"/>
  <c r="BE142" i="10"/>
  <c r="BD142" i="10"/>
  <c r="BC142" i="10"/>
  <c r="BF141" i="10"/>
  <c r="BE141" i="10"/>
  <c r="BD141" i="10"/>
  <c r="BC141" i="10"/>
  <c r="BF140" i="10"/>
  <c r="BE140" i="10"/>
  <c r="BD140" i="10"/>
  <c r="BC140" i="10"/>
  <c r="BF139" i="10"/>
  <c r="BE139" i="10"/>
  <c r="BD139" i="10"/>
  <c r="BC139" i="10"/>
  <c r="BE138" i="10"/>
  <c r="BD138" i="10"/>
  <c r="BC138" i="10"/>
  <c r="BF137" i="10"/>
  <c r="BD137" i="10"/>
  <c r="BC137" i="10"/>
  <c r="BF136" i="10"/>
  <c r="BE136" i="10"/>
  <c r="BC136" i="10"/>
  <c r="BF135" i="10"/>
  <c r="BE135" i="10"/>
  <c r="BD135" i="10"/>
  <c r="BA150" i="10"/>
  <c r="AZ150" i="10"/>
  <c r="AY150" i="10"/>
  <c r="BA149" i="10"/>
  <c r="AZ149" i="10"/>
  <c r="AY149" i="10"/>
  <c r="BA148" i="10"/>
  <c r="AZ148" i="10"/>
  <c r="AY148" i="10"/>
  <c r="BA147" i="10"/>
  <c r="AZ147" i="10"/>
  <c r="AY147" i="10"/>
  <c r="BA146" i="10"/>
  <c r="AZ146" i="10"/>
  <c r="AY146" i="10"/>
  <c r="BA145" i="10"/>
  <c r="AZ145" i="10"/>
  <c r="AY145" i="10"/>
  <c r="BA144" i="10"/>
  <c r="AZ144" i="10"/>
  <c r="AY144" i="10"/>
  <c r="BA143" i="10"/>
  <c r="AZ143" i="10"/>
  <c r="AY143" i="10"/>
  <c r="BA142" i="10"/>
  <c r="AZ142" i="10"/>
  <c r="AY142" i="10"/>
  <c r="BA141" i="10"/>
  <c r="AZ141" i="10"/>
  <c r="AY141" i="10"/>
  <c r="BA140" i="10"/>
  <c r="AZ140" i="10"/>
  <c r="AY140" i="10"/>
  <c r="BA139" i="10"/>
  <c r="AZ139" i="10"/>
  <c r="AY139" i="10"/>
  <c r="BA138" i="10"/>
  <c r="AZ138" i="10"/>
  <c r="AY138" i="10"/>
  <c r="BA137" i="10"/>
  <c r="AZ137" i="10"/>
  <c r="AY137" i="10"/>
  <c r="BA136" i="10"/>
  <c r="AZ136" i="10"/>
  <c r="AY136" i="10"/>
  <c r="BA135" i="10"/>
  <c r="AZ135" i="10"/>
  <c r="AY135" i="10"/>
  <c r="AT144" i="10"/>
  <c r="BP144" i="10" s="1"/>
  <c r="AT136" i="10"/>
  <c r="BP136" i="10" s="1"/>
  <c r="AS145" i="10"/>
  <c r="BO145" i="10" s="1"/>
  <c r="AS137" i="10"/>
  <c r="BO137" i="10" s="1"/>
  <c r="AR149" i="10"/>
  <c r="BN149" i="10" s="1"/>
  <c r="AR147" i="10"/>
  <c r="BN147" i="10" s="1"/>
  <c r="AR146" i="10"/>
  <c r="BN146" i="10" s="1"/>
  <c r="AR141" i="10"/>
  <c r="BN141" i="10" s="1"/>
  <c r="AR139" i="10"/>
  <c r="BN139" i="10" s="1"/>
  <c r="AR138" i="10"/>
  <c r="BN138" i="10" s="1"/>
  <c r="AP143" i="10"/>
  <c r="BL143" i="10" s="1"/>
  <c r="AP135" i="10"/>
  <c r="BL135" i="10" s="1"/>
  <c r="AO150" i="10"/>
  <c r="BK150" i="10" s="1"/>
  <c r="AO148" i="10"/>
  <c r="BK148" i="10" s="1"/>
  <c r="AO142" i="10"/>
  <c r="BK142" i="10" s="1"/>
  <c r="AO140" i="10"/>
  <c r="BK140" i="10" s="1"/>
  <c r="AN150" i="10"/>
  <c r="BJ150" i="10" s="1"/>
  <c r="AM149" i="10"/>
  <c r="BI149" i="10" s="1"/>
  <c r="AL148" i="10"/>
  <c r="BH148" i="10" s="1"/>
  <c r="AK147" i="10"/>
  <c r="BG147" i="10" s="1"/>
  <c r="AJ146" i="10"/>
  <c r="BF146" i="10" s="1"/>
  <c r="AI145" i="10"/>
  <c r="BE145" i="10" s="1"/>
  <c r="AH144" i="10"/>
  <c r="BD144" i="10" s="1"/>
  <c r="AG143" i="10"/>
  <c r="BC143" i="10" s="1"/>
  <c r="AN142" i="10"/>
  <c r="BJ142" i="10" s="1"/>
  <c r="AM141" i="10"/>
  <c r="BI141" i="10" s="1"/>
  <c r="AL140" i="10"/>
  <c r="BH140" i="10" s="1"/>
  <c r="AK139" i="10"/>
  <c r="BG139" i="10" s="1"/>
  <c r="AJ138" i="10"/>
  <c r="BF138" i="10" s="1"/>
  <c r="AI137" i="10"/>
  <c r="BE137" i="10" s="1"/>
  <c r="AH136" i="10"/>
  <c r="BD136" i="10" s="1"/>
  <c r="AG135" i="10"/>
  <c r="BC135" i="10" s="1"/>
  <c r="BO100" i="10"/>
  <c r="BP100" i="10"/>
  <c r="BQ100" i="10"/>
  <c r="BR100" i="10"/>
  <c r="BS100" i="10"/>
  <c r="BO85" i="10"/>
  <c r="BP85" i="10"/>
  <c r="BQ85" i="10"/>
  <c r="BR85" i="10"/>
  <c r="BS85" i="10"/>
  <c r="BO86" i="10"/>
  <c r="BQ86" i="10"/>
  <c r="BR86" i="10"/>
  <c r="BS86" i="10"/>
  <c r="BP87" i="10"/>
  <c r="BQ87" i="10"/>
  <c r="BR87" i="10"/>
  <c r="BS87" i="10"/>
  <c r="BO88" i="10"/>
  <c r="BP88" i="10"/>
  <c r="BQ88" i="10"/>
  <c r="BR88" i="10"/>
  <c r="BS88" i="10"/>
  <c r="BO89" i="10"/>
  <c r="BP89" i="10"/>
  <c r="BQ89" i="10"/>
  <c r="BR89" i="10"/>
  <c r="BS89" i="10"/>
  <c r="BO90" i="10"/>
  <c r="BP90" i="10"/>
  <c r="BQ90" i="10"/>
  <c r="BR90" i="10"/>
  <c r="BS90" i="10"/>
  <c r="BO91" i="10"/>
  <c r="BP91" i="10"/>
  <c r="BQ91" i="10"/>
  <c r="BR91" i="10"/>
  <c r="BS91" i="10"/>
  <c r="BO92" i="10"/>
  <c r="BP92" i="10"/>
  <c r="BQ92" i="10"/>
  <c r="BR92" i="10"/>
  <c r="BS92" i="10"/>
  <c r="BO93" i="10"/>
  <c r="BP93" i="10"/>
  <c r="BQ93" i="10"/>
  <c r="BR93" i="10"/>
  <c r="BS93" i="10"/>
  <c r="BO94" i="10"/>
  <c r="BQ94" i="10"/>
  <c r="BR94" i="10"/>
  <c r="BS94" i="10"/>
  <c r="BP95" i="10"/>
  <c r="BQ95" i="10"/>
  <c r="BR95" i="10"/>
  <c r="BS95" i="10"/>
  <c r="BO96" i="10"/>
  <c r="BP96" i="10"/>
  <c r="BQ96" i="10"/>
  <c r="BR96" i="10"/>
  <c r="BS96" i="10"/>
  <c r="BO97" i="10"/>
  <c r="BP97" i="10"/>
  <c r="BQ97" i="10"/>
  <c r="BR97" i="10"/>
  <c r="BS97" i="10"/>
  <c r="BO98" i="10"/>
  <c r="BP98" i="10"/>
  <c r="BQ98" i="10"/>
  <c r="BR98" i="10"/>
  <c r="BS98" i="10"/>
  <c r="BO99" i="10"/>
  <c r="BP99" i="10"/>
  <c r="BQ99" i="10"/>
  <c r="BR99" i="10"/>
  <c r="BS99" i="10"/>
  <c r="BH85" i="10"/>
  <c r="BI85" i="10"/>
  <c r="BJ85" i="10"/>
  <c r="BK85" i="10"/>
  <c r="BM85" i="10"/>
  <c r="BN85" i="10"/>
  <c r="BH86" i="10"/>
  <c r="BI86" i="10"/>
  <c r="BJ86" i="10"/>
  <c r="BK86" i="10"/>
  <c r="BL86" i="10"/>
  <c r="BM86" i="10"/>
  <c r="BN86" i="10"/>
  <c r="BH87" i="10"/>
  <c r="BI87" i="10"/>
  <c r="BJ87" i="10"/>
  <c r="BK87" i="10"/>
  <c r="BL87" i="10"/>
  <c r="BM87" i="10"/>
  <c r="BN87" i="10"/>
  <c r="BH88" i="10"/>
  <c r="BI88" i="10"/>
  <c r="BJ88" i="10"/>
  <c r="BK88" i="10"/>
  <c r="BL88" i="10"/>
  <c r="BM88" i="10"/>
  <c r="BH89" i="10"/>
  <c r="BI89" i="10"/>
  <c r="BJ89" i="10"/>
  <c r="BK89" i="10"/>
  <c r="BL89" i="10"/>
  <c r="BM89" i="10"/>
  <c r="BI90" i="10"/>
  <c r="BJ90" i="10"/>
  <c r="BL90" i="10"/>
  <c r="BM90" i="10"/>
  <c r="BN90" i="10"/>
  <c r="BH91" i="10"/>
  <c r="BJ91" i="10"/>
  <c r="BK91" i="10"/>
  <c r="BL91" i="10"/>
  <c r="BM91" i="10"/>
  <c r="BH92" i="10"/>
  <c r="BI92" i="10"/>
  <c r="BL92" i="10"/>
  <c r="BM92" i="10"/>
  <c r="BN92" i="10"/>
  <c r="BH93" i="10"/>
  <c r="BI93" i="10"/>
  <c r="BJ93" i="10"/>
  <c r="BK93" i="10"/>
  <c r="BM93" i="10"/>
  <c r="BN93" i="10"/>
  <c r="BH94" i="10"/>
  <c r="BI94" i="10"/>
  <c r="BJ94" i="10"/>
  <c r="BK94" i="10"/>
  <c r="BL94" i="10"/>
  <c r="BM94" i="10"/>
  <c r="BN94" i="10"/>
  <c r="BH95" i="10"/>
  <c r="BI95" i="10"/>
  <c r="BJ95" i="10"/>
  <c r="BK95" i="10"/>
  <c r="BL95" i="10"/>
  <c r="BM95" i="10"/>
  <c r="BN95" i="10"/>
  <c r="BH96" i="10"/>
  <c r="BI96" i="10"/>
  <c r="BJ96" i="10"/>
  <c r="BK96" i="10"/>
  <c r="BL96" i="10"/>
  <c r="BM96" i="10"/>
  <c r="BH97" i="10"/>
  <c r="BI97" i="10"/>
  <c r="BJ97" i="10"/>
  <c r="BK97" i="10"/>
  <c r="BL97" i="10"/>
  <c r="BM97" i="10"/>
  <c r="BI98" i="10"/>
  <c r="BJ98" i="10"/>
  <c r="BL98" i="10"/>
  <c r="BM98" i="10"/>
  <c r="BN98" i="10"/>
  <c r="BH99" i="10"/>
  <c r="BJ99" i="10"/>
  <c r="BK99" i="10"/>
  <c r="BL99" i="10"/>
  <c r="BM99" i="10"/>
  <c r="BH100" i="10"/>
  <c r="BI100" i="10"/>
  <c r="BL100" i="10"/>
  <c r="BM100" i="10"/>
  <c r="BN100" i="10"/>
  <c r="BD85" i="10"/>
  <c r="BE85" i="10"/>
  <c r="BF85" i="10"/>
  <c r="BG85" i="10"/>
  <c r="BC86" i="10"/>
  <c r="BE86" i="10"/>
  <c r="BF86" i="10"/>
  <c r="BG86" i="10"/>
  <c r="BC87" i="10"/>
  <c r="BD87" i="10"/>
  <c r="BF87" i="10"/>
  <c r="BG87" i="10"/>
  <c r="BD88" i="10"/>
  <c r="BE88" i="10"/>
  <c r="BG88" i="10"/>
  <c r="BC89" i="10"/>
  <c r="BD89" i="10"/>
  <c r="BE89" i="10"/>
  <c r="BF89" i="10"/>
  <c r="BC90" i="10"/>
  <c r="BD90" i="10"/>
  <c r="BE90" i="10"/>
  <c r="BF90" i="10"/>
  <c r="BG90" i="10"/>
  <c r="BC91" i="10"/>
  <c r="BD91" i="10"/>
  <c r="BE91" i="10"/>
  <c r="BF91" i="10"/>
  <c r="BG91" i="10"/>
  <c r="BC92" i="10"/>
  <c r="BD92" i="10"/>
  <c r="BE92" i="10"/>
  <c r="BF92" i="10"/>
  <c r="BG92" i="10"/>
  <c r="BD93" i="10"/>
  <c r="BE93" i="10"/>
  <c r="BF93" i="10"/>
  <c r="BG93" i="10"/>
  <c r="BC94" i="10"/>
  <c r="BE94" i="10"/>
  <c r="BF94" i="10"/>
  <c r="BG94" i="10"/>
  <c r="BC95" i="10"/>
  <c r="BD95" i="10"/>
  <c r="BF95" i="10"/>
  <c r="BG95" i="10"/>
  <c r="BC96" i="10"/>
  <c r="BD96" i="10"/>
  <c r="BE96" i="10"/>
  <c r="BG96" i="10"/>
  <c r="BC97" i="10"/>
  <c r="BD97" i="10"/>
  <c r="BE97" i="10"/>
  <c r="BF97" i="10"/>
  <c r="BC98" i="10"/>
  <c r="BD98" i="10"/>
  <c r="BE98" i="10"/>
  <c r="BF98" i="10"/>
  <c r="BG98" i="10"/>
  <c r="BC99" i="10"/>
  <c r="BD99" i="10"/>
  <c r="BE99" i="10"/>
  <c r="BF99" i="10"/>
  <c r="BG99" i="10"/>
  <c r="BC100" i="10"/>
  <c r="BD100" i="10"/>
  <c r="BE100" i="10"/>
  <c r="BF100" i="10"/>
  <c r="BG100" i="10"/>
  <c r="BA93" i="10"/>
  <c r="BA94" i="10"/>
  <c r="BA95" i="10"/>
  <c r="BA96" i="10"/>
  <c r="BA97" i="10"/>
  <c r="BA98" i="10"/>
  <c r="BA99" i="10"/>
  <c r="BA100" i="10"/>
  <c r="BA85" i="10"/>
  <c r="BA86" i="10"/>
  <c r="BA87" i="10"/>
  <c r="BA88" i="10"/>
  <c r="BA89" i="10"/>
  <c r="BA90" i="10"/>
  <c r="BA91" i="10"/>
  <c r="BA92" i="10"/>
  <c r="AZ93" i="10"/>
  <c r="AZ94" i="10"/>
  <c r="AZ95" i="10"/>
  <c r="AZ96" i="10"/>
  <c r="AZ97" i="10"/>
  <c r="AZ98" i="10"/>
  <c r="AZ99" i="10"/>
  <c r="AZ100" i="10"/>
  <c r="AZ85" i="10"/>
  <c r="AZ86" i="10"/>
  <c r="AZ87" i="10"/>
  <c r="AZ88" i="10"/>
  <c r="AZ89" i="10"/>
  <c r="AZ90" i="10"/>
  <c r="AZ91" i="10"/>
  <c r="AZ92" i="10"/>
  <c r="AY93" i="10"/>
  <c r="AY94" i="10"/>
  <c r="AY95" i="10"/>
  <c r="AY96" i="10"/>
  <c r="AY97" i="10"/>
  <c r="AY98" i="10"/>
  <c r="AY99" i="10"/>
  <c r="AY100" i="10"/>
  <c r="AY85" i="10"/>
  <c r="AY86" i="10"/>
  <c r="AY87" i="10"/>
  <c r="AY88" i="10"/>
  <c r="AY89" i="10"/>
  <c r="AY90" i="10"/>
  <c r="AY91" i="10"/>
  <c r="AY92" i="10"/>
  <c r="AT94" i="10"/>
  <c r="BP94" i="10" s="1"/>
  <c r="AT86" i="10"/>
  <c r="BP86" i="10" s="1"/>
  <c r="AS95" i="10"/>
  <c r="BO95" i="10" s="1"/>
  <c r="AS87" i="10"/>
  <c r="BO87" i="10" s="1"/>
  <c r="AR99" i="10"/>
  <c r="BN99" i="10" s="1"/>
  <c r="AR97" i="10"/>
  <c r="BN97" i="10" s="1"/>
  <c r="BN96" i="10"/>
  <c r="AR91" i="10"/>
  <c r="BN91" i="10" s="1"/>
  <c r="AR89" i="10"/>
  <c r="BN89" i="10" s="1"/>
  <c r="BN88" i="10"/>
  <c r="AP93" i="10"/>
  <c r="BL93" i="10" s="1"/>
  <c r="AP85" i="10"/>
  <c r="BL85" i="10" s="1"/>
  <c r="AO100" i="10"/>
  <c r="BK100" i="10" s="1"/>
  <c r="AO92" i="10"/>
  <c r="BK92" i="10" s="1"/>
  <c r="AO98" i="10"/>
  <c r="BK98" i="10" s="1"/>
  <c r="AO90" i="10"/>
  <c r="BK90" i="10" s="1"/>
  <c r="AN100" i="10"/>
  <c r="BJ100" i="10" s="1"/>
  <c r="AM99" i="10"/>
  <c r="BI99" i="10" s="1"/>
  <c r="AL98" i="10"/>
  <c r="BH98" i="10" s="1"/>
  <c r="AK97" i="10"/>
  <c r="BG97" i="10" s="1"/>
  <c r="AJ96" i="10"/>
  <c r="BF96" i="10" s="1"/>
  <c r="AI95" i="10"/>
  <c r="BE95" i="10" s="1"/>
  <c r="AH94" i="10"/>
  <c r="BD94" i="10" s="1"/>
  <c r="AN92" i="10"/>
  <c r="BJ92" i="10" s="1"/>
  <c r="AM91" i="10"/>
  <c r="BI91" i="10" s="1"/>
  <c r="AL90" i="10"/>
  <c r="BH90" i="10" s="1"/>
  <c r="AK89" i="10"/>
  <c r="BG89" i="10" s="1"/>
  <c r="AJ88" i="10"/>
  <c r="BF88" i="10" s="1"/>
  <c r="AI87" i="10"/>
  <c r="BE87" i="10" s="1"/>
  <c r="AH86" i="10"/>
  <c r="BD86" i="10" s="1"/>
  <c r="AG93" i="10"/>
  <c r="BC93" i="10" s="1"/>
  <c r="AG85" i="10"/>
  <c r="BC85" i="10" s="1"/>
  <c r="AR130" i="10"/>
  <c r="BN130" i="10" s="1"/>
  <c r="AS129" i="10"/>
  <c r="BO129" i="10" s="1"/>
  <c r="BR128" i="10"/>
  <c r="BS128" i="10"/>
  <c r="BR129" i="10"/>
  <c r="BS129" i="10"/>
  <c r="BR130" i="10"/>
  <c r="BS130" i="10"/>
  <c r="BR131" i="10"/>
  <c r="BS131" i="10"/>
  <c r="BR132" i="10"/>
  <c r="BS132" i="10"/>
  <c r="BR133" i="10"/>
  <c r="BS133" i="10"/>
  <c r="BR134" i="10"/>
  <c r="BS134" i="10"/>
  <c r="BO128" i="10"/>
  <c r="BQ128" i="10"/>
  <c r="BP129" i="10"/>
  <c r="BQ129" i="10"/>
  <c r="BO130" i="10"/>
  <c r="BP130" i="10"/>
  <c r="BQ130" i="10"/>
  <c r="BO131" i="10"/>
  <c r="BP131" i="10"/>
  <c r="BQ131" i="10"/>
  <c r="BO132" i="10"/>
  <c r="BP132" i="10"/>
  <c r="BQ132" i="10"/>
  <c r="BO133" i="10"/>
  <c r="BP133" i="10"/>
  <c r="BQ133" i="10"/>
  <c r="BO134" i="10"/>
  <c r="BP134" i="10"/>
  <c r="BQ134" i="10"/>
  <c r="BK128" i="10"/>
  <c r="BL128" i="10"/>
  <c r="BM128" i="10"/>
  <c r="BN128" i="10"/>
  <c r="BK129" i="10"/>
  <c r="BL129" i="10"/>
  <c r="BM129" i="10"/>
  <c r="BN129" i="10"/>
  <c r="BK130" i="10"/>
  <c r="BL130" i="10"/>
  <c r="BM130" i="10"/>
  <c r="BK131" i="10"/>
  <c r="BL131" i="10"/>
  <c r="BM131" i="10"/>
  <c r="BL132" i="10"/>
  <c r="BM132" i="10"/>
  <c r="BN132" i="10"/>
  <c r="BK133" i="10"/>
  <c r="BL133" i="10"/>
  <c r="BM133" i="10"/>
  <c r="BL134" i="10"/>
  <c r="BM134" i="10"/>
  <c r="BN134" i="10"/>
  <c r="BM127" i="10"/>
  <c r="BN127" i="10"/>
  <c r="BO127" i="10"/>
  <c r="BP127" i="10"/>
  <c r="BQ127" i="10"/>
  <c r="BR127" i="10"/>
  <c r="BS127" i="10"/>
  <c r="BK127" i="10"/>
  <c r="AO134" i="10"/>
  <c r="BK134" i="10" s="1"/>
  <c r="AO84" i="10"/>
  <c r="BK84" i="10" s="1"/>
  <c r="AO132" i="10"/>
  <c r="BK132" i="10" s="1"/>
  <c r="AO82" i="10"/>
  <c r="AR133" i="10"/>
  <c r="BN133" i="10" s="1"/>
  <c r="AR83" i="10"/>
  <c r="BN83" i="10" s="1"/>
  <c r="AR131" i="10"/>
  <c r="BN131" i="10" s="1"/>
  <c r="AR81" i="10"/>
  <c r="BN81" i="10" s="1"/>
  <c r="AT128" i="10"/>
  <c r="BP128" i="10" s="1"/>
  <c r="AP127" i="10"/>
  <c r="AP77" i="10"/>
  <c r="BL77" i="10" s="1"/>
  <c r="BJ128" i="10"/>
  <c r="BJ129" i="10"/>
  <c r="BJ130" i="10"/>
  <c r="BJ131" i="10"/>
  <c r="BJ132" i="10"/>
  <c r="BJ133" i="10"/>
  <c r="BG128" i="10"/>
  <c r="BH128" i="10"/>
  <c r="BI128" i="10"/>
  <c r="BG129" i="10"/>
  <c r="BH129" i="10"/>
  <c r="BI129" i="10"/>
  <c r="BG130" i="10"/>
  <c r="BH130" i="10"/>
  <c r="BI130" i="10"/>
  <c r="BH131" i="10"/>
  <c r="BI131" i="10"/>
  <c r="BG132" i="10"/>
  <c r="BI132" i="10"/>
  <c r="BG133" i="10"/>
  <c r="BH133" i="10"/>
  <c r="BG134" i="10"/>
  <c r="BH134" i="10"/>
  <c r="BI134" i="10"/>
  <c r="BC128" i="10"/>
  <c r="BE128" i="10"/>
  <c r="BF128" i="10"/>
  <c r="BC129" i="10"/>
  <c r="BD129" i="10"/>
  <c r="BF129" i="10"/>
  <c r="BC130" i="10"/>
  <c r="BD130" i="10"/>
  <c r="BE130" i="10"/>
  <c r="BC131" i="10"/>
  <c r="BD131" i="10"/>
  <c r="BE131" i="10"/>
  <c r="BF131" i="10"/>
  <c r="BC132" i="10"/>
  <c r="BD132" i="10"/>
  <c r="BE132" i="10"/>
  <c r="BF132" i="10"/>
  <c r="BC133" i="10"/>
  <c r="BD133" i="10"/>
  <c r="BE133" i="10"/>
  <c r="BF133" i="10"/>
  <c r="BC134" i="10"/>
  <c r="BD134" i="10"/>
  <c r="BE134" i="10"/>
  <c r="BF134" i="10"/>
  <c r="BD127" i="10"/>
  <c r="BE127" i="10"/>
  <c r="BF127" i="10"/>
  <c r="BG127" i="10"/>
  <c r="BH127" i="10"/>
  <c r="BI127" i="10"/>
  <c r="BJ127" i="10"/>
  <c r="BA128" i="10"/>
  <c r="BA129" i="10"/>
  <c r="BA130" i="10"/>
  <c r="BA131" i="10"/>
  <c r="BA132" i="10"/>
  <c r="BA133" i="10"/>
  <c r="BA134" i="10"/>
  <c r="AZ128" i="10"/>
  <c r="AZ129" i="10"/>
  <c r="AZ130" i="10"/>
  <c r="AZ131" i="10"/>
  <c r="AZ132" i="10"/>
  <c r="AZ133" i="10"/>
  <c r="AZ134" i="10"/>
  <c r="AY128" i="10"/>
  <c r="AY129" i="10"/>
  <c r="AY130" i="10"/>
  <c r="AY131" i="10"/>
  <c r="AY132" i="10"/>
  <c r="AY133" i="10"/>
  <c r="AY134" i="10"/>
  <c r="AN134" i="10"/>
  <c r="BJ134" i="10" s="1"/>
  <c r="AM133" i="10"/>
  <c r="BI133" i="10" s="1"/>
  <c r="AL132" i="10"/>
  <c r="BH132" i="10" s="1"/>
  <c r="AK131" i="10"/>
  <c r="BG131" i="10" s="1"/>
  <c r="AJ130" i="10"/>
  <c r="BF130" i="10" s="1"/>
  <c r="AI129" i="10"/>
  <c r="BE129" i="10" s="1"/>
  <c r="AH128" i="10"/>
  <c r="BD128" i="10" s="1"/>
  <c r="AG77" i="10"/>
  <c r="BC77" i="10" s="1"/>
  <c r="BQ78" i="10"/>
  <c r="BR78" i="10"/>
  <c r="BS78" i="10"/>
  <c r="BQ79" i="10"/>
  <c r="BR79" i="10"/>
  <c r="BS79" i="10"/>
  <c r="BQ80" i="10"/>
  <c r="BR80" i="10"/>
  <c r="BS80" i="10"/>
  <c r="BQ81" i="10"/>
  <c r="BR81" i="10"/>
  <c r="BS81" i="10"/>
  <c r="BQ82" i="10"/>
  <c r="BR82" i="10"/>
  <c r="BS82" i="10"/>
  <c r="BQ83" i="10"/>
  <c r="BR83" i="10"/>
  <c r="BS83" i="10"/>
  <c r="BQ84" i="10"/>
  <c r="BR84" i="10"/>
  <c r="BS84" i="10"/>
  <c r="BN78" i="10"/>
  <c r="BO78" i="10"/>
  <c r="BN79" i="10"/>
  <c r="BO80" i="10"/>
  <c r="BO81" i="10"/>
  <c r="BN82" i="10"/>
  <c r="BO82" i="10"/>
  <c r="BO83" i="10"/>
  <c r="BN84" i="10"/>
  <c r="BO84" i="10"/>
  <c r="BK78" i="10"/>
  <c r="BL78" i="10"/>
  <c r="BM78" i="10"/>
  <c r="BK79" i="10"/>
  <c r="BL79" i="10"/>
  <c r="BM79" i="10"/>
  <c r="BK80" i="10"/>
  <c r="BL80" i="10"/>
  <c r="BM80" i="10"/>
  <c r="BK81" i="10"/>
  <c r="BL81" i="10"/>
  <c r="BM81" i="10"/>
  <c r="BL82" i="10"/>
  <c r="BM82" i="10"/>
  <c r="BK83" i="10"/>
  <c r="BL83" i="10"/>
  <c r="BM83" i="10"/>
  <c r="BL84" i="10"/>
  <c r="BM84" i="10"/>
  <c r="BP79" i="10"/>
  <c r="BP80" i="10"/>
  <c r="BP81" i="10"/>
  <c r="BP82" i="10"/>
  <c r="BP83" i="10"/>
  <c r="BP84" i="10"/>
  <c r="BM77" i="10"/>
  <c r="BN77" i="10"/>
  <c r="BO77" i="10"/>
  <c r="BP77" i="10"/>
  <c r="BQ77" i="10"/>
  <c r="BR77" i="10"/>
  <c r="BS77" i="10"/>
  <c r="BK77" i="10"/>
  <c r="AO35" i="10"/>
  <c r="BK35" i="10" s="1"/>
  <c r="BK82" i="10"/>
  <c r="AR34" i="10"/>
  <c r="BN34" i="10" s="1"/>
  <c r="BN80" i="10"/>
  <c r="AS79" i="10"/>
  <c r="BO79" i="10" s="1"/>
  <c r="AT78" i="10"/>
  <c r="BP78" i="10" s="1"/>
  <c r="AP28" i="10"/>
  <c r="BH78" i="10"/>
  <c r="BI78" i="10"/>
  <c r="BJ78" i="10"/>
  <c r="BH79" i="10"/>
  <c r="BI79" i="10"/>
  <c r="BJ79" i="10"/>
  <c r="BH80" i="10"/>
  <c r="BI80" i="10"/>
  <c r="BJ80" i="10"/>
  <c r="BH81" i="10"/>
  <c r="BI81" i="10"/>
  <c r="BJ81" i="10"/>
  <c r="BI82" i="10"/>
  <c r="BJ82" i="10"/>
  <c r="BH83" i="10"/>
  <c r="BJ83" i="10"/>
  <c r="BH84" i="10"/>
  <c r="BI84" i="10"/>
  <c r="BE78" i="10"/>
  <c r="BF78" i="10"/>
  <c r="BG78" i="10"/>
  <c r="BD79" i="10"/>
  <c r="BF79" i="10"/>
  <c r="BG79" i="10"/>
  <c r="BD80" i="10"/>
  <c r="BE80" i="10"/>
  <c r="BG80" i="10"/>
  <c r="BD81" i="10"/>
  <c r="BE81" i="10"/>
  <c r="BF81" i="10"/>
  <c r="BD82" i="10"/>
  <c r="BE82" i="10"/>
  <c r="BF82" i="10"/>
  <c r="BG82" i="10"/>
  <c r="BD83" i="10"/>
  <c r="BE83" i="10"/>
  <c r="BF83" i="10"/>
  <c r="BG83" i="10"/>
  <c r="BD84" i="10"/>
  <c r="BE84" i="10"/>
  <c r="BF84" i="10"/>
  <c r="BG84" i="10"/>
  <c r="BD77" i="10"/>
  <c r="BE77" i="10"/>
  <c r="BF77" i="10"/>
  <c r="BG77" i="10"/>
  <c r="BH77" i="10"/>
  <c r="BI77" i="10"/>
  <c r="BJ77" i="10"/>
  <c r="BC78" i="10"/>
  <c r="BC79" i="10"/>
  <c r="BC80" i="10"/>
  <c r="BC81" i="10"/>
  <c r="BC82" i="10"/>
  <c r="BC83" i="10"/>
  <c r="BC84" i="10"/>
  <c r="BA78" i="10"/>
  <c r="BA79" i="10"/>
  <c r="BA80" i="10"/>
  <c r="BA81" i="10"/>
  <c r="BA82" i="10"/>
  <c r="BA83" i="10"/>
  <c r="BA84" i="10"/>
  <c r="AZ78" i="10"/>
  <c r="AZ79" i="10"/>
  <c r="AZ80" i="10"/>
  <c r="AZ81" i="10"/>
  <c r="AZ82" i="10"/>
  <c r="AZ83" i="10"/>
  <c r="AZ84" i="10"/>
  <c r="AY78" i="10"/>
  <c r="AY79" i="10"/>
  <c r="AY80" i="10"/>
  <c r="AY81" i="10"/>
  <c r="AY82" i="10"/>
  <c r="AY83" i="10"/>
  <c r="AY84" i="10"/>
  <c r="AN84" i="10"/>
  <c r="BJ84" i="10" s="1"/>
  <c r="AM83" i="10"/>
  <c r="BI83" i="10" s="1"/>
  <c r="AL82" i="10"/>
  <c r="BH82" i="10" s="1"/>
  <c r="AK81" i="10"/>
  <c r="BG81" i="10" s="1"/>
  <c r="AJ80" i="10"/>
  <c r="BF80" i="10" s="1"/>
  <c r="AI79" i="10"/>
  <c r="BE79" i="10" s="1"/>
  <c r="AH78" i="10"/>
  <c r="BD78" i="10" s="1"/>
  <c r="AG28" i="10"/>
  <c r="BM36" i="10"/>
  <c r="BN36" i="10"/>
  <c r="BO36" i="10"/>
  <c r="BP36" i="10"/>
  <c r="BQ36" i="10"/>
  <c r="BR36" i="10"/>
  <c r="BS36" i="10"/>
  <c r="BM37" i="10"/>
  <c r="BN37" i="10"/>
  <c r="BO37" i="10"/>
  <c r="BQ37" i="10"/>
  <c r="BR37" i="10"/>
  <c r="BS37" i="10"/>
  <c r="BM38" i="10"/>
  <c r="BN38" i="10"/>
  <c r="BP38" i="10"/>
  <c r="BQ38" i="10"/>
  <c r="BR38" i="10"/>
  <c r="BS38" i="10"/>
  <c r="BM39" i="10"/>
  <c r="BO39" i="10"/>
  <c r="BP39" i="10"/>
  <c r="BQ39" i="10"/>
  <c r="BR39" i="10"/>
  <c r="BS39" i="10"/>
  <c r="BM40" i="10"/>
  <c r="BO40" i="10"/>
  <c r="BP40" i="10"/>
  <c r="BQ40" i="10"/>
  <c r="BR40" i="10"/>
  <c r="BS40" i="10"/>
  <c r="BM41" i="10"/>
  <c r="BN41" i="10"/>
  <c r="BO41" i="10"/>
  <c r="BP41" i="10"/>
  <c r="BQ41" i="10"/>
  <c r="BR41" i="10"/>
  <c r="BS41" i="10"/>
  <c r="BM42" i="10"/>
  <c r="BO42" i="10"/>
  <c r="BP42" i="10"/>
  <c r="BQ42" i="10"/>
  <c r="BR42" i="10"/>
  <c r="BS42" i="10"/>
  <c r="BM43" i="10"/>
  <c r="BN43" i="10"/>
  <c r="BO43" i="10"/>
  <c r="BP43" i="10"/>
  <c r="BQ43" i="10"/>
  <c r="BR43" i="10"/>
  <c r="BS43" i="10"/>
  <c r="BM44" i="10"/>
  <c r="BN44" i="10"/>
  <c r="BO44" i="10"/>
  <c r="BP44" i="10"/>
  <c r="BQ44" i="10"/>
  <c r="BR44" i="10"/>
  <c r="BS44" i="10"/>
  <c r="BM45" i="10"/>
  <c r="BN45" i="10"/>
  <c r="BO45" i="10"/>
  <c r="BQ45" i="10"/>
  <c r="BR45" i="10"/>
  <c r="BS45" i="10"/>
  <c r="BM46" i="10"/>
  <c r="BN46" i="10"/>
  <c r="BP46" i="10"/>
  <c r="BQ46" i="10"/>
  <c r="BR46" i="10"/>
  <c r="BS46" i="10"/>
  <c r="BM47" i="10"/>
  <c r="BO47" i="10"/>
  <c r="BP47" i="10"/>
  <c r="BQ47" i="10"/>
  <c r="BR47" i="10"/>
  <c r="BS47" i="10"/>
  <c r="BM48" i="10"/>
  <c r="BO48" i="10"/>
  <c r="BP48" i="10"/>
  <c r="BQ48" i="10"/>
  <c r="BR48" i="10"/>
  <c r="BS48" i="10"/>
  <c r="BM49" i="10"/>
  <c r="BN49" i="10"/>
  <c r="BO49" i="10"/>
  <c r="BP49" i="10"/>
  <c r="BQ49" i="10"/>
  <c r="BR49" i="10"/>
  <c r="BS49" i="10"/>
  <c r="BM50" i="10"/>
  <c r="BO50" i="10"/>
  <c r="BP50" i="10"/>
  <c r="BQ50" i="10"/>
  <c r="BR50" i="10"/>
  <c r="BS50" i="10"/>
  <c r="BM51" i="10"/>
  <c r="BN51" i="10"/>
  <c r="BO51" i="10"/>
  <c r="BP51" i="10"/>
  <c r="BQ51" i="10"/>
  <c r="BR51" i="10"/>
  <c r="BS51" i="10"/>
  <c r="BH36" i="10"/>
  <c r="BI36" i="10"/>
  <c r="BJ36" i="10"/>
  <c r="BK36" i="10"/>
  <c r="BH37" i="10"/>
  <c r="BI37" i="10"/>
  <c r="BJ37" i="10"/>
  <c r="BK37" i="10"/>
  <c r="BL37" i="10"/>
  <c r="BH38" i="10"/>
  <c r="BI38" i="10"/>
  <c r="BJ38" i="10"/>
  <c r="BK38" i="10"/>
  <c r="BL38" i="10"/>
  <c r="BH39" i="10"/>
  <c r="BI39" i="10"/>
  <c r="BJ39" i="10"/>
  <c r="BK39" i="10"/>
  <c r="BL39" i="10"/>
  <c r="BH40" i="10"/>
  <c r="BI40" i="10"/>
  <c r="BJ40" i="10"/>
  <c r="BK40" i="10"/>
  <c r="BL40" i="10"/>
  <c r="BI41" i="10"/>
  <c r="BJ41" i="10"/>
  <c r="BL41" i="10"/>
  <c r="BH42" i="10"/>
  <c r="BJ42" i="10"/>
  <c r="BK42" i="10"/>
  <c r="BL42" i="10"/>
  <c r="BH43" i="10"/>
  <c r="BI43" i="10"/>
  <c r="BL43" i="10"/>
  <c r="BH44" i="10"/>
  <c r="BI44" i="10"/>
  <c r="BJ44" i="10"/>
  <c r="BK44" i="10"/>
  <c r="BH45" i="10"/>
  <c r="BI45" i="10"/>
  <c r="BJ45" i="10"/>
  <c r="BK45" i="10"/>
  <c r="BL45" i="10"/>
  <c r="BH46" i="10"/>
  <c r="BI46" i="10"/>
  <c r="BJ46" i="10"/>
  <c r="BK46" i="10"/>
  <c r="BL46" i="10"/>
  <c r="BH47" i="10"/>
  <c r="BI47" i="10"/>
  <c r="BJ47" i="10"/>
  <c r="BK47" i="10"/>
  <c r="BL47" i="10"/>
  <c r="BH48" i="10"/>
  <c r="BI48" i="10"/>
  <c r="BJ48" i="10"/>
  <c r="BK48" i="10"/>
  <c r="BL48" i="10"/>
  <c r="BI49" i="10"/>
  <c r="BJ49" i="10"/>
  <c r="BL49" i="10"/>
  <c r="BH50" i="10"/>
  <c r="BJ50" i="10"/>
  <c r="BK50" i="10"/>
  <c r="BL50" i="10"/>
  <c r="BH51" i="10"/>
  <c r="BI51" i="10"/>
  <c r="BL51" i="10"/>
  <c r="BD36" i="10"/>
  <c r="BE36" i="10"/>
  <c r="BF36" i="10"/>
  <c r="BG36" i="10"/>
  <c r="BC37" i="10"/>
  <c r="BE37" i="10"/>
  <c r="BF37" i="10"/>
  <c r="BG37" i="10"/>
  <c r="BC38" i="10"/>
  <c r="BD38" i="10"/>
  <c r="BF38" i="10"/>
  <c r="BG38" i="10"/>
  <c r="BC39" i="10"/>
  <c r="BD39" i="10"/>
  <c r="BE39" i="10"/>
  <c r="BG39" i="10"/>
  <c r="BC40" i="10"/>
  <c r="BD40" i="10"/>
  <c r="BE40" i="10"/>
  <c r="BF40" i="10"/>
  <c r="BC41" i="10"/>
  <c r="BD41" i="10"/>
  <c r="BE41" i="10"/>
  <c r="BF41" i="10"/>
  <c r="BG41" i="10"/>
  <c r="BC42" i="10"/>
  <c r="BD42" i="10"/>
  <c r="BE42" i="10"/>
  <c r="BF42" i="10"/>
  <c r="BG42" i="10"/>
  <c r="BC43" i="10"/>
  <c r="BD43" i="10"/>
  <c r="BE43" i="10"/>
  <c r="BF43" i="10"/>
  <c r="BG43" i="10"/>
  <c r="BD44" i="10"/>
  <c r="BE44" i="10"/>
  <c r="BF44" i="10"/>
  <c r="BG44" i="10"/>
  <c r="BC45" i="10"/>
  <c r="BE45" i="10"/>
  <c r="BF45" i="10"/>
  <c r="BG45" i="10"/>
  <c r="BC46" i="10"/>
  <c r="BD46" i="10"/>
  <c r="BF46" i="10"/>
  <c r="BG46" i="10"/>
  <c r="BC47" i="10"/>
  <c r="BD47" i="10"/>
  <c r="BE47" i="10"/>
  <c r="BG47" i="10"/>
  <c r="BC48" i="10"/>
  <c r="BD48" i="10"/>
  <c r="BE48" i="10"/>
  <c r="BF48" i="10"/>
  <c r="BC49" i="10"/>
  <c r="BD49" i="10"/>
  <c r="BE49" i="10"/>
  <c r="BF49" i="10"/>
  <c r="BG49" i="10"/>
  <c r="BC50" i="10"/>
  <c r="BD50" i="10"/>
  <c r="BE50" i="10"/>
  <c r="BF50" i="10"/>
  <c r="BG50" i="10"/>
  <c r="BC51" i="10"/>
  <c r="BD51" i="10"/>
  <c r="BE51" i="10"/>
  <c r="BF51" i="10"/>
  <c r="BG51" i="10"/>
  <c r="AY36" i="10"/>
  <c r="AZ36" i="10"/>
  <c r="BA36" i="10"/>
  <c r="AY37" i="10"/>
  <c r="AZ37" i="10"/>
  <c r="BA37" i="10"/>
  <c r="AY38" i="10"/>
  <c r="AZ38" i="10"/>
  <c r="BA38" i="10"/>
  <c r="AY39" i="10"/>
  <c r="AZ39" i="10"/>
  <c r="BA39" i="10"/>
  <c r="AY40" i="10"/>
  <c r="AZ40" i="10"/>
  <c r="BA40" i="10"/>
  <c r="AY41" i="10"/>
  <c r="AZ41" i="10"/>
  <c r="BA41" i="10"/>
  <c r="AY42" i="10"/>
  <c r="AZ42" i="10"/>
  <c r="BA42" i="10"/>
  <c r="AY43" i="10"/>
  <c r="AZ43" i="10"/>
  <c r="BA43" i="10"/>
  <c r="AY44" i="10"/>
  <c r="AZ44" i="10"/>
  <c r="BA44" i="10"/>
  <c r="AY45" i="10"/>
  <c r="AZ45" i="10"/>
  <c r="BA45" i="10"/>
  <c r="AY46" i="10"/>
  <c r="AZ46" i="10"/>
  <c r="BA46" i="10"/>
  <c r="AY47" i="10"/>
  <c r="AZ47" i="10"/>
  <c r="BA47" i="10"/>
  <c r="AY48" i="10"/>
  <c r="AZ48" i="10"/>
  <c r="BA48" i="10"/>
  <c r="AY49" i="10"/>
  <c r="AZ49" i="10"/>
  <c r="BA49" i="10"/>
  <c r="AY50" i="10"/>
  <c r="AZ50" i="10"/>
  <c r="BA50" i="10"/>
  <c r="AY51" i="10"/>
  <c r="AZ51" i="10"/>
  <c r="BA51" i="10"/>
  <c r="AO51" i="10"/>
  <c r="BK51" i="10" s="1"/>
  <c r="AR50" i="10"/>
  <c r="BN50" i="10" s="1"/>
  <c r="AO49" i="10"/>
  <c r="BK49" i="10" s="1"/>
  <c r="AR48" i="10"/>
  <c r="BN48" i="10" s="1"/>
  <c r="AR47" i="10"/>
  <c r="BN47" i="10" s="1"/>
  <c r="AS46" i="10"/>
  <c r="BO46" i="10" s="1"/>
  <c r="AT45" i="10"/>
  <c r="BP45" i="10" s="1"/>
  <c r="AP44" i="10"/>
  <c r="BL44" i="10" s="1"/>
  <c r="AO43" i="10"/>
  <c r="BK43" i="10" s="1"/>
  <c r="AR42" i="10"/>
  <c r="BN42" i="10" s="1"/>
  <c r="AO41" i="10"/>
  <c r="BK41" i="10" s="1"/>
  <c r="AR40" i="10"/>
  <c r="BN40" i="10" s="1"/>
  <c r="AR39" i="10"/>
  <c r="BN39" i="10" s="1"/>
  <c r="AS38" i="10"/>
  <c r="BO38" i="10" s="1"/>
  <c r="AT37" i="10"/>
  <c r="BP37" i="10" s="1"/>
  <c r="AP36" i="10"/>
  <c r="BL36" i="10" s="1"/>
  <c r="AN51" i="10"/>
  <c r="BJ51" i="10" s="1"/>
  <c r="AM50" i="10"/>
  <c r="BI50" i="10" s="1"/>
  <c r="AL49" i="10"/>
  <c r="BH49" i="10" s="1"/>
  <c r="AK48" i="10"/>
  <c r="BG48" i="10" s="1"/>
  <c r="AJ47" i="10"/>
  <c r="BF47" i="10" s="1"/>
  <c r="AI46" i="10"/>
  <c r="BE46" i="10" s="1"/>
  <c r="AH45" i="10"/>
  <c r="BD45" i="10" s="1"/>
  <c r="AG44" i="10"/>
  <c r="BC44" i="10" s="1"/>
  <c r="AN43" i="10"/>
  <c r="BJ43" i="10" s="1"/>
  <c r="AM42" i="10"/>
  <c r="BI42" i="10" s="1"/>
  <c r="AL41" i="10"/>
  <c r="BH41" i="10" s="1"/>
  <c r="AK40" i="10"/>
  <c r="BG40" i="10" s="1"/>
  <c r="AJ39" i="10"/>
  <c r="BF39" i="10" s="1"/>
  <c r="AI38" i="10"/>
  <c r="BE38" i="10" s="1"/>
  <c r="AH37" i="10"/>
  <c r="BD37" i="10" s="1"/>
  <c r="AG36" i="10"/>
  <c r="BC36" i="10" s="1"/>
  <c r="BO29" i="10"/>
  <c r="BQ29" i="10"/>
  <c r="BR29" i="10"/>
  <c r="BS29" i="10"/>
  <c r="BP30" i="10"/>
  <c r="BQ30" i="10"/>
  <c r="BR30" i="10"/>
  <c r="BS30" i="10"/>
  <c r="BO31" i="10"/>
  <c r="BP31" i="10"/>
  <c r="BQ31" i="10"/>
  <c r="BR31" i="10"/>
  <c r="BS31" i="10"/>
  <c r="BO32" i="10"/>
  <c r="BP32" i="10"/>
  <c r="BQ32" i="10"/>
  <c r="BR32" i="10"/>
  <c r="BS32" i="10"/>
  <c r="BO33" i="10"/>
  <c r="BP33" i="10"/>
  <c r="BQ33" i="10"/>
  <c r="BR33" i="10"/>
  <c r="BS33" i="10"/>
  <c r="BO34" i="10"/>
  <c r="BP34" i="10"/>
  <c r="BQ34" i="10"/>
  <c r="BR34" i="10"/>
  <c r="BS34" i="10"/>
  <c r="BO35" i="10"/>
  <c r="BP35" i="10"/>
  <c r="BQ35" i="10"/>
  <c r="BR35" i="10"/>
  <c r="BS35" i="10"/>
  <c r="BK29" i="10"/>
  <c r="BL29" i="10"/>
  <c r="BM29" i="10"/>
  <c r="BN29" i="10"/>
  <c r="BK30" i="10"/>
  <c r="BL30" i="10"/>
  <c r="BM30" i="10"/>
  <c r="BN30" i="10"/>
  <c r="BK31" i="10"/>
  <c r="BL31" i="10"/>
  <c r="BM31" i="10"/>
  <c r="BK32" i="10"/>
  <c r="BL32" i="10"/>
  <c r="BM32" i="10"/>
  <c r="BL33" i="10"/>
  <c r="BM33" i="10"/>
  <c r="BN33" i="10"/>
  <c r="BK34" i="10"/>
  <c r="BL34" i="10"/>
  <c r="BM34" i="10"/>
  <c r="BL35" i="10"/>
  <c r="BM35" i="10"/>
  <c r="BN35" i="10"/>
  <c r="BM28" i="10"/>
  <c r="BN28" i="10"/>
  <c r="BO28" i="10"/>
  <c r="BP28" i="10"/>
  <c r="BQ28" i="10"/>
  <c r="BR28" i="10"/>
  <c r="BS28" i="10"/>
  <c r="BK28" i="10"/>
  <c r="AK34" i="9"/>
  <c r="AN33" i="9"/>
  <c r="BH33" i="9" s="1"/>
  <c r="AR32" i="10"/>
  <c r="BN32" i="10" s="1"/>
  <c r="AN31" i="9"/>
  <c r="BH31" i="9" s="1"/>
  <c r="AO33" i="10"/>
  <c r="BK33" i="10" s="1"/>
  <c r="AR31" i="10"/>
  <c r="BN31" i="10" s="1"/>
  <c r="AS30" i="10"/>
  <c r="BO30" i="10" s="1"/>
  <c r="AT29" i="10"/>
  <c r="BP29" i="10" s="1"/>
  <c r="BG29" i="10"/>
  <c r="BH29" i="10"/>
  <c r="BI29" i="10"/>
  <c r="BJ29" i="10"/>
  <c r="BG30" i="10"/>
  <c r="BH30" i="10"/>
  <c r="BI30" i="10"/>
  <c r="BJ30" i="10"/>
  <c r="BG31" i="10"/>
  <c r="BH31" i="10"/>
  <c r="BI31" i="10"/>
  <c r="BJ31" i="10"/>
  <c r="BH32" i="10"/>
  <c r="BI32" i="10"/>
  <c r="BJ32" i="10"/>
  <c r="BG33" i="10"/>
  <c r="BI33" i="10"/>
  <c r="BJ33" i="10"/>
  <c r="BG34" i="10"/>
  <c r="BH34" i="10"/>
  <c r="BJ34" i="10"/>
  <c r="BG35" i="10"/>
  <c r="BH35" i="10"/>
  <c r="BI35" i="10"/>
  <c r="BE29" i="10"/>
  <c r="BF29" i="10"/>
  <c r="BD30" i="10"/>
  <c r="BF30" i="10"/>
  <c r="BD31" i="10"/>
  <c r="BE31" i="10"/>
  <c r="BD32" i="10"/>
  <c r="BE32" i="10"/>
  <c r="BF32" i="10"/>
  <c r="BD33" i="10"/>
  <c r="BE33" i="10"/>
  <c r="BF33" i="10"/>
  <c r="BD34" i="10"/>
  <c r="BE34" i="10"/>
  <c r="BF34" i="10"/>
  <c r="BD35" i="10"/>
  <c r="BE35" i="10"/>
  <c r="BF35" i="10"/>
  <c r="BD28" i="10"/>
  <c r="BE28" i="10"/>
  <c r="BF28" i="10"/>
  <c r="BG28" i="10"/>
  <c r="BH28" i="10"/>
  <c r="BI28" i="10"/>
  <c r="BJ28" i="10"/>
  <c r="BC29" i="10"/>
  <c r="BC30" i="10"/>
  <c r="BC31" i="10"/>
  <c r="BC32" i="10"/>
  <c r="BC33" i="10"/>
  <c r="BC34" i="10"/>
  <c r="BC35" i="10"/>
  <c r="BA29" i="10"/>
  <c r="BA30" i="10"/>
  <c r="BA31" i="10"/>
  <c r="BA32" i="10"/>
  <c r="BA33" i="10"/>
  <c r="BA34" i="10"/>
  <c r="BA35" i="10"/>
  <c r="AZ29" i="10"/>
  <c r="AZ30" i="10"/>
  <c r="AZ31" i="10"/>
  <c r="AZ32" i="10"/>
  <c r="AZ33" i="10"/>
  <c r="AZ34" i="10"/>
  <c r="AZ35" i="10"/>
  <c r="AY29" i="10"/>
  <c r="AY30" i="10"/>
  <c r="AY31" i="10"/>
  <c r="AY32" i="10"/>
  <c r="AY33" i="10"/>
  <c r="AY34" i="10"/>
  <c r="AY35" i="10"/>
  <c r="AN35" i="10"/>
  <c r="BJ35" i="10" s="1"/>
  <c r="AM34" i="10"/>
  <c r="BI34" i="10" s="1"/>
  <c r="AL33" i="10"/>
  <c r="BH33" i="10" s="1"/>
  <c r="AK32" i="10"/>
  <c r="BG32" i="10" s="1"/>
  <c r="BF31" i="10"/>
  <c r="AI30" i="10"/>
  <c r="BE30" i="10" s="1"/>
  <c r="AH29" i="10"/>
  <c r="BD29" i="10" s="1"/>
  <c r="BJ94" i="11"/>
  <c r="BI97" i="11"/>
  <c r="BI96" i="11"/>
  <c r="AY129" i="11"/>
  <c r="BW129" i="11" s="1"/>
  <c r="BB128" i="11"/>
  <c r="BZ128" i="11" s="1"/>
  <c r="AY127" i="11"/>
  <c r="BW127" i="11" s="1"/>
  <c r="BB126" i="11"/>
  <c r="BZ126" i="11" s="1"/>
  <c r="BB125" i="11"/>
  <c r="BZ125" i="11" s="1"/>
  <c r="BC124" i="11"/>
  <c r="CA124" i="11" s="1"/>
  <c r="BD123" i="11"/>
  <c r="CB123" i="11" s="1"/>
  <c r="AZ122" i="11"/>
  <c r="BX122" i="11" s="1"/>
  <c r="AY115" i="11"/>
  <c r="BW115" i="11" s="1"/>
  <c r="BB114" i="11"/>
  <c r="BZ114" i="11" s="1"/>
  <c r="AY113" i="11"/>
  <c r="BW113" i="11" s="1"/>
  <c r="BB112" i="11"/>
  <c r="BZ112" i="11" s="1"/>
  <c r="BB111" i="11"/>
  <c r="BZ111" i="11" s="1"/>
  <c r="BC110" i="11"/>
  <c r="CA110" i="11" s="1"/>
  <c r="BD109" i="11"/>
  <c r="CB109" i="11" s="1"/>
  <c r="AZ108" i="11"/>
  <c r="BX108" i="11" s="1"/>
  <c r="AX129" i="11"/>
  <c r="BV129" i="11" s="1"/>
  <c r="AW128" i="11"/>
  <c r="BU128" i="11" s="1"/>
  <c r="AV127" i="11"/>
  <c r="BT127" i="11" s="1"/>
  <c r="AU126" i="11"/>
  <c r="BS126" i="11" s="1"/>
  <c r="AT125" i="11"/>
  <c r="BR125" i="11" s="1"/>
  <c r="AS124" i="11"/>
  <c r="BQ124" i="11" s="1"/>
  <c r="AR123" i="11"/>
  <c r="BP123" i="11" s="1"/>
  <c r="AQ122" i="11"/>
  <c r="BO122" i="11" s="1"/>
  <c r="AX115" i="11"/>
  <c r="BV115" i="11" s="1"/>
  <c r="AW114" i="11"/>
  <c r="BU114" i="11" s="1"/>
  <c r="AV113" i="11"/>
  <c r="BT113" i="11" s="1"/>
  <c r="AU112" i="11"/>
  <c r="BS112" i="11" s="1"/>
  <c r="AT111" i="11"/>
  <c r="BR111" i="11" s="1"/>
  <c r="AS110" i="11"/>
  <c r="BQ110" i="11" s="1"/>
  <c r="AR109" i="11"/>
  <c r="BP109" i="11" s="1"/>
  <c r="AQ108" i="11"/>
  <c r="BO108" i="11" s="1"/>
  <c r="BB97" i="11"/>
  <c r="BZ97" i="11" s="1"/>
  <c r="CA95" i="11"/>
  <c r="CC95" i="11"/>
  <c r="CD95" i="11"/>
  <c r="CE95" i="11"/>
  <c r="CB96" i="11"/>
  <c r="CC96" i="11"/>
  <c r="CD96" i="11"/>
  <c r="CE96" i="11"/>
  <c r="CA97" i="11"/>
  <c r="CB97" i="11"/>
  <c r="CC97" i="11"/>
  <c r="CD97" i="11"/>
  <c r="CE97" i="11"/>
  <c r="CA98" i="11"/>
  <c r="CB98" i="11"/>
  <c r="CC98" i="11"/>
  <c r="CD98" i="11"/>
  <c r="CE98" i="11"/>
  <c r="CA99" i="11"/>
  <c r="CB99" i="11"/>
  <c r="CC99" i="11"/>
  <c r="CD99" i="11"/>
  <c r="CE99" i="11"/>
  <c r="CA100" i="11"/>
  <c r="CB100" i="11"/>
  <c r="CC100" i="11"/>
  <c r="CE100" i="11"/>
  <c r="CA101" i="11"/>
  <c r="CB101" i="11"/>
  <c r="CC101" i="11"/>
  <c r="CE101" i="11"/>
  <c r="BW95" i="11"/>
  <c r="BX95" i="11"/>
  <c r="BY95" i="11"/>
  <c r="BZ95" i="11"/>
  <c r="BW96" i="11"/>
  <c r="BX96" i="11"/>
  <c r="BY96" i="11"/>
  <c r="BZ96" i="11"/>
  <c r="BW97" i="11"/>
  <c r="BX97" i="11"/>
  <c r="BY97" i="11"/>
  <c r="BW98" i="11"/>
  <c r="BX98" i="11"/>
  <c r="BY98" i="11"/>
  <c r="BX99" i="11"/>
  <c r="BY99" i="11"/>
  <c r="BZ99" i="11"/>
  <c r="BW100" i="11"/>
  <c r="BX100" i="11"/>
  <c r="BY100" i="11"/>
  <c r="BX101" i="11"/>
  <c r="BY101" i="11"/>
  <c r="BZ101" i="11"/>
  <c r="BY94" i="11"/>
  <c r="BZ94" i="11"/>
  <c r="CA94" i="11"/>
  <c r="CB94" i="11"/>
  <c r="CC94" i="11"/>
  <c r="CD94" i="11"/>
  <c r="CE94" i="11"/>
  <c r="BW94" i="11"/>
  <c r="BS95" i="11"/>
  <c r="BT95" i="11"/>
  <c r="BU95" i="11"/>
  <c r="BV95" i="11"/>
  <c r="BS96" i="11"/>
  <c r="BT96" i="11"/>
  <c r="BU96" i="11"/>
  <c r="BV96" i="11"/>
  <c r="BS97" i="11"/>
  <c r="BT97" i="11"/>
  <c r="BU97" i="11"/>
  <c r="BV97" i="11"/>
  <c r="BT98" i="11"/>
  <c r="BU98" i="11"/>
  <c r="BV98" i="11"/>
  <c r="BS99" i="11"/>
  <c r="BU99" i="11"/>
  <c r="BV99" i="11"/>
  <c r="BS100" i="11"/>
  <c r="BT100" i="11"/>
  <c r="BV100" i="11"/>
  <c r="BS101" i="11"/>
  <c r="BT101" i="11"/>
  <c r="BU101" i="11"/>
  <c r="BQ95" i="11"/>
  <c r="BR95" i="11"/>
  <c r="BP96" i="11"/>
  <c r="BR96" i="11"/>
  <c r="BP97" i="11"/>
  <c r="BQ97" i="11"/>
  <c r="BP98" i="11"/>
  <c r="BQ98" i="11"/>
  <c r="BR98" i="11"/>
  <c r="BP99" i="11"/>
  <c r="BQ99" i="11"/>
  <c r="BR99" i="11"/>
  <c r="BP100" i="11"/>
  <c r="BQ100" i="11"/>
  <c r="BR100" i="11"/>
  <c r="BP101" i="11"/>
  <c r="BQ101" i="11"/>
  <c r="BR101" i="11"/>
  <c r="BP94" i="11"/>
  <c r="BQ94" i="11"/>
  <c r="BR94" i="11"/>
  <c r="BS94" i="11"/>
  <c r="BT94" i="11"/>
  <c r="BU94" i="11"/>
  <c r="BV94" i="11"/>
  <c r="AR95" i="11"/>
  <c r="BP95" i="11" s="1"/>
  <c r="BO95" i="11"/>
  <c r="BO96" i="11"/>
  <c r="BO97" i="11"/>
  <c r="BO98" i="11"/>
  <c r="BO99" i="11"/>
  <c r="BO100" i="11"/>
  <c r="BO101" i="11"/>
  <c r="BK95" i="11"/>
  <c r="BL95" i="11"/>
  <c r="BM95" i="11"/>
  <c r="BK96" i="11"/>
  <c r="BL96" i="11"/>
  <c r="BM96" i="11"/>
  <c r="BK97" i="11"/>
  <c r="BL97" i="11"/>
  <c r="BM97" i="11"/>
  <c r="BK98" i="11"/>
  <c r="BL98" i="11"/>
  <c r="BM98" i="11"/>
  <c r="BK99" i="11"/>
  <c r="BL99" i="11"/>
  <c r="BM99" i="11"/>
  <c r="BK100" i="11"/>
  <c r="BL100" i="11"/>
  <c r="BM100" i="11"/>
  <c r="BK101" i="11"/>
  <c r="BL101" i="11"/>
  <c r="BM101" i="11"/>
  <c r="BJ95" i="11"/>
  <c r="BJ96" i="11"/>
  <c r="BJ97" i="11"/>
  <c r="BJ98" i="11"/>
  <c r="BJ99" i="11"/>
  <c r="BJ100" i="11"/>
  <c r="BJ101" i="11"/>
  <c r="BI95" i="11"/>
  <c r="BI98" i="11"/>
  <c r="BI99" i="11"/>
  <c r="BI100" i="11"/>
  <c r="BI101" i="11"/>
  <c r="AY101" i="11"/>
  <c r="BW101" i="11" s="1"/>
  <c r="AY99" i="11"/>
  <c r="BW99" i="11" s="1"/>
  <c r="BB98" i="11"/>
  <c r="BZ98" i="11" s="1"/>
  <c r="BC96" i="11"/>
  <c r="CA96" i="11" s="1"/>
  <c r="BD95" i="11"/>
  <c r="CB95" i="11" s="1"/>
  <c r="AZ94" i="11"/>
  <c r="BX94" i="11" s="1"/>
  <c r="AX101" i="11"/>
  <c r="BV101" i="11" s="1"/>
  <c r="AW100" i="11"/>
  <c r="BU100" i="11" s="1"/>
  <c r="AV99" i="11"/>
  <c r="BT99" i="11" s="1"/>
  <c r="AU98" i="11"/>
  <c r="BS98" i="11" s="1"/>
  <c r="AT97" i="11"/>
  <c r="BR97" i="11" s="1"/>
  <c r="AS96" i="11"/>
  <c r="BQ96" i="11" s="1"/>
  <c r="CA42" i="11"/>
  <c r="CB42" i="11"/>
  <c r="CC42" i="11"/>
  <c r="CD42" i="11"/>
  <c r="CE42" i="11"/>
  <c r="CA43" i="11"/>
  <c r="CC43" i="11"/>
  <c r="CD43" i="11"/>
  <c r="CE43" i="11"/>
  <c r="CB44" i="11"/>
  <c r="CC44" i="11"/>
  <c r="CD44" i="11"/>
  <c r="CE44" i="11"/>
  <c r="CA45" i="11"/>
  <c r="CB45" i="11"/>
  <c r="CC45" i="11"/>
  <c r="CD45" i="11"/>
  <c r="CE45" i="11"/>
  <c r="CA46" i="11"/>
  <c r="CB46" i="11"/>
  <c r="CC46" i="11"/>
  <c r="CD46" i="11"/>
  <c r="CE46" i="11"/>
  <c r="CA47" i="11"/>
  <c r="CB47" i="11"/>
  <c r="CC47" i="11"/>
  <c r="CD47" i="11"/>
  <c r="CE47" i="11"/>
  <c r="CA48" i="11"/>
  <c r="CB48" i="11"/>
  <c r="CC48" i="11"/>
  <c r="CD48" i="11"/>
  <c r="CE48" i="11"/>
  <c r="CA49" i="11"/>
  <c r="CB49" i="11"/>
  <c r="CC49" i="11"/>
  <c r="CD49" i="11"/>
  <c r="CE49" i="11"/>
  <c r="CA56" i="11"/>
  <c r="CB56" i="11"/>
  <c r="CC56" i="11"/>
  <c r="CD56" i="11"/>
  <c r="CE56" i="11"/>
  <c r="CA57" i="11"/>
  <c r="CC57" i="11"/>
  <c r="CD57" i="11"/>
  <c r="CE57" i="11"/>
  <c r="CB58" i="11"/>
  <c r="CC58" i="11"/>
  <c r="CD58" i="11"/>
  <c r="CE58" i="11"/>
  <c r="CA59" i="11"/>
  <c r="CB59" i="11"/>
  <c r="CC59" i="11"/>
  <c r="CD59" i="11"/>
  <c r="CE59" i="11"/>
  <c r="CA60" i="11"/>
  <c r="CB60" i="11"/>
  <c r="CC60" i="11"/>
  <c r="CD60" i="11"/>
  <c r="CE60" i="11"/>
  <c r="CA61" i="11"/>
  <c r="CB61" i="11"/>
  <c r="CC61" i="11"/>
  <c r="CD61" i="11"/>
  <c r="CE61" i="11"/>
  <c r="CA62" i="11"/>
  <c r="CB62" i="11"/>
  <c r="CC62" i="11"/>
  <c r="CD62" i="11"/>
  <c r="CE62" i="11"/>
  <c r="CA63" i="11"/>
  <c r="CB63" i="11"/>
  <c r="CC63" i="11"/>
  <c r="CD63" i="11"/>
  <c r="CE63" i="11"/>
  <c r="BU42" i="11"/>
  <c r="BV42" i="11"/>
  <c r="BW42" i="11"/>
  <c r="BY42" i="11"/>
  <c r="BZ42" i="11"/>
  <c r="BU43" i="11"/>
  <c r="BV43" i="11"/>
  <c r="BW43" i="11"/>
  <c r="BX43" i="11"/>
  <c r="BY43" i="11"/>
  <c r="BZ43" i="11"/>
  <c r="BU44" i="11"/>
  <c r="BV44" i="11"/>
  <c r="BW44" i="11"/>
  <c r="BX44" i="11"/>
  <c r="BY44" i="11"/>
  <c r="BZ44" i="11"/>
  <c r="BU45" i="11"/>
  <c r="BV45" i="11"/>
  <c r="BW45" i="11"/>
  <c r="BX45" i="11"/>
  <c r="BY45" i="11"/>
  <c r="BU46" i="11"/>
  <c r="BV46" i="11"/>
  <c r="BW46" i="11"/>
  <c r="BX46" i="11"/>
  <c r="BY46" i="11"/>
  <c r="BU47" i="11"/>
  <c r="BV47" i="11"/>
  <c r="BX47" i="11"/>
  <c r="BY47" i="11"/>
  <c r="BZ47" i="11"/>
  <c r="BV48" i="11"/>
  <c r="BW48" i="11"/>
  <c r="BX48" i="11"/>
  <c r="BY48" i="11"/>
  <c r="BU49" i="11"/>
  <c r="BX49" i="11"/>
  <c r="BY49" i="11"/>
  <c r="BZ49" i="11"/>
  <c r="BU56" i="11"/>
  <c r="BV56" i="11"/>
  <c r="BW56" i="11"/>
  <c r="BY56" i="11"/>
  <c r="BZ56" i="11"/>
  <c r="BU57" i="11"/>
  <c r="BV57" i="11"/>
  <c r="BW57" i="11"/>
  <c r="BX57" i="11"/>
  <c r="BY57" i="11"/>
  <c r="BZ57" i="11"/>
  <c r="BU58" i="11"/>
  <c r="BV58" i="11"/>
  <c r="BW58" i="11"/>
  <c r="BX58" i="11"/>
  <c r="BY58" i="11"/>
  <c r="BZ58" i="11"/>
  <c r="BU59" i="11"/>
  <c r="BV59" i="11"/>
  <c r="BW59" i="11"/>
  <c r="BX59" i="11"/>
  <c r="BY59" i="11"/>
  <c r="BU60" i="11"/>
  <c r="BV60" i="11"/>
  <c r="BW60" i="11"/>
  <c r="BX60" i="11"/>
  <c r="BY60" i="11"/>
  <c r="BU61" i="11"/>
  <c r="BV61" i="11"/>
  <c r="BX61" i="11"/>
  <c r="BY61" i="11"/>
  <c r="BZ61" i="11"/>
  <c r="BV62" i="11"/>
  <c r="BW62" i="11"/>
  <c r="BX62" i="11"/>
  <c r="BY62" i="11"/>
  <c r="BU63" i="11"/>
  <c r="BX63" i="11"/>
  <c r="BY63" i="11"/>
  <c r="BZ63" i="11"/>
  <c r="BP42" i="11"/>
  <c r="BQ42" i="11"/>
  <c r="BR42" i="11"/>
  <c r="BS42" i="11"/>
  <c r="BT42" i="11"/>
  <c r="BO43" i="11"/>
  <c r="BQ43" i="11"/>
  <c r="BR43" i="11"/>
  <c r="BS43" i="11"/>
  <c r="BT43" i="11"/>
  <c r="BO44" i="11"/>
  <c r="BP44" i="11"/>
  <c r="BR44" i="11"/>
  <c r="BS44" i="11"/>
  <c r="BT44" i="11"/>
  <c r="BO45" i="11"/>
  <c r="BP45" i="11"/>
  <c r="BQ45" i="11"/>
  <c r="BS45" i="11"/>
  <c r="BT45" i="11"/>
  <c r="BO46" i="11"/>
  <c r="BP46" i="11"/>
  <c r="BQ46" i="11"/>
  <c r="BR46" i="11"/>
  <c r="BT46" i="11"/>
  <c r="BO47" i="11"/>
  <c r="BP47" i="11"/>
  <c r="BQ47" i="11"/>
  <c r="BR47" i="11"/>
  <c r="BS47" i="11"/>
  <c r="BO48" i="11"/>
  <c r="BP48" i="11"/>
  <c r="BQ48" i="11"/>
  <c r="BR48" i="11"/>
  <c r="BS48" i="11"/>
  <c r="BT48" i="11"/>
  <c r="BO49" i="11"/>
  <c r="BP49" i="11"/>
  <c r="BQ49" i="11"/>
  <c r="BR49" i="11"/>
  <c r="BS49" i="11"/>
  <c r="BT49" i="11"/>
  <c r="BP56" i="11"/>
  <c r="BQ56" i="11"/>
  <c r="BR56" i="11"/>
  <c r="BS56" i="11"/>
  <c r="BT56" i="11"/>
  <c r="BO57" i="11"/>
  <c r="BQ57" i="11"/>
  <c r="BR57" i="11"/>
  <c r="BS57" i="11"/>
  <c r="BT57" i="11"/>
  <c r="BO58" i="11"/>
  <c r="BP58" i="11"/>
  <c r="BR58" i="11"/>
  <c r="BS58" i="11"/>
  <c r="BT58" i="11"/>
  <c r="BO59" i="11"/>
  <c r="BP59" i="11"/>
  <c r="BQ59" i="11"/>
  <c r="BS59" i="11"/>
  <c r="BT59" i="11"/>
  <c r="BO60" i="11"/>
  <c r="BP60" i="11"/>
  <c r="BQ60" i="11"/>
  <c r="BR60" i="11"/>
  <c r="BT60" i="11"/>
  <c r="BO61" i="11"/>
  <c r="BP61" i="11"/>
  <c r="BQ61" i="11"/>
  <c r="BR61" i="11"/>
  <c r="BS61" i="11"/>
  <c r="BO62" i="11"/>
  <c r="BP62" i="11"/>
  <c r="BQ62" i="11"/>
  <c r="BR62" i="11"/>
  <c r="BS62" i="11"/>
  <c r="BT62" i="11"/>
  <c r="BO63" i="11"/>
  <c r="BP63" i="11"/>
  <c r="BQ63" i="11"/>
  <c r="BR63" i="11"/>
  <c r="BS63" i="11"/>
  <c r="BT63" i="11"/>
  <c r="BI56" i="11"/>
  <c r="BJ56" i="11"/>
  <c r="BK56" i="11"/>
  <c r="BL56" i="11"/>
  <c r="BM56" i="11"/>
  <c r="BI57" i="11"/>
  <c r="BJ57" i="11"/>
  <c r="BK57" i="11"/>
  <c r="BL57" i="11"/>
  <c r="BM57" i="11"/>
  <c r="BI58" i="11"/>
  <c r="BJ58" i="11"/>
  <c r="BK58" i="11"/>
  <c r="BL58" i="11"/>
  <c r="BM58" i="11"/>
  <c r="BI59" i="11"/>
  <c r="BJ59" i="11"/>
  <c r="BK59" i="11"/>
  <c r="BL59" i="11"/>
  <c r="BM59" i="11"/>
  <c r="BI60" i="11"/>
  <c r="BJ60" i="11"/>
  <c r="BK60" i="11"/>
  <c r="BL60" i="11"/>
  <c r="BM60" i="11"/>
  <c r="BI61" i="11"/>
  <c r="BJ61" i="11"/>
  <c r="BK61" i="11"/>
  <c r="BL61" i="11"/>
  <c r="BM61" i="11"/>
  <c r="BI62" i="11"/>
  <c r="BJ62" i="11"/>
  <c r="BK62" i="11"/>
  <c r="BL62" i="11"/>
  <c r="BM62" i="11"/>
  <c r="BI63" i="11"/>
  <c r="BJ63" i="11"/>
  <c r="BK63" i="11"/>
  <c r="BL63" i="11"/>
  <c r="BM63" i="11"/>
  <c r="BM42" i="11"/>
  <c r="BM43" i="11"/>
  <c r="BM44" i="11"/>
  <c r="BM45" i="11"/>
  <c r="BM46" i="11"/>
  <c r="BM47" i="11"/>
  <c r="BM48" i="11"/>
  <c r="BM49" i="11"/>
  <c r="BL45" i="11"/>
  <c r="BL46" i="11"/>
  <c r="BL47" i="11"/>
  <c r="BL48" i="11"/>
  <c r="BL49" i="11"/>
  <c r="BK45" i="11"/>
  <c r="BK46" i="11"/>
  <c r="BK47" i="11"/>
  <c r="BK48" i="11"/>
  <c r="BK49" i="11"/>
  <c r="BJ43" i="11"/>
  <c r="BJ44" i="11"/>
  <c r="BJ45" i="11"/>
  <c r="BJ46" i="11"/>
  <c r="BJ47" i="11"/>
  <c r="BJ48" i="11"/>
  <c r="BJ49" i="11"/>
  <c r="BI43" i="11"/>
  <c r="BI44" i="11"/>
  <c r="BI45" i="11"/>
  <c r="BI46" i="11"/>
  <c r="BI47" i="11"/>
  <c r="BI48" i="11"/>
  <c r="BI49" i="11"/>
  <c r="AY63" i="11"/>
  <c r="BW63" i="11" s="1"/>
  <c r="BB62" i="11"/>
  <c r="BZ62" i="11" s="1"/>
  <c r="AY61" i="11"/>
  <c r="BW61" i="11" s="1"/>
  <c r="BB60" i="11"/>
  <c r="BZ60" i="11" s="1"/>
  <c r="BB59" i="11"/>
  <c r="BZ59" i="11" s="1"/>
  <c r="BC58" i="11"/>
  <c r="CA58" i="11" s="1"/>
  <c r="BD57" i="11"/>
  <c r="CB57" i="11" s="1"/>
  <c r="AZ56" i="11"/>
  <c r="BX56" i="11" s="1"/>
  <c r="AY49" i="11"/>
  <c r="BW49" i="11" s="1"/>
  <c r="BB48" i="11"/>
  <c r="BZ48" i="11" s="1"/>
  <c r="AY47" i="11"/>
  <c r="BW47" i="11" s="1"/>
  <c r="BB46" i="11"/>
  <c r="BZ46" i="11" s="1"/>
  <c r="BB45" i="11"/>
  <c r="BZ45" i="11" s="1"/>
  <c r="BC44" i="11"/>
  <c r="CA44" i="11" s="1"/>
  <c r="BD43" i="11"/>
  <c r="CB43" i="11" s="1"/>
  <c r="AZ42" i="11"/>
  <c r="BX42" i="11" s="1"/>
  <c r="AX63" i="11"/>
  <c r="BV63" i="11" s="1"/>
  <c r="AW62" i="11"/>
  <c r="BU62" i="11" s="1"/>
  <c r="AV61" i="11"/>
  <c r="BT61" i="11" s="1"/>
  <c r="AU60" i="11"/>
  <c r="BS60" i="11" s="1"/>
  <c r="AT59" i="11"/>
  <c r="BR59" i="11" s="1"/>
  <c r="AS58" i="11"/>
  <c r="BQ58" i="11" s="1"/>
  <c r="AR57" i="11"/>
  <c r="BP57" i="11" s="1"/>
  <c r="AQ56" i="11"/>
  <c r="BO56" i="11" s="1"/>
  <c r="AX49" i="11"/>
  <c r="BV49" i="11" s="1"/>
  <c r="AW48" i="11"/>
  <c r="BU48" i="11" s="1"/>
  <c r="AV47" i="11"/>
  <c r="BT47" i="11" s="1"/>
  <c r="AU46" i="11"/>
  <c r="BS46" i="11" s="1"/>
  <c r="AT45" i="11"/>
  <c r="BR45" i="11" s="1"/>
  <c r="AS44" i="11"/>
  <c r="BQ44" i="11" s="1"/>
  <c r="AR43" i="11"/>
  <c r="BP43" i="11" s="1"/>
  <c r="AQ42" i="11"/>
  <c r="BO42" i="11" s="1"/>
  <c r="BL44" i="11"/>
  <c r="BK44" i="11"/>
  <c r="BL43" i="11"/>
  <c r="BK43" i="11"/>
  <c r="BL42" i="11"/>
  <c r="BK42" i="11"/>
  <c r="BJ42" i="11"/>
  <c r="BI42" i="11"/>
  <c r="CD29" i="11"/>
  <c r="CE29" i="11"/>
  <c r="CD30" i="11"/>
  <c r="CE30" i="11"/>
  <c r="CD31" i="11"/>
  <c r="CE31" i="11"/>
  <c r="CD32" i="11"/>
  <c r="CE32" i="11"/>
  <c r="CD33" i="11"/>
  <c r="CE33" i="11"/>
  <c r="CD34" i="11"/>
  <c r="CE34" i="11"/>
  <c r="CD35" i="11"/>
  <c r="CE35" i="11"/>
  <c r="CA29" i="11"/>
  <c r="CC29" i="11"/>
  <c r="CB30" i="11"/>
  <c r="CC30" i="11"/>
  <c r="CA31" i="11"/>
  <c r="CB31" i="11"/>
  <c r="CC31" i="11"/>
  <c r="CA32" i="11"/>
  <c r="CB32" i="11"/>
  <c r="CC32" i="11"/>
  <c r="CA33" i="11"/>
  <c r="CB33" i="11"/>
  <c r="CC33" i="11"/>
  <c r="CA34" i="11"/>
  <c r="CB34" i="11"/>
  <c r="CC34" i="11"/>
  <c r="CA35" i="11"/>
  <c r="CB35" i="11"/>
  <c r="CC35" i="11"/>
  <c r="BX29" i="11"/>
  <c r="BY29" i="11"/>
  <c r="BZ29" i="11"/>
  <c r="BX30" i="11"/>
  <c r="BY30" i="11"/>
  <c r="BZ30" i="11"/>
  <c r="BX31" i="11"/>
  <c r="BY31" i="11"/>
  <c r="BX32" i="11"/>
  <c r="BY32" i="11"/>
  <c r="BX33" i="11"/>
  <c r="BY33" i="11"/>
  <c r="BZ33" i="11"/>
  <c r="BX34" i="11"/>
  <c r="BY34" i="11"/>
  <c r="BX35" i="11"/>
  <c r="BY35" i="11"/>
  <c r="BZ35" i="11"/>
  <c r="BW29" i="11"/>
  <c r="BW30" i="11"/>
  <c r="BW31" i="11"/>
  <c r="BW32" i="11"/>
  <c r="BW34" i="11"/>
  <c r="BU29" i="11"/>
  <c r="BV29" i="11"/>
  <c r="BU30" i="11"/>
  <c r="BV30" i="11"/>
  <c r="BU31" i="11"/>
  <c r="BV31" i="11"/>
  <c r="BU32" i="11"/>
  <c r="BV32" i="11"/>
  <c r="BU33" i="11"/>
  <c r="BV33" i="11"/>
  <c r="BV34" i="11"/>
  <c r="BU35" i="11"/>
  <c r="BQ29" i="11"/>
  <c r="BR29" i="11"/>
  <c r="BS29" i="11"/>
  <c r="BT29" i="11"/>
  <c r="BP30" i="11"/>
  <c r="BR30" i="11"/>
  <c r="BS30" i="11"/>
  <c r="BT30" i="11"/>
  <c r="BP31" i="11"/>
  <c r="BQ31" i="11"/>
  <c r="BS31" i="11"/>
  <c r="BT31" i="11"/>
  <c r="BP32" i="11"/>
  <c r="BQ32" i="11"/>
  <c r="BR32" i="11"/>
  <c r="BT32" i="11"/>
  <c r="BP33" i="11"/>
  <c r="BQ33" i="11"/>
  <c r="BR33" i="11"/>
  <c r="BS33" i="11"/>
  <c r="BP34" i="11"/>
  <c r="BQ34" i="11"/>
  <c r="BR34" i="11"/>
  <c r="BS34" i="11"/>
  <c r="BT34" i="11"/>
  <c r="BP35" i="11"/>
  <c r="BQ35" i="11"/>
  <c r="BR35" i="11"/>
  <c r="BS35" i="11"/>
  <c r="BT35" i="11"/>
  <c r="BY28" i="11"/>
  <c r="BZ28" i="11"/>
  <c r="CA28" i="11"/>
  <c r="CB28" i="11"/>
  <c r="CC28" i="11"/>
  <c r="CD28" i="11"/>
  <c r="CE28" i="11"/>
  <c r="BW28" i="11"/>
  <c r="BP28" i="11"/>
  <c r="BQ28" i="11"/>
  <c r="BR28" i="11"/>
  <c r="BS28" i="11"/>
  <c r="BT28" i="11"/>
  <c r="BU28" i="11"/>
  <c r="BV28" i="11"/>
  <c r="BJ29" i="11"/>
  <c r="BK29" i="11"/>
  <c r="BL29" i="11"/>
  <c r="BM29" i="11"/>
  <c r="BJ30" i="11"/>
  <c r="BK30" i="11"/>
  <c r="BL30" i="11"/>
  <c r="BM30" i="11"/>
  <c r="BJ31" i="11"/>
  <c r="BK31" i="11"/>
  <c r="BL31" i="11"/>
  <c r="BM31" i="11"/>
  <c r="BJ32" i="11"/>
  <c r="BK32" i="11"/>
  <c r="BL32" i="11"/>
  <c r="BM32" i="11"/>
  <c r="BJ33" i="11"/>
  <c r="BK33" i="11"/>
  <c r="BL33" i="11"/>
  <c r="BM33" i="11"/>
  <c r="BJ34" i="11"/>
  <c r="BK34" i="11"/>
  <c r="BL34" i="11"/>
  <c r="BM34" i="11"/>
  <c r="BJ35" i="11"/>
  <c r="BK35" i="11"/>
  <c r="BL35" i="11"/>
  <c r="BM35" i="11"/>
  <c r="BI29" i="11"/>
  <c r="BI30" i="11"/>
  <c r="BI31" i="11"/>
  <c r="BI32" i="11"/>
  <c r="BI33" i="11"/>
  <c r="BI34" i="11"/>
  <c r="BI35" i="11"/>
  <c r="BM28" i="11"/>
  <c r="BD29" i="11"/>
  <c r="CB29" i="11" s="1"/>
  <c r="AZ28" i="11"/>
  <c r="BC30" i="11"/>
  <c r="CA30" i="11" s="1"/>
  <c r="BO29" i="11"/>
  <c r="BO30" i="11"/>
  <c r="BO31" i="11"/>
  <c r="BO32" i="11"/>
  <c r="BO33" i="11"/>
  <c r="BO34" i="11"/>
  <c r="BO35" i="11"/>
  <c r="AY35" i="11"/>
  <c r="BW35" i="11" s="1"/>
  <c r="BZ34" i="11"/>
  <c r="BZ32" i="11"/>
  <c r="AY33" i="11"/>
  <c r="BW33" i="11" s="1"/>
  <c r="BB31" i="11"/>
  <c r="BZ31" i="11" s="1"/>
  <c r="AX35" i="11"/>
  <c r="BV35" i="11" s="1"/>
  <c r="AW34" i="11"/>
  <c r="BU34" i="11" s="1"/>
  <c r="AV33" i="11"/>
  <c r="BT33" i="11" s="1"/>
  <c r="AU32" i="11"/>
  <c r="BS32" i="11" s="1"/>
  <c r="AT31" i="11"/>
  <c r="BR31" i="11" s="1"/>
  <c r="AS30" i="11"/>
  <c r="BQ30" i="11" s="1"/>
  <c r="AR29" i="11"/>
  <c r="BP29" i="11" s="1"/>
  <c r="AQ28" i="11"/>
  <c r="BO28" i="11" s="1"/>
  <c r="BI35" i="9"/>
  <c r="BJ35" i="9"/>
  <c r="BK35" i="9"/>
  <c r="BL35" i="9"/>
  <c r="BM35" i="9"/>
  <c r="BI36" i="9"/>
  <c r="BK36" i="9"/>
  <c r="BL36" i="9"/>
  <c r="BM36" i="9"/>
  <c r="BJ37" i="9"/>
  <c r="BK37" i="9"/>
  <c r="BL37" i="9"/>
  <c r="BM37" i="9"/>
  <c r="BI38" i="9"/>
  <c r="BJ38" i="9"/>
  <c r="BK38" i="9"/>
  <c r="BL38" i="9"/>
  <c r="BM38" i="9"/>
  <c r="BI39" i="9"/>
  <c r="BJ39" i="9"/>
  <c r="BK39" i="9"/>
  <c r="BL39" i="9"/>
  <c r="BM39" i="9"/>
  <c r="BI40" i="9"/>
  <c r="BJ40" i="9"/>
  <c r="BK40" i="9"/>
  <c r="BL40" i="9"/>
  <c r="BM40" i="9"/>
  <c r="BI41" i="9"/>
  <c r="BJ41" i="9"/>
  <c r="BK41" i="9"/>
  <c r="BL41" i="9"/>
  <c r="BM41" i="9"/>
  <c r="BI42" i="9"/>
  <c r="BJ42" i="9"/>
  <c r="BK42" i="9"/>
  <c r="BL42" i="9"/>
  <c r="BM42" i="9"/>
  <c r="BI43" i="9"/>
  <c r="BJ43" i="9"/>
  <c r="BK43" i="9"/>
  <c r="BL43" i="9"/>
  <c r="BM43" i="9"/>
  <c r="BI44" i="9"/>
  <c r="BK44" i="9"/>
  <c r="BL44" i="9"/>
  <c r="BM44" i="9"/>
  <c r="BJ45" i="9"/>
  <c r="BK45" i="9"/>
  <c r="BL45" i="9"/>
  <c r="BM45" i="9"/>
  <c r="BI46" i="9"/>
  <c r="BJ46" i="9"/>
  <c r="BK46" i="9"/>
  <c r="BL46" i="9"/>
  <c r="BM46" i="9"/>
  <c r="BI47" i="9"/>
  <c r="BJ47" i="9"/>
  <c r="BK47" i="9"/>
  <c r="BL47" i="9"/>
  <c r="BM47" i="9"/>
  <c r="BI48" i="9"/>
  <c r="BJ48" i="9"/>
  <c r="BK48" i="9"/>
  <c r="BL48" i="9"/>
  <c r="BM48" i="9"/>
  <c r="BI49" i="9"/>
  <c r="BJ49" i="9"/>
  <c r="BK49" i="9"/>
  <c r="BL49" i="9"/>
  <c r="BM49" i="9"/>
  <c r="BI50" i="9"/>
  <c r="BJ50" i="9"/>
  <c r="BK50" i="9"/>
  <c r="BL50" i="9"/>
  <c r="BM50" i="9"/>
  <c r="BH35" i="9"/>
  <c r="BH36" i="9"/>
  <c r="BH37" i="9"/>
  <c r="BH40" i="9"/>
  <c r="BH42" i="9"/>
  <c r="BH43" i="9"/>
  <c r="BH44" i="9"/>
  <c r="BH45" i="9"/>
  <c r="BH48" i="9"/>
  <c r="BH50" i="9"/>
  <c r="BG35" i="9"/>
  <c r="BG36" i="9"/>
  <c r="BG37" i="9"/>
  <c r="BG38" i="9"/>
  <c r="BG39" i="9"/>
  <c r="BG40" i="9"/>
  <c r="BG41" i="9"/>
  <c r="BG42" i="9"/>
  <c r="BG43" i="9"/>
  <c r="BG44" i="9"/>
  <c r="BG45" i="9"/>
  <c r="BG46" i="9"/>
  <c r="BG47" i="9"/>
  <c r="BG48" i="9"/>
  <c r="BG49" i="9"/>
  <c r="BG50" i="9"/>
  <c r="BF36" i="9"/>
  <c r="BF37" i="9"/>
  <c r="BF38" i="9"/>
  <c r="BF39" i="9"/>
  <c r="BF40" i="9"/>
  <c r="BF41" i="9"/>
  <c r="BF42" i="9"/>
  <c r="BF44" i="9"/>
  <c r="BF45" i="9"/>
  <c r="BF46" i="9"/>
  <c r="BF47" i="9"/>
  <c r="BF48" i="9"/>
  <c r="BF49" i="9"/>
  <c r="BF50" i="9"/>
  <c r="BE35" i="9"/>
  <c r="BE36" i="9"/>
  <c r="BE37" i="9"/>
  <c r="BE38" i="9"/>
  <c r="BE39" i="9"/>
  <c r="BE41" i="9"/>
  <c r="BE43" i="9"/>
  <c r="BE44" i="9"/>
  <c r="BE45" i="9"/>
  <c r="BE46" i="9"/>
  <c r="BE47" i="9"/>
  <c r="BE49" i="9"/>
  <c r="BA36" i="9"/>
  <c r="BB36" i="9"/>
  <c r="BC36" i="9"/>
  <c r="BD36" i="9"/>
  <c r="BA37" i="9"/>
  <c r="BB37" i="9"/>
  <c r="BC37" i="9"/>
  <c r="BD37" i="9"/>
  <c r="BA38" i="9"/>
  <c r="BB38" i="9"/>
  <c r="BC38" i="9"/>
  <c r="BD38" i="9"/>
  <c r="BB39" i="9"/>
  <c r="BC39" i="9"/>
  <c r="BD39" i="9"/>
  <c r="BA40" i="9"/>
  <c r="BC40" i="9"/>
  <c r="BD40" i="9"/>
  <c r="BA41" i="9"/>
  <c r="BB41" i="9"/>
  <c r="BD41" i="9"/>
  <c r="BA42" i="9"/>
  <c r="BB42" i="9"/>
  <c r="BC42" i="9"/>
  <c r="BA43" i="9"/>
  <c r="BB43" i="9"/>
  <c r="BC43" i="9"/>
  <c r="BD43" i="9"/>
  <c r="BA44" i="9"/>
  <c r="BB44" i="9"/>
  <c r="BC44" i="9"/>
  <c r="BD44" i="9"/>
  <c r="BA45" i="9"/>
  <c r="BB45" i="9"/>
  <c r="BC45" i="9"/>
  <c r="BD45" i="9"/>
  <c r="BA46" i="9"/>
  <c r="BB46" i="9"/>
  <c r="BC46" i="9"/>
  <c r="BD46" i="9"/>
  <c r="BB47" i="9"/>
  <c r="BC47" i="9"/>
  <c r="BD47" i="9"/>
  <c r="BA48" i="9"/>
  <c r="BC48" i="9"/>
  <c r="BD48" i="9"/>
  <c r="BA49" i="9"/>
  <c r="BB49" i="9"/>
  <c r="BD49" i="9"/>
  <c r="BA50" i="9"/>
  <c r="BB50" i="9"/>
  <c r="BC50" i="9"/>
  <c r="AW36" i="9"/>
  <c r="AY36" i="9"/>
  <c r="AZ36" i="9"/>
  <c r="AW37" i="9"/>
  <c r="AX37" i="9"/>
  <c r="AZ37" i="9"/>
  <c r="AW38" i="9"/>
  <c r="AX38" i="9"/>
  <c r="AY38" i="9"/>
  <c r="AW39" i="9"/>
  <c r="AX39" i="9"/>
  <c r="AY39" i="9"/>
  <c r="AZ39" i="9"/>
  <c r="AW40" i="9"/>
  <c r="AX40" i="9"/>
  <c r="AY40" i="9"/>
  <c r="AZ40" i="9"/>
  <c r="AW41" i="9"/>
  <c r="AX41" i="9"/>
  <c r="AY41" i="9"/>
  <c r="AZ41" i="9"/>
  <c r="AW42" i="9"/>
  <c r="AX42" i="9"/>
  <c r="AY42" i="9"/>
  <c r="AZ42" i="9"/>
  <c r="AX43" i="9"/>
  <c r="AY43" i="9"/>
  <c r="AZ43" i="9"/>
  <c r="AW44" i="9"/>
  <c r="AY44" i="9"/>
  <c r="AZ44" i="9"/>
  <c r="AW45" i="9"/>
  <c r="AX45" i="9"/>
  <c r="AZ45" i="9"/>
  <c r="AW46" i="9"/>
  <c r="AX46" i="9"/>
  <c r="AY46" i="9"/>
  <c r="AW47" i="9"/>
  <c r="AX47" i="9"/>
  <c r="AY47" i="9"/>
  <c r="AZ47" i="9"/>
  <c r="AW48" i="9"/>
  <c r="AX48" i="9"/>
  <c r="AY48" i="9"/>
  <c r="AZ48" i="9"/>
  <c r="AW49" i="9"/>
  <c r="AX49" i="9"/>
  <c r="AY49" i="9"/>
  <c r="AZ49" i="9"/>
  <c r="AW50" i="9"/>
  <c r="AX50" i="9"/>
  <c r="AY50" i="9"/>
  <c r="AZ50" i="9"/>
  <c r="AK50" i="9"/>
  <c r="BE50" i="9" s="1"/>
  <c r="AN49" i="9"/>
  <c r="BH49" i="9" s="1"/>
  <c r="AK48" i="9"/>
  <c r="BE48" i="9" s="1"/>
  <c r="AN47" i="9"/>
  <c r="BH47" i="9" s="1"/>
  <c r="AN46" i="9"/>
  <c r="BH46" i="9" s="1"/>
  <c r="AO45" i="9"/>
  <c r="BI45" i="9" s="1"/>
  <c r="AP44" i="9"/>
  <c r="BJ44" i="9" s="1"/>
  <c r="AL43" i="9"/>
  <c r="BF43" i="9" s="1"/>
  <c r="AK42" i="9"/>
  <c r="BE42" i="9" s="1"/>
  <c r="AN41" i="9"/>
  <c r="BH41" i="9" s="1"/>
  <c r="AK40" i="9"/>
  <c r="BE40" i="9" s="1"/>
  <c r="AN39" i="9"/>
  <c r="BH39" i="9" s="1"/>
  <c r="AN38" i="9"/>
  <c r="BH38" i="9" s="1"/>
  <c r="AO37" i="9"/>
  <c r="BI37" i="9" s="1"/>
  <c r="AP36" i="9"/>
  <c r="BJ36" i="9" s="1"/>
  <c r="AL35" i="9"/>
  <c r="BF35" i="9" s="1"/>
  <c r="BD35" i="9"/>
  <c r="BC35" i="9"/>
  <c r="BB35" i="9"/>
  <c r="BA35" i="9"/>
  <c r="AZ35" i="9"/>
  <c r="AY35" i="9"/>
  <c r="AX35" i="9"/>
  <c r="AU44" i="9"/>
  <c r="AU45" i="9"/>
  <c r="AU46" i="9"/>
  <c r="AU47" i="9"/>
  <c r="AU48" i="9"/>
  <c r="AU49" i="9"/>
  <c r="AU50" i="9"/>
  <c r="AU36" i="9"/>
  <c r="AU37" i="9"/>
  <c r="AU38" i="9"/>
  <c r="AU39" i="9"/>
  <c r="AU40" i="9"/>
  <c r="AU41" i="9"/>
  <c r="AU42" i="9"/>
  <c r="AU35" i="9"/>
  <c r="AJ50" i="9"/>
  <c r="BD50" i="9" s="1"/>
  <c r="AI49" i="9"/>
  <c r="BC49" i="9" s="1"/>
  <c r="AH48" i="9"/>
  <c r="BB48" i="9" s="1"/>
  <c r="AG47" i="9"/>
  <c r="BA47" i="9" s="1"/>
  <c r="AF46" i="9"/>
  <c r="AZ46" i="9" s="1"/>
  <c r="AE45" i="9"/>
  <c r="AY45" i="9" s="1"/>
  <c r="AD44" i="9"/>
  <c r="AX44" i="9" s="1"/>
  <c r="AC43" i="9"/>
  <c r="AW43" i="9" s="1"/>
  <c r="AJ42" i="9"/>
  <c r="BD42" i="9" s="1"/>
  <c r="AI41" i="9"/>
  <c r="BC41" i="9" s="1"/>
  <c r="AH40" i="9"/>
  <c r="BB40" i="9" s="1"/>
  <c r="AG39" i="9"/>
  <c r="BA39" i="9" s="1"/>
  <c r="AF38" i="9"/>
  <c r="AZ38" i="9" s="1"/>
  <c r="AE37" i="9"/>
  <c r="AY37" i="9" s="1"/>
  <c r="AD36" i="9"/>
  <c r="AX36" i="9" s="1"/>
  <c r="AC35" i="9"/>
  <c r="AW35" i="9" s="1"/>
  <c r="BI28" i="9"/>
  <c r="BK28" i="9"/>
  <c r="BL28" i="9"/>
  <c r="BM28" i="9"/>
  <c r="BJ29" i="9"/>
  <c r="BK29" i="9"/>
  <c r="BL29" i="9"/>
  <c r="BM29" i="9"/>
  <c r="BI30" i="9"/>
  <c r="BJ30" i="9"/>
  <c r="BK30" i="9"/>
  <c r="BL30" i="9"/>
  <c r="BM30" i="9"/>
  <c r="BI31" i="9"/>
  <c r="BJ31" i="9"/>
  <c r="BK31" i="9"/>
  <c r="BL31" i="9"/>
  <c r="BM31" i="9"/>
  <c r="BI32" i="9"/>
  <c r="BJ32" i="9"/>
  <c r="BK32" i="9"/>
  <c r="BL32" i="9"/>
  <c r="BM32" i="9"/>
  <c r="BI33" i="9"/>
  <c r="BJ33" i="9"/>
  <c r="BK33" i="9"/>
  <c r="BL33" i="9"/>
  <c r="BM33" i="9"/>
  <c r="BI34" i="9"/>
  <c r="BJ34" i="9"/>
  <c r="BK34" i="9"/>
  <c r="BL34" i="9"/>
  <c r="BM34" i="9"/>
  <c r="BE28" i="9"/>
  <c r="BF28" i="9"/>
  <c r="BG28" i="9"/>
  <c r="BH28" i="9"/>
  <c r="BE29" i="9"/>
  <c r="BF29" i="9"/>
  <c r="BG29" i="9"/>
  <c r="BH29" i="9"/>
  <c r="BE30" i="9"/>
  <c r="BF30" i="9"/>
  <c r="BG30" i="9"/>
  <c r="BE31" i="9"/>
  <c r="BF31" i="9"/>
  <c r="BG31" i="9"/>
  <c r="BF32" i="9"/>
  <c r="BG32" i="9"/>
  <c r="BH32" i="9"/>
  <c r="BE33" i="9"/>
  <c r="BF33" i="9"/>
  <c r="BG33" i="9"/>
  <c r="BE34" i="9"/>
  <c r="BF34" i="9"/>
  <c r="BG34" i="9"/>
  <c r="BH34" i="9"/>
  <c r="BD28" i="9"/>
  <c r="BD29" i="9"/>
  <c r="BD30" i="9"/>
  <c r="BD31" i="9"/>
  <c r="BD32" i="9"/>
  <c r="BD33" i="9"/>
  <c r="BC28" i="9"/>
  <c r="BC29" i="9"/>
  <c r="BC30" i="9"/>
  <c r="BC31" i="9"/>
  <c r="BC32" i="9"/>
  <c r="BC34" i="9"/>
  <c r="BB28" i="9"/>
  <c r="BB29" i="9"/>
  <c r="BB30" i="9"/>
  <c r="BB31" i="9"/>
  <c r="BB33" i="9"/>
  <c r="BB34" i="9"/>
  <c r="BA28" i="9"/>
  <c r="BA29" i="9"/>
  <c r="BA30" i="9"/>
  <c r="BA32" i="9"/>
  <c r="BA33" i="9"/>
  <c r="BA34" i="9"/>
  <c r="AZ28" i="9"/>
  <c r="AZ29" i="9"/>
  <c r="AZ31" i="9"/>
  <c r="AZ32" i="9"/>
  <c r="AZ33" i="9"/>
  <c r="AZ34" i="9"/>
  <c r="AY28" i="9"/>
  <c r="AY30" i="9"/>
  <c r="AY31" i="9"/>
  <c r="AY32" i="9"/>
  <c r="AY33" i="9"/>
  <c r="AY34" i="9"/>
  <c r="AX29" i="9"/>
  <c r="AX30" i="9"/>
  <c r="AX31" i="9"/>
  <c r="AX32" i="9"/>
  <c r="AX33" i="9"/>
  <c r="AX34" i="9"/>
  <c r="BG27" i="9"/>
  <c r="BH27" i="9"/>
  <c r="BI27" i="9"/>
  <c r="BJ27" i="9"/>
  <c r="BK27" i="9"/>
  <c r="BL27" i="9"/>
  <c r="BM27" i="9"/>
  <c r="BE27" i="9"/>
  <c r="AX27" i="9"/>
  <c r="AY27" i="9"/>
  <c r="AZ27" i="9"/>
  <c r="BA27" i="9"/>
  <c r="BB27" i="9"/>
  <c r="BC27" i="9"/>
  <c r="BD27" i="9"/>
  <c r="AW28" i="9"/>
  <c r="AW29" i="9"/>
  <c r="AW30" i="9"/>
  <c r="AW31" i="9"/>
  <c r="AW32" i="9"/>
  <c r="AW33" i="9"/>
  <c r="AW34" i="9"/>
  <c r="AU28" i="9"/>
  <c r="AU29" i="9"/>
  <c r="AU30" i="9"/>
  <c r="AU31" i="9"/>
  <c r="AU32" i="9"/>
  <c r="AU33" i="9"/>
  <c r="AU34" i="9"/>
  <c r="AJ34" i="9"/>
  <c r="BD34" i="9" s="1"/>
  <c r="AI33" i="9"/>
  <c r="BC33" i="9" s="1"/>
  <c r="AH32" i="9"/>
  <c r="BB32" i="9" s="1"/>
  <c r="AG31" i="9"/>
  <c r="BA31" i="9" s="1"/>
  <c r="AF30" i="9"/>
  <c r="AZ30" i="9" s="1"/>
  <c r="AE29" i="9"/>
  <c r="AY29" i="9" s="1"/>
  <c r="AD28" i="9"/>
  <c r="AX28" i="9" s="1"/>
  <c r="AC27" i="9"/>
  <c r="AW27" i="9" s="1"/>
  <c r="AG33" i="6"/>
  <c r="AJ32" i="6"/>
  <c r="BC32" i="6" s="1"/>
  <c r="AJ30" i="6"/>
  <c r="BC30" i="6" s="1"/>
  <c r="AK32" i="9"/>
  <c r="BE32" i="9" s="1"/>
  <c r="AN30" i="9"/>
  <c r="BH30" i="9" s="1"/>
  <c r="AO29" i="9"/>
  <c r="BI29" i="9" s="1"/>
  <c r="AP28" i="9"/>
  <c r="BJ28" i="9" s="1"/>
  <c r="AL27" i="9"/>
  <c r="BF27" i="9" s="1"/>
  <c r="BH60" i="6"/>
  <c r="BH61" i="6"/>
  <c r="BH62" i="6"/>
  <c r="BH63" i="6"/>
  <c r="BH64" i="6"/>
  <c r="BH65" i="6"/>
  <c r="BH66" i="6"/>
  <c r="BC60" i="6"/>
  <c r="BD60" i="6"/>
  <c r="BF60" i="6"/>
  <c r="BG60" i="6"/>
  <c r="BC61" i="6"/>
  <c r="BE61" i="6"/>
  <c r="BF61" i="6"/>
  <c r="BG61" i="6"/>
  <c r="BD62" i="6"/>
  <c r="BE62" i="6"/>
  <c r="BF62" i="6"/>
  <c r="BG62" i="6"/>
  <c r="BD63" i="6"/>
  <c r="BE63" i="6"/>
  <c r="BF63" i="6"/>
  <c r="BG63" i="6"/>
  <c r="BC64" i="6"/>
  <c r="BD64" i="6"/>
  <c r="BE64" i="6"/>
  <c r="BF64" i="6"/>
  <c r="BG64" i="6"/>
  <c r="BD65" i="6"/>
  <c r="BE65" i="6"/>
  <c r="BF65" i="6"/>
  <c r="BG65" i="6"/>
  <c r="BC66" i="6"/>
  <c r="BD66" i="6"/>
  <c r="BE66" i="6"/>
  <c r="BF66" i="6"/>
  <c r="BG66" i="6"/>
  <c r="AG66" i="6"/>
  <c r="AZ66" i="6" s="1"/>
  <c r="AJ65" i="6"/>
  <c r="BC65" i="6" s="1"/>
  <c r="AJ63" i="6"/>
  <c r="BC63" i="6" s="1"/>
  <c r="AZ60" i="6"/>
  <c r="BA60" i="6"/>
  <c r="BB60" i="6"/>
  <c r="AZ61" i="6"/>
  <c r="BA61" i="6"/>
  <c r="BB61" i="6"/>
  <c r="AZ62" i="6"/>
  <c r="BA62" i="6"/>
  <c r="BB62" i="6"/>
  <c r="AZ63" i="6"/>
  <c r="BA63" i="6"/>
  <c r="BB63" i="6"/>
  <c r="BA64" i="6"/>
  <c r="BB64" i="6"/>
  <c r="AZ65" i="6"/>
  <c r="BA65" i="6"/>
  <c r="BB65" i="6"/>
  <c r="BA66" i="6"/>
  <c r="BB66" i="6"/>
  <c r="AV60" i="6"/>
  <c r="AW60" i="6"/>
  <c r="AX60" i="6"/>
  <c r="AY60" i="6"/>
  <c r="AV61" i="6"/>
  <c r="AW61" i="6"/>
  <c r="AX61" i="6"/>
  <c r="AY61" i="6"/>
  <c r="AV62" i="6"/>
  <c r="AW62" i="6"/>
  <c r="AX62" i="6"/>
  <c r="AY62" i="6"/>
  <c r="AW63" i="6"/>
  <c r="AX63" i="6"/>
  <c r="AY63" i="6"/>
  <c r="AV64" i="6"/>
  <c r="AX64" i="6"/>
  <c r="AY64" i="6"/>
  <c r="AV65" i="6"/>
  <c r="AW65" i="6"/>
  <c r="AY65" i="6"/>
  <c r="AV66" i="6"/>
  <c r="AW66" i="6"/>
  <c r="AX66" i="6"/>
  <c r="AT60" i="6"/>
  <c r="AU60" i="6"/>
  <c r="AS61" i="6"/>
  <c r="AU61" i="6"/>
  <c r="AS62" i="6"/>
  <c r="AT62" i="6"/>
  <c r="AS63" i="6"/>
  <c r="AT63" i="6"/>
  <c r="AU63" i="6"/>
  <c r="AS64" i="6"/>
  <c r="AT64" i="6"/>
  <c r="AU64" i="6"/>
  <c r="AS65" i="6"/>
  <c r="AT65" i="6"/>
  <c r="AU65" i="6"/>
  <c r="AS66" i="6"/>
  <c r="AT66" i="6"/>
  <c r="AU66" i="6"/>
  <c r="AR60" i="6"/>
  <c r="AR61" i="6"/>
  <c r="AR62" i="6"/>
  <c r="AR63" i="6"/>
  <c r="AR64" i="6"/>
  <c r="AR65" i="6"/>
  <c r="AR66" i="6"/>
  <c r="AQ60" i="6"/>
  <c r="AQ61" i="6"/>
  <c r="AQ62" i="6"/>
  <c r="AQ63" i="6"/>
  <c r="AQ64" i="6"/>
  <c r="AQ65" i="6"/>
  <c r="AQ66" i="6"/>
  <c r="BB59" i="6"/>
  <c r="BC59" i="6"/>
  <c r="BD59" i="6"/>
  <c r="BE59" i="6"/>
  <c r="BF59" i="6"/>
  <c r="BG59" i="6"/>
  <c r="BH59" i="6"/>
  <c r="AZ59" i="6"/>
  <c r="AW59" i="6"/>
  <c r="AX59" i="6"/>
  <c r="AY59" i="6"/>
  <c r="AS59" i="6"/>
  <c r="AT59" i="6"/>
  <c r="AU59" i="6"/>
  <c r="AV59" i="6"/>
  <c r="AG64" i="6"/>
  <c r="AZ64" i="6" s="1"/>
  <c r="AJ62" i="6"/>
  <c r="BC62" i="6" s="1"/>
  <c r="AJ29" i="6"/>
  <c r="AK61" i="6"/>
  <c r="BD61" i="6" s="1"/>
  <c r="AL60" i="6"/>
  <c r="BE60" i="6" s="1"/>
  <c r="AF66" i="6"/>
  <c r="AY66" i="6" s="1"/>
  <c r="AE65" i="6"/>
  <c r="AX65" i="6" s="1"/>
  <c r="AD64" i="6"/>
  <c r="AW64" i="6" s="1"/>
  <c r="AC63" i="6"/>
  <c r="AV63" i="6" s="1"/>
  <c r="AB62" i="6"/>
  <c r="AU62" i="6" s="1"/>
  <c r="AA61" i="6"/>
  <c r="AT61" i="6" s="1"/>
  <c r="Z60" i="6"/>
  <c r="AS60" i="6" s="1"/>
  <c r="Y59" i="6"/>
  <c r="AR59" i="6" s="1"/>
  <c r="BH27" i="6"/>
  <c r="BH28" i="6"/>
  <c r="BH29" i="6"/>
  <c r="BH30" i="6"/>
  <c r="BH31" i="6"/>
  <c r="BH32" i="6"/>
  <c r="BH33" i="6"/>
  <c r="BG27" i="6"/>
  <c r="BG28" i="6"/>
  <c r="BG29" i="6"/>
  <c r="BG30" i="6"/>
  <c r="BG31" i="6"/>
  <c r="BG32" i="6"/>
  <c r="BG33" i="6"/>
  <c r="BF27" i="6"/>
  <c r="BF28" i="6"/>
  <c r="BF29" i="6"/>
  <c r="BF30" i="6"/>
  <c r="BF31" i="6"/>
  <c r="BF32" i="6"/>
  <c r="BF33" i="6"/>
  <c r="BE28" i="6"/>
  <c r="BE29" i="6"/>
  <c r="BE30" i="6"/>
  <c r="BE31" i="6"/>
  <c r="BE32" i="6"/>
  <c r="BE33" i="6"/>
  <c r="BD27" i="6"/>
  <c r="BD29" i="6"/>
  <c r="BD30" i="6"/>
  <c r="BD31" i="6"/>
  <c r="BD32" i="6"/>
  <c r="BD33" i="6"/>
  <c r="BC27" i="6"/>
  <c r="BC28" i="6"/>
  <c r="BC31" i="6"/>
  <c r="BC33" i="6"/>
  <c r="BB27" i="6"/>
  <c r="BB28" i="6"/>
  <c r="BB29" i="6"/>
  <c r="BB30" i="6"/>
  <c r="BB31" i="6"/>
  <c r="BB32" i="6"/>
  <c r="BB33" i="6"/>
  <c r="BA27" i="6"/>
  <c r="BA28" i="6"/>
  <c r="BA29" i="6"/>
  <c r="BA30" i="6"/>
  <c r="BA31" i="6"/>
  <c r="BA32" i="6"/>
  <c r="BA33" i="6"/>
  <c r="AZ27" i="6"/>
  <c r="AZ28" i="6"/>
  <c r="AZ29" i="6"/>
  <c r="AZ30" i="6"/>
  <c r="AZ32" i="6"/>
  <c r="AY27" i="6"/>
  <c r="AY28" i="6"/>
  <c r="AY29" i="6"/>
  <c r="AY30" i="6"/>
  <c r="AY31" i="6"/>
  <c r="AY32" i="6"/>
  <c r="AX27" i="6"/>
  <c r="AX28" i="6"/>
  <c r="AX29" i="6"/>
  <c r="AX30" i="6"/>
  <c r="AX31" i="6"/>
  <c r="AX33" i="6"/>
  <c r="AW27" i="6"/>
  <c r="AW28" i="6"/>
  <c r="AW29" i="6"/>
  <c r="AW30" i="6"/>
  <c r="AW32" i="6"/>
  <c r="AW33" i="6"/>
  <c r="AV27" i="6"/>
  <c r="AV28" i="6"/>
  <c r="AV29" i="6"/>
  <c r="AV31" i="6"/>
  <c r="AV32" i="6"/>
  <c r="AV33" i="6"/>
  <c r="AU27" i="6"/>
  <c r="AU28" i="6"/>
  <c r="AU30" i="6"/>
  <c r="AU31" i="6"/>
  <c r="AU32" i="6"/>
  <c r="AU33" i="6"/>
  <c r="AT27" i="6"/>
  <c r="AT29" i="6"/>
  <c r="AT30" i="6"/>
  <c r="AT31" i="6"/>
  <c r="AT32" i="6"/>
  <c r="AT33" i="6"/>
  <c r="AS28" i="6"/>
  <c r="AS29" i="6"/>
  <c r="AS30" i="6"/>
  <c r="AS31" i="6"/>
  <c r="AS32" i="6"/>
  <c r="AS33" i="6"/>
  <c r="AR27" i="6"/>
  <c r="AR28" i="6"/>
  <c r="AR29" i="6"/>
  <c r="AR30" i="6"/>
  <c r="AR31" i="6"/>
  <c r="AR32" i="6"/>
  <c r="AR33" i="6"/>
  <c r="AQ27" i="6"/>
  <c r="AQ28" i="6"/>
  <c r="AQ29" i="6"/>
  <c r="AQ30" i="6"/>
  <c r="AQ31" i="6"/>
  <c r="AQ32" i="6"/>
  <c r="AQ33" i="6"/>
  <c r="BB26" i="6"/>
  <c r="BC26" i="6"/>
  <c r="BD26" i="6"/>
  <c r="BE26" i="6"/>
  <c r="BF26" i="6"/>
  <c r="BG26" i="6"/>
  <c r="BH26" i="6"/>
  <c r="AZ26" i="6"/>
  <c r="AY26" i="6"/>
  <c r="AS26" i="6"/>
  <c r="AT26" i="6"/>
  <c r="AU26" i="6"/>
  <c r="AV26" i="6"/>
  <c r="AW26" i="6"/>
  <c r="AX26" i="6"/>
  <c r="AZ33" i="6"/>
  <c r="AL61" i="7"/>
  <c r="BC29" i="6"/>
  <c r="AG31" i="6"/>
  <c r="AZ31" i="6" s="1"/>
  <c r="AI30" i="7"/>
  <c r="AK28" i="6"/>
  <c r="BD28" i="6" s="1"/>
  <c r="AL27" i="6"/>
  <c r="BE27" i="6" s="1"/>
  <c r="AA28" i="6"/>
  <c r="AT28" i="6" s="1"/>
  <c r="Y26" i="6"/>
  <c r="AF33" i="6"/>
  <c r="AY33" i="6" s="1"/>
  <c r="AE32" i="6"/>
  <c r="AX32" i="6" s="1"/>
  <c r="AD31" i="6"/>
  <c r="AW31" i="6" s="1"/>
  <c r="AC30" i="6"/>
  <c r="AV30" i="6" s="1"/>
  <c r="AB29" i="6"/>
  <c r="AU29" i="6" s="1"/>
  <c r="Z27" i="6"/>
  <c r="AS27" i="6" s="1"/>
  <c r="BJ56" i="7"/>
  <c r="BJ57" i="7"/>
  <c r="BJ58" i="7"/>
  <c r="BJ59" i="7"/>
  <c r="BJ60" i="7"/>
  <c r="BJ61" i="7"/>
  <c r="BJ62" i="7"/>
  <c r="BI56" i="7"/>
  <c r="BI57" i="7"/>
  <c r="BI58" i="7"/>
  <c r="BI59" i="7"/>
  <c r="BI60" i="7"/>
  <c r="BI61" i="7"/>
  <c r="BI62" i="7"/>
  <c r="BH56" i="7"/>
  <c r="BH57" i="7"/>
  <c r="BH58" i="7"/>
  <c r="BH59" i="7"/>
  <c r="BH60" i="7"/>
  <c r="BH61" i="7"/>
  <c r="BH62" i="7"/>
  <c r="BG57" i="7"/>
  <c r="BG58" i="7"/>
  <c r="BG59" i="7"/>
  <c r="BG60" i="7"/>
  <c r="BG61" i="7"/>
  <c r="BG62" i="7"/>
  <c r="BF56" i="7"/>
  <c r="BF58" i="7"/>
  <c r="BF59" i="7"/>
  <c r="BF60" i="7"/>
  <c r="BF61" i="7"/>
  <c r="BF62" i="7"/>
  <c r="BE56" i="7"/>
  <c r="BE57" i="7"/>
  <c r="BE60" i="7"/>
  <c r="BE61" i="7"/>
  <c r="BE62" i="7"/>
  <c r="BD56" i="7"/>
  <c r="BD57" i="7"/>
  <c r="BD58" i="7"/>
  <c r="BD59" i="7"/>
  <c r="BD60" i="7"/>
  <c r="BD61" i="7"/>
  <c r="BD62" i="7"/>
  <c r="BC56" i="7"/>
  <c r="BC57" i="7"/>
  <c r="BC58" i="7"/>
  <c r="BC59" i="7"/>
  <c r="BC60" i="7"/>
  <c r="BC61" i="7"/>
  <c r="BC62" i="7"/>
  <c r="BB56" i="7"/>
  <c r="BB57" i="7"/>
  <c r="BB58" i="7"/>
  <c r="BB59" i="7"/>
  <c r="BB61" i="7"/>
  <c r="BA56" i="7"/>
  <c r="BA57" i="7"/>
  <c r="BA58" i="7"/>
  <c r="BA59" i="7"/>
  <c r="BA60" i="7"/>
  <c r="BA61" i="7"/>
  <c r="AZ56" i="7"/>
  <c r="AZ57" i="7"/>
  <c r="AZ58" i="7"/>
  <c r="AZ59" i="7"/>
  <c r="AZ60" i="7"/>
  <c r="AZ62" i="7"/>
  <c r="AY56" i="7"/>
  <c r="AY57" i="7"/>
  <c r="AY58" i="7"/>
  <c r="AY59" i="7"/>
  <c r="AY61" i="7"/>
  <c r="AY62" i="7"/>
  <c r="AX56" i="7"/>
  <c r="AX57" i="7"/>
  <c r="AX58" i="7"/>
  <c r="AX60" i="7"/>
  <c r="AX61" i="7"/>
  <c r="AX62" i="7"/>
  <c r="AW56" i="7"/>
  <c r="AW57" i="7"/>
  <c r="AW59" i="7"/>
  <c r="AW60" i="7"/>
  <c r="AW61" i="7"/>
  <c r="AW62" i="7"/>
  <c r="AV56" i="7"/>
  <c r="AV58" i="7"/>
  <c r="AV59" i="7"/>
  <c r="AV60" i="7"/>
  <c r="AV61" i="7"/>
  <c r="AV62" i="7"/>
  <c r="AU57" i="7"/>
  <c r="AU58" i="7"/>
  <c r="AU59" i="7"/>
  <c r="AU60" i="7"/>
  <c r="AU61" i="7"/>
  <c r="AU62" i="7"/>
  <c r="AT56" i="7"/>
  <c r="AT57" i="7"/>
  <c r="AT58" i="7"/>
  <c r="AT59" i="7"/>
  <c r="AT60" i="7"/>
  <c r="AT61" i="7"/>
  <c r="AT62" i="7"/>
  <c r="AS56" i="7"/>
  <c r="AS57" i="7"/>
  <c r="AS58" i="7"/>
  <c r="AS59" i="7"/>
  <c r="AS60" i="7"/>
  <c r="AS61" i="7"/>
  <c r="AS62" i="7"/>
  <c r="BJ55" i="7"/>
  <c r="BI55" i="7"/>
  <c r="BH55" i="7"/>
  <c r="BG55" i="7"/>
  <c r="BF55" i="7"/>
  <c r="BE55" i="7"/>
  <c r="BD55" i="7"/>
  <c r="BB55" i="7"/>
  <c r="BA55" i="7"/>
  <c r="AZ55" i="7"/>
  <c r="AY55" i="7"/>
  <c r="AX55" i="7"/>
  <c r="AW55" i="7"/>
  <c r="AV55" i="7"/>
  <c r="AU55" i="7"/>
  <c r="AL59" i="7"/>
  <c r="BE59" i="7" s="1"/>
  <c r="AI62" i="7"/>
  <c r="BB62" i="7" s="1"/>
  <c r="AI60" i="7"/>
  <c r="BB60" i="7" s="1"/>
  <c r="AL58" i="7"/>
  <c r="BE58" i="7" s="1"/>
  <c r="AM57" i="7"/>
  <c r="BF57" i="7" s="1"/>
  <c r="AN56" i="7"/>
  <c r="BG56" i="7" s="1"/>
  <c r="AJ55" i="7"/>
  <c r="AH62" i="7"/>
  <c r="BA62" i="7" s="1"/>
  <c r="AG61" i="7"/>
  <c r="AZ61" i="7" s="1"/>
  <c r="AF60" i="7"/>
  <c r="AY60" i="7" s="1"/>
  <c r="AE59" i="7"/>
  <c r="AX59" i="7" s="1"/>
  <c r="AD58" i="7"/>
  <c r="AW58" i="7" s="1"/>
  <c r="AC57" i="7"/>
  <c r="AV57" i="7" s="1"/>
  <c r="AB56" i="7"/>
  <c r="AU56" i="7" s="1"/>
  <c r="AA55" i="7"/>
  <c r="AL29" i="7"/>
  <c r="BE29" i="7" s="1"/>
  <c r="BH24" i="7"/>
  <c r="BI24" i="7"/>
  <c r="BJ24" i="7"/>
  <c r="BG25" i="7"/>
  <c r="BH25" i="7"/>
  <c r="BI25" i="7"/>
  <c r="BJ25" i="7"/>
  <c r="BG26" i="7"/>
  <c r="BH26" i="7"/>
  <c r="BI26" i="7"/>
  <c r="BJ26" i="7"/>
  <c r="BG27" i="7"/>
  <c r="BH27" i="7"/>
  <c r="BI27" i="7"/>
  <c r="BJ27" i="7"/>
  <c r="BG28" i="7"/>
  <c r="BH28" i="7"/>
  <c r="BI28" i="7"/>
  <c r="BJ28" i="7"/>
  <c r="BG29" i="7"/>
  <c r="BH29" i="7"/>
  <c r="BI29" i="7"/>
  <c r="BJ29" i="7"/>
  <c r="BG30" i="7"/>
  <c r="BH30" i="7"/>
  <c r="BI30" i="7"/>
  <c r="BJ30" i="7"/>
  <c r="BB24" i="7"/>
  <c r="BC24" i="7"/>
  <c r="BD24" i="7"/>
  <c r="BE24" i="7"/>
  <c r="BF24" i="7"/>
  <c r="BB25" i="7"/>
  <c r="BC25" i="7"/>
  <c r="BD25" i="7"/>
  <c r="BE25" i="7"/>
  <c r="BB26" i="7"/>
  <c r="BC26" i="7"/>
  <c r="BD26" i="7"/>
  <c r="BF26" i="7"/>
  <c r="BB27" i="7"/>
  <c r="BC27" i="7"/>
  <c r="BD27" i="7"/>
  <c r="BF27" i="7"/>
  <c r="BC28" i="7"/>
  <c r="BD28" i="7"/>
  <c r="BE28" i="7"/>
  <c r="BF28" i="7"/>
  <c r="BB29" i="7"/>
  <c r="BC29" i="7"/>
  <c r="BD29" i="7"/>
  <c r="BF29" i="7"/>
  <c r="BB30" i="7"/>
  <c r="BC30" i="7"/>
  <c r="BD30" i="7"/>
  <c r="BE30" i="7"/>
  <c r="BF30" i="7"/>
  <c r="AX24" i="7"/>
  <c r="AY24" i="7"/>
  <c r="AZ24" i="7"/>
  <c r="BA24" i="7"/>
  <c r="AX25" i="7"/>
  <c r="AY25" i="7"/>
  <c r="AZ25" i="7"/>
  <c r="BA25" i="7"/>
  <c r="AX26" i="7"/>
  <c r="AY26" i="7"/>
  <c r="AZ26" i="7"/>
  <c r="BA26" i="7"/>
  <c r="AY27" i="7"/>
  <c r="AZ27" i="7"/>
  <c r="BA27" i="7"/>
  <c r="AX28" i="7"/>
  <c r="AZ28" i="7"/>
  <c r="BA28" i="7"/>
  <c r="AX29" i="7"/>
  <c r="AY29" i="7"/>
  <c r="BA29" i="7"/>
  <c r="AX30" i="7"/>
  <c r="AY30" i="7"/>
  <c r="AZ30" i="7"/>
  <c r="AW24" i="7"/>
  <c r="AW25" i="7"/>
  <c r="AW27" i="7"/>
  <c r="AW28" i="7"/>
  <c r="AW29" i="7"/>
  <c r="AW30" i="7"/>
  <c r="AV24" i="7"/>
  <c r="AV26" i="7"/>
  <c r="AV27" i="7"/>
  <c r="AV28" i="7"/>
  <c r="AV29" i="7"/>
  <c r="AV30" i="7"/>
  <c r="AU25" i="7"/>
  <c r="AU26" i="7"/>
  <c r="AU27" i="7"/>
  <c r="AU28" i="7"/>
  <c r="AU29" i="7"/>
  <c r="AU30" i="7"/>
  <c r="AT24" i="7"/>
  <c r="AT25" i="7"/>
  <c r="AT26" i="7"/>
  <c r="AT27" i="7"/>
  <c r="AT28" i="7"/>
  <c r="AT29" i="7"/>
  <c r="AT30" i="7"/>
  <c r="AS24" i="7"/>
  <c r="AS25" i="7"/>
  <c r="AS26" i="7"/>
  <c r="AS27" i="7"/>
  <c r="AS28" i="7"/>
  <c r="AS29" i="7"/>
  <c r="AS30" i="7"/>
  <c r="BJ23" i="7"/>
  <c r="BI23" i="7"/>
  <c r="BH23" i="7"/>
  <c r="BG23" i="7"/>
  <c r="BF23" i="7"/>
  <c r="BE23" i="7"/>
  <c r="BD23" i="7"/>
  <c r="BB23" i="7"/>
  <c r="BA23" i="7"/>
  <c r="AZ23" i="7"/>
  <c r="AY23" i="7"/>
  <c r="AX23" i="7"/>
  <c r="AW23" i="7"/>
  <c r="AV23" i="7"/>
  <c r="AU23" i="7"/>
  <c r="AL26" i="7"/>
  <c r="BE26" i="7" s="1"/>
  <c r="AL27" i="7"/>
  <c r="BE27" i="7" s="1"/>
  <c r="AI28" i="7"/>
  <c r="BB28" i="7" s="1"/>
  <c r="AM25" i="7"/>
  <c r="BF25" i="7" s="1"/>
  <c r="AN24" i="7"/>
  <c r="BG24" i="7" s="1"/>
  <c r="AJ23" i="7"/>
  <c r="AH30" i="7"/>
  <c r="BA30" i="7" s="1"/>
  <c r="AG29" i="7"/>
  <c r="AZ29" i="7" s="1"/>
  <c r="AF28" i="7"/>
  <c r="AY28" i="7" s="1"/>
  <c r="AE27" i="7"/>
  <c r="AX27" i="7" s="1"/>
  <c r="AD26" i="7"/>
  <c r="AW26" i="7" s="1"/>
  <c r="AC25" i="7"/>
  <c r="AV25" i="7" s="1"/>
  <c r="AB24" i="7"/>
  <c r="AU24" i="7" s="1"/>
  <c r="AA23" i="7"/>
  <c r="BH54" i="8"/>
  <c r="BH55" i="8"/>
  <c r="BH56" i="8"/>
  <c r="BH57" i="8"/>
  <c r="BH58" i="8"/>
  <c r="BH59" i="8"/>
  <c r="BH60" i="8"/>
  <c r="BG54" i="8"/>
  <c r="BG55" i="8"/>
  <c r="BG56" i="8"/>
  <c r="BG57" i="8"/>
  <c r="BG58" i="8"/>
  <c r="BG59" i="8"/>
  <c r="BG60" i="8"/>
  <c r="BF54" i="8"/>
  <c r="BF55" i="8"/>
  <c r="BF56" i="8"/>
  <c r="BF57" i="8"/>
  <c r="BF58" i="8"/>
  <c r="BF59" i="8"/>
  <c r="BF60" i="8"/>
  <c r="BE55" i="8"/>
  <c r="BE56" i="8"/>
  <c r="BE57" i="8"/>
  <c r="BE58" i="8"/>
  <c r="BE59" i="8"/>
  <c r="BE60" i="8"/>
  <c r="BD54" i="8"/>
  <c r="BD56" i="8"/>
  <c r="BD57" i="8"/>
  <c r="BD58" i="8"/>
  <c r="BD59" i="8"/>
  <c r="BD60" i="8"/>
  <c r="BC54" i="8"/>
  <c r="BC55" i="8"/>
  <c r="BC58" i="8"/>
  <c r="BC60" i="8"/>
  <c r="BB54" i="8"/>
  <c r="BB55" i="8"/>
  <c r="BB56" i="8"/>
  <c r="BB57" i="8"/>
  <c r="BB58" i="8"/>
  <c r="BB59" i="8"/>
  <c r="BB60" i="8"/>
  <c r="BA54" i="8"/>
  <c r="BA55" i="8"/>
  <c r="BA56" i="8"/>
  <c r="BA57" i="8"/>
  <c r="BA58" i="8"/>
  <c r="BA59" i="8"/>
  <c r="BA60" i="8"/>
  <c r="BB53" i="8"/>
  <c r="BC53" i="8"/>
  <c r="BD53" i="8"/>
  <c r="BE53" i="8"/>
  <c r="BF53" i="8"/>
  <c r="BG53" i="8"/>
  <c r="BH53" i="8"/>
  <c r="BC57" i="8"/>
  <c r="AZ54" i="8"/>
  <c r="AZ55" i="8"/>
  <c r="AZ56" i="8"/>
  <c r="AZ57" i="8"/>
  <c r="AZ59" i="8"/>
  <c r="AR59" i="8"/>
  <c r="AY54" i="8"/>
  <c r="AY55" i="8"/>
  <c r="AY56" i="8"/>
  <c r="AY57" i="8"/>
  <c r="AY58" i="8"/>
  <c r="AY59" i="8"/>
  <c r="AX54" i="8"/>
  <c r="AX55" i="8"/>
  <c r="AX56" i="8"/>
  <c r="AX57" i="8"/>
  <c r="AX58" i="8"/>
  <c r="AX60" i="8"/>
  <c r="AW54" i="8"/>
  <c r="AW55" i="8"/>
  <c r="AW56" i="8"/>
  <c r="AW57" i="8"/>
  <c r="AW59" i="8"/>
  <c r="AW60" i="8"/>
  <c r="AV54" i="8"/>
  <c r="AV55" i="8"/>
  <c r="AV56" i="8"/>
  <c r="AV58" i="8"/>
  <c r="AV59" i="8"/>
  <c r="AV60" i="8"/>
  <c r="AU54" i="8"/>
  <c r="AU55" i="8"/>
  <c r="AU57" i="8"/>
  <c r="AU58" i="8"/>
  <c r="AU59" i="8"/>
  <c r="AU60" i="8"/>
  <c r="AT54" i="8"/>
  <c r="AT56" i="8"/>
  <c r="AT57" i="8"/>
  <c r="AT58" i="8"/>
  <c r="AT59" i="8"/>
  <c r="AT60" i="8"/>
  <c r="AT53" i="8"/>
  <c r="AU53" i="8"/>
  <c r="AV53" i="8"/>
  <c r="AW53" i="8"/>
  <c r="AX53" i="8"/>
  <c r="AY53" i="8"/>
  <c r="AS55" i="8"/>
  <c r="AS56" i="8"/>
  <c r="AS57" i="8"/>
  <c r="AS58" i="8"/>
  <c r="AS59" i="8"/>
  <c r="AS60" i="8"/>
  <c r="AS53" i="8"/>
  <c r="AR54" i="8"/>
  <c r="AR55" i="8"/>
  <c r="AR56" i="8"/>
  <c r="AR57" i="8"/>
  <c r="AR58" i="8"/>
  <c r="AR60" i="8"/>
  <c r="AQ54" i="8"/>
  <c r="AQ55" i="8"/>
  <c r="AQ56" i="8"/>
  <c r="AQ57" i="8"/>
  <c r="AQ58" i="8"/>
  <c r="AQ59" i="8"/>
  <c r="AQ60" i="8"/>
  <c r="AG60" i="8"/>
  <c r="AZ60" i="8" s="1"/>
  <c r="AJ59" i="8"/>
  <c r="BC59" i="8" s="1"/>
  <c r="AG58" i="8"/>
  <c r="AZ58" i="8" s="1"/>
  <c r="AJ56" i="8"/>
  <c r="BC56" i="8" s="1"/>
  <c r="AK55" i="8"/>
  <c r="BD55" i="8" s="1"/>
  <c r="AL54" i="8"/>
  <c r="BE54" i="8" s="1"/>
  <c r="AH53" i="8"/>
  <c r="BA53" i="8" s="1"/>
  <c r="AF60" i="8"/>
  <c r="AY60" i="8" s="1"/>
  <c r="AE59" i="8"/>
  <c r="AX59" i="8" s="1"/>
  <c r="AD58" i="8"/>
  <c r="AW58" i="8" s="1"/>
  <c r="AC57" i="8"/>
  <c r="AV57" i="8" s="1"/>
  <c r="AB56" i="8"/>
  <c r="AU56" i="8" s="1"/>
  <c r="AA55" i="8"/>
  <c r="AT55" i="8" s="1"/>
  <c r="Z54" i="8"/>
  <c r="AS54" i="8" s="1"/>
  <c r="Y53" i="8"/>
  <c r="BH25" i="8"/>
  <c r="BH26" i="8"/>
  <c r="BH27" i="8"/>
  <c r="BH28" i="8"/>
  <c r="BH29" i="8"/>
  <c r="BH30" i="8"/>
  <c r="BH31" i="8"/>
  <c r="BG25" i="8"/>
  <c r="BG26" i="8"/>
  <c r="BG27" i="8"/>
  <c r="BG28" i="8"/>
  <c r="BG29" i="8"/>
  <c r="BG30" i="8"/>
  <c r="BG31" i="8"/>
  <c r="BF25" i="8"/>
  <c r="BF26" i="8"/>
  <c r="BF27" i="8"/>
  <c r="BF28" i="8"/>
  <c r="BF29" i="8"/>
  <c r="BF30" i="8"/>
  <c r="BF31" i="8"/>
  <c r="BE26" i="8"/>
  <c r="BE27" i="8"/>
  <c r="BE28" i="8"/>
  <c r="BE29" i="8"/>
  <c r="BE30" i="8"/>
  <c r="BE31" i="8"/>
  <c r="BD25" i="8"/>
  <c r="BD27" i="8"/>
  <c r="BD28" i="8"/>
  <c r="BD29" i="8"/>
  <c r="BD30" i="8"/>
  <c r="BD31" i="8"/>
  <c r="BB25" i="8"/>
  <c r="BB26" i="8"/>
  <c r="BB27" i="8"/>
  <c r="BB28" i="8"/>
  <c r="BB29" i="8"/>
  <c r="BB30" i="8"/>
  <c r="BB31" i="8"/>
  <c r="BA25" i="8"/>
  <c r="BA26" i="8"/>
  <c r="BA27" i="8"/>
  <c r="BA28" i="8"/>
  <c r="BA29" i="8"/>
  <c r="BA30" i="8"/>
  <c r="BA31" i="8"/>
  <c r="AY26" i="8"/>
  <c r="AY27" i="8"/>
  <c r="AY28" i="8"/>
  <c r="AY29" i="8"/>
  <c r="AY30" i="8"/>
  <c r="AX26" i="8"/>
  <c r="AX27" i="8"/>
  <c r="AX28" i="8"/>
  <c r="AX29" i="8"/>
  <c r="AX31" i="8"/>
  <c r="AW26" i="8"/>
  <c r="AW27" i="8"/>
  <c r="AW28" i="8"/>
  <c r="AW29" i="8"/>
  <c r="AW30" i="8"/>
  <c r="AW31" i="8"/>
  <c r="AV25" i="8"/>
  <c r="AV26" i="8"/>
  <c r="AV27" i="8"/>
  <c r="AV29" i="8"/>
  <c r="AV30" i="8"/>
  <c r="AV31" i="8"/>
  <c r="AU25" i="8"/>
  <c r="AU26" i="8"/>
  <c r="AU27" i="8"/>
  <c r="AU28" i="8"/>
  <c r="AU29" i="8"/>
  <c r="AU30" i="8"/>
  <c r="AU31" i="8"/>
  <c r="AT25" i="8"/>
  <c r="AT27" i="8"/>
  <c r="AT28" i="8"/>
  <c r="AT29" i="8"/>
  <c r="AT30" i="8"/>
  <c r="AT31" i="8"/>
  <c r="AS26" i="8"/>
  <c r="AS27" i="8"/>
  <c r="AS28" i="8"/>
  <c r="AS29" i="8"/>
  <c r="AS30" i="8"/>
  <c r="AS31" i="8"/>
  <c r="AZ25" i="8"/>
  <c r="AZ26" i="8"/>
  <c r="AZ27" i="8"/>
  <c r="AZ28" i="8"/>
  <c r="AZ30" i="8"/>
  <c r="AZ31" i="8"/>
  <c r="AW25" i="8"/>
  <c r="AX25" i="8"/>
  <c r="AY25" i="8"/>
  <c r="BC25" i="8"/>
  <c r="BC26" i="8"/>
  <c r="BC28" i="8"/>
  <c r="BC29" i="8"/>
  <c r="BC30" i="8"/>
  <c r="BC31" i="8"/>
  <c r="AE30" i="8"/>
  <c r="AX30" i="8" s="1"/>
  <c r="AF31" i="8"/>
  <c r="AY31" i="8" s="1"/>
  <c r="AC28" i="8"/>
  <c r="AV28" i="8" s="1"/>
  <c r="AA26" i="8"/>
  <c r="AT26" i="8" s="1"/>
  <c r="AG29" i="8"/>
  <c r="AZ29" i="8" s="1"/>
  <c r="AJ27" i="8"/>
  <c r="BC27" i="8" s="1"/>
  <c r="AK26" i="8"/>
  <c r="BD26" i="8" s="1"/>
  <c r="AL25" i="8"/>
  <c r="BE25" i="8" s="1"/>
  <c r="BH24" i="8"/>
  <c r="BB24" i="8"/>
  <c r="BC24" i="8"/>
  <c r="BD24" i="8"/>
  <c r="BE24" i="8"/>
  <c r="BF24" i="8"/>
  <c r="BG24" i="8"/>
  <c r="AZ24" i="8"/>
  <c r="Z25" i="8"/>
  <c r="AS25" i="8" s="1"/>
  <c r="AR25" i="8"/>
  <c r="AR26" i="8"/>
  <c r="AR27" i="8"/>
  <c r="AR28" i="8"/>
  <c r="AR29" i="8"/>
  <c r="AR30" i="8"/>
  <c r="AR31" i="8"/>
  <c r="AS24" i="8"/>
  <c r="AT24" i="8"/>
  <c r="AU24" i="8"/>
  <c r="AV24" i="8"/>
  <c r="AW24" i="8"/>
  <c r="AX24" i="8"/>
  <c r="AY24" i="8"/>
  <c r="AQ25" i="8"/>
  <c r="AQ26" i="8"/>
  <c r="AQ27" i="8"/>
  <c r="AQ28" i="8"/>
  <c r="AQ29" i="8"/>
  <c r="AQ30" i="8"/>
  <c r="AQ31" i="8"/>
  <c r="AH24" i="8"/>
  <c r="BM94" i="11"/>
  <c r="BL94" i="11"/>
  <c r="BK94" i="11"/>
  <c r="BI94" i="11"/>
  <c r="BL28" i="11"/>
  <c r="BK28" i="11"/>
  <c r="BJ28" i="11"/>
  <c r="BI28" i="11"/>
  <c r="BA179" i="10"/>
  <c r="BL179" i="10"/>
  <c r="BC179" i="10"/>
  <c r="AZ179" i="10"/>
  <c r="AY179" i="10"/>
  <c r="AY127" i="10"/>
  <c r="BL127" i="10"/>
  <c r="BA127" i="10"/>
  <c r="AZ127" i="10"/>
  <c r="AY77" i="10"/>
  <c r="BA77" i="10"/>
  <c r="AZ77" i="10"/>
  <c r="BA28" i="10"/>
  <c r="AZ28" i="10"/>
  <c r="AY28" i="10"/>
  <c r="BC28" i="10"/>
  <c r="AU43" i="9"/>
  <c r="AU27" i="9"/>
  <c r="AQ59" i="6"/>
  <c r="AH59" i="6"/>
  <c r="BA59" i="6" s="1"/>
  <c r="AH26" i="6"/>
  <c r="BA26" i="6" s="1"/>
  <c r="BK29" i="12" l="1"/>
  <c r="D43" i="12"/>
  <c r="M43" i="12" s="1"/>
  <c r="P10" i="13"/>
  <c r="AX10" i="13" s="1"/>
  <c r="L27" i="13"/>
  <c r="AT27" i="13" s="1"/>
  <c r="Y29" i="12"/>
  <c r="BM29" i="12" s="1"/>
  <c r="L20" i="13"/>
  <c r="AT20" i="13" s="1"/>
  <c r="Z29" i="12"/>
  <c r="BN29" i="12" s="1"/>
  <c r="M20" i="13"/>
  <c r="Z28" i="12"/>
  <c r="BN28" i="12" s="1"/>
  <c r="K33" i="13"/>
  <c r="AS33" i="13" s="1"/>
  <c r="S29" i="12"/>
  <c r="BG29" i="12" s="1"/>
  <c r="M31" i="13"/>
  <c r="G33" i="13"/>
  <c r="AO33" i="13" s="1"/>
  <c r="R24" i="12"/>
  <c r="BF24" i="12" s="1"/>
  <c r="U29" i="12"/>
  <c r="BI29" i="12" s="1"/>
  <c r="H24" i="13"/>
  <c r="AP24" i="13" s="1"/>
  <c r="M30" i="13"/>
  <c r="AU30" i="13" s="1"/>
  <c r="L28" i="13"/>
  <c r="AT28" i="13" s="1"/>
  <c r="J10" i="12"/>
  <c r="AX10" i="12" s="1"/>
  <c r="N10" i="12"/>
  <c r="BB10" i="12" s="1"/>
  <c r="V25" i="12"/>
  <c r="BJ25" i="12" s="1"/>
  <c r="S27" i="12"/>
  <c r="BG27" i="12" s="1"/>
  <c r="BK27" i="12"/>
  <c r="H33" i="13"/>
  <c r="AP33" i="13" s="1"/>
  <c r="K10" i="12"/>
  <c r="AY10" i="12" s="1"/>
  <c r="S23" i="12"/>
  <c r="BG23" i="12" s="1"/>
  <c r="X25" i="12"/>
  <c r="BL25" i="12" s="1"/>
  <c r="U27" i="12"/>
  <c r="BI27" i="12" s="1"/>
  <c r="X30" i="12"/>
  <c r="BL30" i="12" s="1"/>
  <c r="R10" i="13"/>
  <c r="AZ10" i="13" s="1"/>
  <c r="P23" i="13"/>
  <c r="AX23" i="13" s="1"/>
  <c r="V27" i="13"/>
  <c r="BD27" i="13" s="1"/>
  <c r="I33" i="13"/>
  <c r="AQ33" i="13" s="1"/>
  <c r="V33" i="13"/>
  <c r="BD33" i="13" s="1"/>
  <c r="M33" i="13"/>
  <c r="M28" i="13"/>
  <c r="AU28" i="13" s="1"/>
  <c r="L10" i="12"/>
  <c r="AZ10" i="12" s="1"/>
  <c r="U23" i="12"/>
  <c r="BI23" i="12" s="1"/>
  <c r="R25" i="12"/>
  <c r="BF25" i="12" s="1"/>
  <c r="S26" i="12"/>
  <c r="BG26" i="12" s="1"/>
  <c r="Y27" i="12"/>
  <c r="BM27" i="12" s="1"/>
  <c r="H10" i="13"/>
  <c r="AP10" i="13" s="1"/>
  <c r="L19" i="13"/>
  <c r="AT19" i="13" s="1"/>
  <c r="M24" i="13"/>
  <c r="E10" i="12"/>
  <c r="K16" i="12"/>
  <c r="AY16" i="12" s="1"/>
  <c r="T24" i="12"/>
  <c r="BH24" i="12" s="1"/>
  <c r="X24" i="12"/>
  <c r="BL24" i="12" s="1"/>
  <c r="S28" i="12"/>
  <c r="BG28" i="12" s="1"/>
  <c r="Y28" i="12"/>
  <c r="BM28" i="12" s="1"/>
  <c r="BK28" i="12"/>
  <c r="R30" i="12"/>
  <c r="BF30" i="12" s="1"/>
  <c r="V30" i="12"/>
  <c r="BJ30" i="12" s="1"/>
  <c r="BK30" i="12"/>
  <c r="D41" i="12"/>
  <c r="M41" i="12" s="1"/>
  <c r="Q41" i="12" s="1"/>
  <c r="BE41" i="12" s="1"/>
  <c r="D37" i="12"/>
  <c r="M37" i="12" s="1"/>
  <c r="N37" i="12" s="1"/>
  <c r="BB37" i="12" s="1"/>
  <c r="U13" i="12"/>
  <c r="BI13" i="12" s="1"/>
  <c r="BK13" i="12"/>
  <c r="S13" i="12"/>
  <c r="BG13" i="12" s="1"/>
  <c r="U11" i="12"/>
  <c r="BI11" i="12" s="1"/>
  <c r="Y11" i="12"/>
  <c r="BM11" i="12" s="1"/>
  <c r="S11" i="12"/>
  <c r="BG11" i="12" s="1"/>
  <c r="BA23" i="12"/>
  <c r="L23" i="12"/>
  <c r="AZ23" i="12" s="1"/>
  <c r="P23" i="12"/>
  <c r="BD23" i="12" s="1"/>
  <c r="N23" i="12"/>
  <c r="BB23" i="12" s="1"/>
  <c r="J23" i="12"/>
  <c r="AX23" i="12" s="1"/>
  <c r="K29" i="12"/>
  <c r="AY29" i="12" s="1"/>
  <c r="P29" i="12"/>
  <c r="BD29" i="12" s="1"/>
  <c r="Q29" i="12"/>
  <c r="BE29" i="12" s="1"/>
  <c r="Q27" i="12"/>
  <c r="BE27" i="12" s="1"/>
  <c r="K27" i="12"/>
  <c r="AY27" i="12" s="1"/>
  <c r="P27" i="12"/>
  <c r="BD27" i="12" s="1"/>
  <c r="BA27" i="12"/>
  <c r="N27" i="12"/>
  <c r="BB27" i="12" s="1"/>
  <c r="L27" i="12"/>
  <c r="AZ27" i="12" s="1"/>
  <c r="J27" i="12"/>
  <c r="AX27" i="12" s="1"/>
  <c r="P25" i="12"/>
  <c r="BD25" i="12" s="1"/>
  <c r="N25" i="12"/>
  <c r="BB25" i="12" s="1"/>
  <c r="L25" i="12"/>
  <c r="AZ25" i="12" s="1"/>
  <c r="J25" i="12"/>
  <c r="AX25" i="12" s="1"/>
  <c r="BA25" i="12"/>
  <c r="Q25" i="12"/>
  <c r="BE25" i="12" s="1"/>
  <c r="K25" i="12"/>
  <c r="AY25" i="12" s="1"/>
  <c r="BA43" i="12"/>
  <c r="P43" i="12"/>
  <c r="BD43" i="12" s="1"/>
  <c r="L43" i="12"/>
  <c r="AZ43" i="12" s="1"/>
  <c r="BA39" i="12"/>
  <c r="L39" i="12"/>
  <c r="AZ39" i="12" s="1"/>
  <c r="BK43" i="12"/>
  <c r="Z43" i="12"/>
  <c r="BN43" i="12" s="1"/>
  <c r="T43" i="12"/>
  <c r="BH43" i="12" s="1"/>
  <c r="X43" i="12"/>
  <c r="BL43" i="12" s="1"/>
  <c r="BK41" i="12"/>
  <c r="X41" i="12"/>
  <c r="BL41" i="12" s="1"/>
  <c r="V41" i="12"/>
  <c r="BJ41" i="12" s="1"/>
  <c r="T41" i="12"/>
  <c r="BH41" i="12" s="1"/>
  <c r="R41" i="12"/>
  <c r="BF41" i="12" s="1"/>
  <c r="Z41" i="12"/>
  <c r="BN41" i="12" s="1"/>
  <c r="Y41" i="12"/>
  <c r="BM41" i="12" s="1"/>
  <c r="U41" i="12"/>
  <c r="BI41" i="12" s="1"/>
  <c r="S41" i="12"/>
  <c r="BG41" i="12" s="1"/>
  <c r="Y39" i="12"/>
  <c r="BM39" i="12" s="1"/>
  <c r="U39" i="12"/>
  <c r="BI39" i="12" s="1"/>
  <c r="S39" i="12"/>
  <c r="BG39" i="12" s="1"/>
  <c r="BK37" i="12"/>
  <c r="Z37" i="12"/>
  <c r="BN37" i="12" s="1"/>
  <c r="U37" i="12"/>
  <c r="BI37" i="12" s="1"/>
  <c r="Y37" i="12"/>
  <c r="BM37" i="12" s="1"/>
  <c r="S37" i="12"/>
  <c r="BG37" i="12" s="1"/>
  <c r="Y10" i="12"/>
  <c r="BM10" i="12" s="1"/>
  <c r="S10" i="12"/>
  <c r="BG10" i="12" s="1"/>
  <c r="U10" i="12"/>
  <c r="BI10" i="12" s="1"/>
  <c r="BK16" i="12"/>
  <c r="U16" i="12"/>
  <c r="BI16" i="12" s="1"/>
  <c r="S14" i="12"/>
  <c r="BG14" i="12" s="1"/>
  <c r="BK14" i="12"/>
  <c r="Q30" i="12"/>
  <c r="BE30" i="12" s="1"/>
  <c r="K30" i="12"/>
  <c r="AY30" i="12" s="1"/>
  <c r="Q28" i="12"/>
  <c r="BE28" i="12" s="1"/>
  <c r="P28" i="12"/>
  <c r="BD28" i="12" s="1"/>
  <c r="BA28" i="12"/>
  <c r="L28" i="12"/>
  <c r="AZ28" i="12" s="1"/>
  <c r="N28" i="12"/>
  <c r="BB28" i="12" s="1"/>
  <c r="J28" i="12"/>
  <c r="AX28" i="12" s="1"/>
  <c r="N26" i="12"/>
  <c r="BB26" i="12" s="1"/>
  <c r="L26" i="12"/>
  <c r="AZ26" i="12" s="1"/>
  <c r="J26" i="12"/>
  <c r="AX26" i="12" s="1"/>
  <c r="Q26" i="12"/>
  <c r="BE26" i="12" s="1"/>
  <c r="K26" i="12"/>
  <c r="AY26" i="12" s="1"/>
  <c r="Q24" i="12"/>
  <c r="BE24" i="12" s="1"/>
  <c r="K24" i="12"/>
  <c r="AY24" i="12" s="1"/>
  <c r="P24" i="12"/>
  <c r="BD24" i="12" s="1"/>
  <c r="BA24" i="12"/>
  <c r="N24" i="12"/>
  <c r="BB24" i="12" s="1"/>
  <c r="L24" i="12"/>
  <c r="AZ24" i="12" s="1"/>
  <c r="J24" i="12"/>
  <c r="AX24" i="12" s="1"/>
  <c r="Q40" i="12"/>
  <c r="BE40" i="12" s="1"/>
  <c r="P40" i="12"/>
  <c r="BD40" i="12" s="1"/>
  <c r="BA40" i="12"/>
  <c r="K40" i="12"/>
  <c r="AY40" i="12" s="1"/>
  <c r="P38" i="12"/>
  <c r="BD38" i="12" s="1"/>
  <c r="Q38" i="12"/>
  <c r="BE38" i="12" s="1"/>
  <c r="E16" i="12"/>
  <c r="E14" i="12"/>
  <c r="E12" i="12"/>
  <c r="W15" i="12"/>
  <c r="Y15" i="12" s="1"/>
  <c r="BM15" i="12" s="1"/>
  <c r="W17" i="12"/>
  <c r="K12" i="12"/>
  <c r="AY12" i="12" s="1"/>
  <c r="O12" i="12"/>
  <c r="BC12" i="12" s="1"/>
  <c r="K14" i="12"/>
  <c r="AY14" i="12" s="1"/>
  <c r="J16" i="12"/>
  <c r="AX16" i="12" s="1"/>
  <c r="L16" i="12"/>
  <c r="AZ16" i="12" s="1"/>
  <c r="N16" i="12"/>
  <c r="BB16" i="12" s="1"/>
  <c r="U26" i="12"/>
  <c r="BI26" i="12" s="1"/>
  <c r="E13" i="12"/>
  <c r="E11" i="12"/>
  <c r="D36" i="12"/>
  <c r="M36" i="12" s="1"/>
  <c r="W38" i="12"/>
  <c r="R38" i="12" s="1"/>
  <c r="BF38" i="12" s="1"/>
  <c r="W40" i="12"/>
  <c r="S40" i="12" s="1"/>
  <c r="BG40" i="12" s="1"/>
  <c r="W42" i="12"/>
  <c r="R43" i="12"/>
  <c r="BF43" i="12" s="1"/>
  <c r="V43" i="12"/>
  <c r="BJ43" i="12" s="1"/>
  <c r="K38" i="12"/>
  <c r="AY38" i="12" s="1"/>
  <c r="BA38" i="12"/>
  <c r="K28" i="12"/>
  <c r="AY28" i="12" s="1"/>
  <c r="K23" i="12"/>
  <c r="AY23" i="12" s="1"/>
  <c r="Q23" i="12"/>
  <c r="BE23" i="12" s="1"/>
  <c r="S16" i="12"/>
  <c r="BG16" i="12" s="1"/>
  <c r="G10" i="13"/>
  <c r="AO10" i="13" s="1"/>
  <c r="I10" i="13"/>
  <c r="AQ10" i="13" s="1"/>
  <c r="K10" i="13"/>
  <c r="AS10" i="13" s="1"/>
  <c r="L26" i="13"/>
  <c r="AT26" i="13" s="1"/>
  <c r="M10" i="13"/>
  <c r="AU10" i="13" s="1"/>
  <c r="M32" i="13"/>
  <c r="AU32" i="13" s="1"/>
  <c r="M21" i="13"/>
  <c r="AU21" i="13" s="1"/>
  <c r="M18" i="13"/>
  <c r="AU18" i="13" s="1"/>
  <c r="P33" i="13"/>
  <c r="AX33" i="13" s="1"/>
  <c r="H12" i="13"/>
  <c r="AP12" i="13" s="1"/>
  <c r="P12" i="13"/>
  <c r="AX12" i="13" s="1"/>
  <c r="P13" i="13"/>
  <c r="AX13" i="13" s="1"/>
  <c r="H14" i="13"/>
  <c r="AP14" i="13" s="1"/>
  <c r="P14" i="13"/>
  <c r="AX14" i="13" s="1"/>
  <c r="P15" i="13"/>
  <c r="AX15" i="13" s="1"/>
  <c r="H16" i="13"/>
  <c r="AP16" i="13" s="1"/>
  <c r="P16" i="13"/>
  <c r="AX16" i="13" s="1"/>
  <c r="M17" i="13"/>
  <c r="G16" i="13"/>
  <c r="AO16" i="13" s="1"/>
  <c r="I16" i="13"/>
  <c r="AQ16" i="13" s="1"/>
  <c r="K16" i="13"/>
  <c r="AS16" i="13" s="1"/>
  <c r="R16" i="13"/>
  <c r="AZ16" i="13" s="1"/>
  <c r="M16" i="13"/>
  <c r="AU16" i="13" s="1"/>
  <c r="M15" i="13"/>
  <c r="AU15" i="13" s="1"/>
  <c r="R15" i="13"/>
  <c r="AZ15" i="13" s="1"/>
  <c r="M14" i="13"/>
  <c r="G14" i="13"/>
  <c r="AO14" i="13" s="1"/>
  <c r="I14" i="13"/>
  <c r="AQ14" i="13" s="1"/>
  <c r="K14" i="13"/>
  <c r="AS14" i="13" s="1"/>
  <c r="R14" i="13"/>
  <c r="AZ14" i="13" s="1"/>
  <c r="R13" i="13"/>
  <c r="AZ13" i="13" s="1"/>
  <c r="M13" i="13"/>
  <c r="AU13" i="13" s="1"/>
  <c r="G12" i="13"/>
  <c r="AO12" i="13" s="1"/>
  <c r="I12" i="13"/>
  <c r="AQ12" i="13" s="1"/>
  <c r="K12" i="13"/>
  <c r="AS12" i="13" s="1"/>
  <c r="R12" i="13"/>
  <c r="AZ12" i="13" s="1"/>
  <c r="M12" i="13"/>
  <c r="P11" i="13"/>
  <c r="AX11" i="13" s="1"/>
  <c r="M11" i="13"/>
  <c r="AU11" i="13" s="1"/>
  <c r="R11" i="13"/>
  <c r="AZ11" i="13" s="1"/>
  <c r="BK10" i="12"/>
  <c r="BK26" i="12"/>
  <c r="R10" i="12"/>
  <c r="BF10" i="12" s="1"/>
  <c r="T10" i="12"/>
  <c r="BH10" i="12" s="1"/>
  <c r="V10" i="12"/>
  <c r="BJ10" i="12" s="1"/>
  <c r="X10" i="12"/>
  <c r="BL10" i="12" s="1"/>
  <c r="K11" i="12"/>
  <c r="AY11" i="12" s="1"/>
  <c r="R16" i="12"/>
  <c r="BF16" i="12" s="1"/>
  <c r="T16" i="12"/>
  <c r="BH16" i="12" s="1"/>
  <c r="V16" i="12"/>
  <c r="BJ16" i="12" s="1"/>
  <c r="X16" i="12"/>
  <c r="BL16" i="12" s="1"/>
  <c r="R23" i="12"/>
  <c r="BF23" i="12" s="1"/>
  <c r="T23" i="12"/>
  <c r="BH23" i="12" s="1"/>
  <c r="V23" i="12"/>
  <c r="BJ23" i="12" s="1"/>
  <c r="X23" i="12"/>
  <c r="BL23" i="12" s="1"/>
  <c r="S24" i="12"/>
  <c r="BG24" i="12" s="1"/>
  <c r="U24" i="12"/>
  <c r="BI24" i="12" s="1"/>
  <c r="Y24" i="12"/>
  <c r="BM24" i="12" s="1"/>
  <c r="Z24" i="12"/>
  <c r="BN24" i="12" s="1"/>
  <c r="S25" i="12"/>
  <c r="BG25" i="12" s="1"/>
  <c r="U25" i="12"/>
  <c r="BI25" i="12" s="1"/>
  <c r="Y25" i="12"/>
  <c r="BM25" i="12" s="1"/>
  <c r="Z25" i="12"/>
  <c r="BN25" i="12" s="1"/>
  <c r="R26" i="12"/>
  <c r="BF26" i="12" s="1"/>
  <c r="T26" i="12"/>
  <c r="BH26" i="12" s="1"/>
  <c r="V26" i="12"/>
  <c r="BJ26" i="12" s="1"/>
  <c r="X26" i="12"/>
  <c r="BL26" i="12" s="1"/>
  <c r="R27" i="12"/>
  <c r="BF27" i="12" s="1"/>
  <c r="T27" i="12"/>
  <c r="BH27" i="12" s="1"/>
  <c r="V27" i="12"/>
  <c r="BJ27" i="12" s="1"/>
  <c r="R28" i="12"/>
  <c r="BF28" i="12" s="1"/>
  <c r="T28" i="12"/>
  <c r="BH28" i="12" s="1"/>
  <c r="V28" i="12"/>
  <c r="BJ28" i="12" s="1"/>
  <c r="J29" i="12"/>
  <c r="AX29" i="12" s="1"/>
  <c r="L29" i="12"/>
  <c r="AZ29" i="12" s="1"/>
  <c r="N29" i="12"/>
  <c r="BB29" i="12" s="1"/>
  <c r="R29" i="12"/>
  <c r="BF29" i="12" s="1"/>
  <c r="T29" i="12"/>
  <c r="BH29" i="12" s="1"/>
  <c r="V29" i="12"/>
  <c r="BJ29" i="12" s="1"/>
  <c r="BA29" i="12"/>
  <c r="J30" i="12"/>
  <c r="AX30" i="12" s="1"/>
  <c r="L30" i="12"/>
  <c r="AZ30" i="12" s="1"/>
  <c r="N30" i="12"/>
  <c r="BB30" i="12" s="1"/>
  <c r="S30" i="12"/>
  <c r="BG30" i="12" s="1"/>
  <c r="U30" i="12"/>
  <c r="BI30" i="12" s="1"/>
  <c r="Y30" i="12"/>
  <c r="BM30" i="12" s="1"/>
  <c r="J37" i="12"/>
  <c r="AX37" i="12" s="1"/>
  <c r="J38" i="12"/>
  <c r="AX38" i="12" s="1"/>
  <c r="L38" i="12"/>
  <c r="AZ38" i="12" s="1"/>
  <c r="N38" i="12"/>
  <c r="BB38" i="12" s="1"/>
  <c r="J40" i="12"/>
  <c r="AX40" i="12" s="1"/>
  <c r="L40" i="12"/>
  <c r="AZ40" i="12" s="1"/>
  <c r="N40" i="12"/>
  <c r="BB40" i="12" s="1"/>
  <c r="U40" i="12"/>
  <c r="BI40" i="12" s="1"/>
  <c r="Y40" i="12"/>
  <c r="BM40" i="12" s="1"/>
  <c r="J43" i="12"/>
  <c r="AX43" i="12" s="1"/>
  <c r="N43" i="12"/>
  <c r="BB43" i="12" s="1"/>
  <c r="O10" i="13"/>
  <c r="AW10" i="13" s="1"/>
  <c r="Q10" i="13"/>
  <c r="AY10" i="13" s="1"/>
  <c r="S10" i="13"/>
  <c r="BA10" i="13" s="1"/>
  <c r="U10" i="13"/>
  <c r="BC10" i="13" s="1"/>
  <c r="H11" i="13"/>
  <c r="AP11" i="13" s="1"/>
  <c r="O12" i="13"/>
  <c r="AW12" i="13" s="1"/>
  <c r="Q12" i="13"/>
  <c r="AY12" i="13" s="1"/>
  <c r="S12" i="13"/>
  <c r="BA12" i="13" s="1"/>
  <c r="U12" i="13"/>
  <c r="BC12" i="13" s="1"/>
  <c r="H13" i="13"/>
  <c r="AP13" i="13" s="1"/>
  <c r="O14" i="13"/>
  <c r="AW14" i="13" s="1"/>
  <c r="Q14" i="13"/>
  <c r="AY14" i="13" s="1"/>
  <c r="S14" i="13"/>
  <c r="BA14" i="13" s="1"/>
  <c r="U14" i="13"/>
  <c r="BC14" i="13" s="1"/>
  <c r="H15" i="13"/>
  <c r="AP15" i="13" s="1"/>
  <c r="O16" i="13"/>
  <c r="AW16" i="13" s="1"/>
  <c r="Q16" i="13"/>
  <c r="AY16" i="13" s="1"/>
  <c r="S16" i="13"/>
  <c r="BA16" i="13" s="1"/>
  <c r="U16" i="13"/>
  <c r="BC16" i="13" s="1"/>
  <c r="H17" i="13"/>
  <c r="AP17" i="13" s="1"/>
  <c r="P17" i="13"/>
  <c r="AX17" i="13" s="1"/>
  <c r="H18" i="13"/>
  <c r="AP18" i="13" s="1"/>
  <c r="P21" i="13"/>
  <c r="AX21" i="13" s="1"/>
  <c r="H22" i="13"/>
  <c r="AP22" i="13" s="1"/>
  <c r="P25" i="13"/>
  <c r="AX25" i="13" s="1"/>
  <c r="H26" i="13"/>
  <c r="AP26" i="13" s="1"/>
  <c r="P29" i="13"/>
  <c r="AX29" i="13" s="1"/>
  <c r="H30" i="13"/>
  <c r="AP30" i="13" s="1"/>
  <c r="R32" i="13"/>
  <c r="AZ32" i="13" s="1"/>
  <c r="BB33" i="13"/>
  <c r="BB10" i="13"/>
  <c r="BB12" i="13"/>
  <c r="BB14" i="13"/>
  <c r="BB16" i="13"/>
  <c r="O33" i="13"/>
  <c r="AW33" i="13" s="1"/>
  <c r="Q33" i="13"/>
  <c r="AY33" i="13" s="1"/>
  <c r="S33" i="13"/>
  <c r="BA33" i="13" s="1"/>
  <c r="U33" i="13"/>
  <c r="BC33" i="13" s="1"/>
  <c r="W11" i="13"/>
  <c r="BE11" i="13" s="1"/>
  <c r="AR11" i="13"/>
  <c r="W13" i="13"/>
  <c r="BE13" i="13" s="1"/>
  <c r="AR13" i="13"/>
  <c r="W15" i="13"/>
  <c r="BE15" i="13" s="1"/>
  <c r="AR15" i="13"/>
  <c r="AU17" i="13"/>
  <c r="W32" i="13"/>
  <c r="BE32" i="13" s="1"/>
  <c r="AR32" i="13"/>
  <c r="W10" i="13"/>
  <c r="BE10" i="13" s="1"/>
  <c r="AR10" i="13"/>
  <c r="G11" i="13"/>
  <c r="AO11" i="13" s="1"/>
  <c r="I11" i="13"/>
  <c r="AQ11" i="13" s="1"/>
  <c r="K11" i="13"/>
  <c r="AS11" i="13" s="1"/>
  <c r="O11" i="13"/>
  <c r="AW11" i="13" s="1"/>
  <c r="Q11" i="13"/>
  <c r="AY11" i="13" s="1"/>
  <c r="S11" i="13"/>
  <c r="BA11" i="13" s="1"/>
  <c r="U11" i="13"/>
  <c r="BC11" i="13" s="1"/>
  <c r="BB11" i="13"/>
  <c r="AU12" i="13"/>
  <c r="W12" i="13"/>
  <c r="BE12" i="13" s="1"/>
  <c r="AR12" i="13"/>
  <c r="G13" i="13"/>
  <c r="AO13" i="13" s="1"/>
  <c r="I13" i="13"/>
  <c r="AQ13" i="13" s="1"/>
  <c r="K13" i="13"/>
  <c r="AS13" i="13" s="1"/>
  <c r="O13" i="13"/>
  <c r="AW13" i="13" s="1"/>
  <c r="Q13" i="13"/>
  <c r="AY13" i="13" s="1"/>
  <c r="S13" i="13"/>
  <c r="BA13" i="13" s="1"/>
  <c r="U13" i="13"/>
  <c r="BC13" i="13" s="1"/>
  <c r="BB13" i="13"/>
  <c r="AU14" i="13"/>
  <c r="W14" i="13"/>
  <c r="BE14" i="13" s="1"/>
  <c r="AR14" i="13"/>
  <c r="G15" i="13"/>
  <c r="AO15" i="13" s="1"/>
  <c r="I15" i="13"/>
  <c r="AQ15" i="13" s="1"/>
  <c r="K15" i="13"/>
  <c r="AS15" i="13" s="1"/>
  <c r="O15" i="13"/>
  <c r="AW15" i="13" s="1"/>
  <c r="Q15" i="13"/>
  <c r="AY15" i="13" s="1"/>
  <c r="S15" i="13"/>
  <c r="BA15" i="13" s="1"/>
  <c r="U15" i="13"/>
  <c r="BC15" i="13" s="1"/>
  <c r="BB15" i="13"/>
  <c r="W16" i="13"/>
  <c r="BE16" i="13" s="1"/>
  <c r="AR16" i="13"/>
  <c r="G17" i="13"/>
  <c r="AO17" i="13" s="1"/>
  <c r="I17" i="13"/>
  <c r="AQ17" i="13" s="1"/>
  <c r="K17" i="13"/>
  <c r="AS17" i="13" s="1"/>
  <c r="O17" i="13"/>
  <c r="AW17" i="13" s="1"/>
  <c r="R17" i="13"/>
  <c r="AZ17" i="13" s="1"/>
  <c r="P18" i="13"/>
  <c r="AX18" i="13" s="1"/>
  <c r="R19" i="13"/>
  <c r="AZ19" i="13" s="1"/>
  <c r="P20" i="13"/>
  <c r="AX20" i="13" s="1"/>
  <c r="R21" i="13"/>
  <c r="AZ21" i="13" s="1"/>
  <c r="P22" i="13"/>
  <c r="AX22" i="13" s="1"/>
  <c r="R23" i="13"/>
  <c r="AZ23" i="13" s="1"/>
  <c r="P24" i="13"/>
  <c r="AX24" i="13" s="1"/>
  <c r="R25" i="13"/>
  <c r="AZ25" i="13" s="1"/>
  <c r="P26" i="13"/>
  <c r="AX26" i="13" s="1"/>
  <c r="R27" i="13"/>
  <c r="AZ27" i="13" s="1"/>
  <c r="P28" i="13"/>
  <c r="AX28" i="13" s="1"/>
  <c r="R29" i="13"/>
  <c r="AZ29" i="13" s="1"/>
  <c r="P30" i="13"/>
  <c r="AX30" i="13" s="1"/>
  <c r="R31" i="13"/>
  <c r="AZ31" i="13" s="1"/>
  <c r="G32" i="13"/>
  <c r="AO32" i="13" s="1"/>
  <c r="I32" i="13"/>
  <c r="AQ32" i="13" s="1"/>
  <c r="K32" i="13"/>
  <c r="AS32" i="13" s="1"/>
  <c r="O32" i="13"/>
  <c r="AW32" i="13" s="1"/>
  <c r="Q32" i="13"/>
  <c r="AY32" i="13" s="1"/>
  <c r="S32" i="13"/>
  <c r="BA32" i="13" s="1"/>
  <c r="U32" i="13"/>
  <c r="BC32" i="13" s="1"/>
  <c r="BB32" i="13"/>
  <c r="AU33" i="13"/>
  <c r="W33" i="13"/>
  <c r="BE33" i="13" s="1"/>
  <c r="AR33" i="13"/>
  <c r="P10" i="12"/>
  <c r="BD10" i="12" s="1"/>
  <c r="P16" i="12"/>
  <c r="BD16" i="12" s="1"/>
  <c r="P14" i="12"/>
  <c r="Z10" i="12"/>
  <c r="BN10" i="12" s="1"/>
  <c r="BA10" i="12"/>
  <c r="J11" i="12"/>
  <c r="AX11" i="12" s="1"/>
  <c r="L11" i="12"/>
  <c r="AZ11" i="12" s="1"/>
  <c r="N11" i="12"/>
  <c r="BB11" i="12" s="1"/>
  <c r="R11" i="12"/>
  <c r="BF11" i="12" s="1"/>
  <c r="T11" i="12"/>
  <c r="BH11" i="12" s="1"/>
  <c r="V11" i="12"/>
  <c r="BJ11" i="12" s="1"/>
  <c r="S12" i="12"/>
  <c r="BG12" i="12" s="1"/>
  <c r="K13" i="12"/>
  <c r="AY13" i="12" s="1"/>
  <c r="U14" i="12"/>
  <c r="BI14" i="12" s="1"/>
  <c r="K15" i="12"/>
  <c r="AY15" i="12" s="1"/>
  <c r="Z16" i="12"/>
  <c r="BN16" i="12" s="1"/>
  <c r="Z17" i="12"/>
  <c r="BN17" i="12" s="1"/>
  <c r="Z23" i="12"/>
  <c r="BN23" i="12" s="1"/>
  <c r="BK23" i="12"/>
  <c r="Z26" i="12"/>
  <c r="BN26" i="12" s="1"/>
  <c r="BA26" i="12"/>
  <c r="BA30" i="12"/>
  <c r="P15" i="12"/>
  <c r="P13" i="12"/>
  <c r="P11" i="12"/>
  <c r="BD11" i="12" s="1"/>
  <c r="P30" i="12"/>
  <c r="BD30" i="12" s="1"/>
  <c r="P26" i="12"/>
  <c r="BD26" i="12" s="1"/>
  <c r="S43" i="12"/>
  <c r="BG43" i="12" s="1"/>
  <c r="U43" i="12"/>
  <c r="BI43" i="12" s="1"/>
  <c r="Y43" i="12"/>
  <c r="BM43" i="12" s="1"/>
  <c r="R39" i="12"/>
  <c r="BF39" i="12" s="1"/>
  <c r="T39" i="12"/>
  <c r="BH39" i="12" s="1"/>
  <c r="V39" i="12"/>
  <c r="BJ39" i="12" s="1"/>
  <c r="X39" i="12"/>
  <c r="BL39" i="12" s="1"/>
  <c r="BK39" i="12"/>
  <c r="R37" i="12"/>
  <c r="BF37" i="12" s="1"/>
  <c r="T37" i="12"/>
  <c r="BH37" i="12" s="1"/>
  <c r="V37" i="12"/>
  <c r="BJ37" i="12" s="1"/>
  <c r="X37" i="12"/>
  <c r="BL37" i="12" s="1"/>
  <c r="X36" i="12"/>
  <c r="BL36" i="12" s="1"/>
  <c r="BK36" i="12"/>
  <c r="Z36" i="12"/>
  <c r="BN36" i="12" s="1"/>
  <c r="U36" i="12"/>
  <c r="BI36" i="12" s="1"/>
  <c r="Y36" i="12"/>
  <c r="BM36" i="12" s="1"/>
  <c r="S36" i="12"/>
  <c r="BG36" i="12" s="1"/>
  <c r="J39" i="12"/>
  <c r="AX39" i="12" s="1"/>
  <c r="N39" i="12"/>
  <c r="BB39" i="12" s="1"/>
  <c r="Z39" i="12"/>
  <c r="BN39" i="12" s="1"/>
  <c r="P39" i="12"/>
  <c r="BD39" i="12" s="1"/>
  <c r="R36" i="12"/>
  <c r="BF36" i="12" s="1"/>
  <c r="T36" i="12"/>
  <c r="BH36" i="12" s="1"/>
  <c r="V36" i="12"/>
  <c r="BJ36" i="12" s="1"/>
  <c r="K39" i="12"/>
  <c r="AY39" i="12" s="1"/>
  <c r="Q39" i="12"/>
  <c r="BE39" i="12" s="1"/>
  <c r="K41" i="12"/>
  <c r="AY41" i="12" s="1"/>
  <c r="K43" i="12"/>
  <c r="AY43" i="12" s="1"/>
  <c r="Q43" i="12"/>
  <c r="BE43" i="12" s="1"/>
  <c r="BB17" i="13"/>
  <c r="W17" i="13"/>
  <c r="BE17" i="13" s="1"/>
  <c r="U17" i="13"/>
  <c r="BC17" i="13" s="1"/>
  <c r="S17" i="13"/>
  <c r="BA17" i="13" s="1"/>
  <c r="Q17" i="13"/>
  <c r="AY17" i="13" s="1"/>
  <c r="AR18" i="13"/>
  <c r="K18" i="13"/>
  <c r="AS18" i="13" s="1"/>
  <c r="I18" i="13"/>
  <c r="AQ18" i="13" s="1"/>
  <c r="G18" i="13"/>
  <c r="AO18" i="13" s="1"/>
  <c r="BB19" i="13"/>
  <c r="W19" i="13"/>
  <c r="BE19" i="13" s="1"/>
  <c r="U19" i="13"/>
  <c r="BC19" i="13" s="1"/>
  <c r="S19" i="13"/>
  <c r="BA19" i="13" s="1"/>
  <c r="Q19" i="13"/>
  <c r="AY19" i="13" s="1"/>
  <c r="O19" i="13"/>
  <c r="AW19" i="13" s="1"/>
  <c r="AR20" i="13"/>
  <c r="AU20" i="13"/>
  <c r="K20" i="13"/>
  <c r="AS20" i="13" s="1"/>
  <c r="I20" i="13"/>
  <c r="AQ20" i="13" s="1"/>
  <c r="G20" i="13"/>
  <c r="AO20" i="13" s="1"/>
  <c r="BB21" i="13"/>
  <c r="W21" i="13"/>
  <c r="BE21" i="13" s="1"/>
  <c r="U21" i="13"/>
  <c r="BC21" i="13" s="1"/>
  <c r="S21" i="13"/>
  <c r="BA21" i="13" s="1"/>
  <c r="Q21" i="13"/>
  <c r="AY21" i="13" s="1"/>
  <c r="O21" i="13"/>
  <c r="AW21" i="13" s="1"/>
  <c r="AR22" i="13"/>
  <c r="AU22" i="13"/>
  <c r="K22" i="13"/>
  <c r="AS22" i="13" s="1"/>
  <c r="I22" i="13"/>
  <c r="AQ22" i="13" s="1"/>
  <c r="G22" i="13"/>
  <c r="AO22" i="13" s="1"/>
  <c r="BB23" i="13"/>
  <c r="W23" i="13"/>
  <c r="BE23" i="13" s="1"/>
  <c r="U23" i="13"/>
  <c r="BC23" i="13" s="1"/>
  <c r="S23" i="13"/>
  <c r="BA23" i="13" s="1"/>
  <c r="Q23" i="13"/>
  <c r="AY23" i="13" s="1"/>
  <c r="O23" i="13"/>
  <c r="AW23" i="13" s="1"/>
  <c r="AR24" i="13"/>
  <c r="AU24" i="13"/>
  <c r="K24" i="13"/>
  <c r="AS24" i="13" s="1"/>
  <c r="I24" i="13"/>
  <c r="AQ24" i="13" s="1"/>
  <c r="G24" i="13"/>
  <c r="AO24" i="13" s="1"/>
  <c r="BB25" i="13"/>
  <c r="W25" i="13"/>
  <c r="BE25" i="13" s="1"/>
  <c r="U25" i="13"/>
  <c r="BC25" i="13" s="1"/>
  <c r="S25" i="13"/>
  <c r="BA25" i="13" s="1"/>
  <c r="Q25" i="13"/>
  <c r="AY25" i="13" s="1"/>
  <c r="O25" i="13"/>
  <c r="AW25" i="13" s="1"/>
  <c r="AR26" i="13"/>
  <c r="AU26" i="13"/>
  <c r="K26" i="13"/>
  <c r="AS26" i="13" s="1"/>
  <c r="I26" i="13"/>
  <c r="AQ26" i="13" s="1"/>
  <c r="G26" i="13"/>
  <c r="AO26" i="13" s="1"/>
  <c r="BB27" i="13"/>
  <c r="W27" i="13"/>
  <c r="BE27" i="13" s="1"/>
  <c r="U27" i="13"/>
  <c r="BC27" i="13" s="1"/>
  <c r="S27" i="13"/>
  <c r="BA27" i="13" s="1"/>
  <c r="Q27" i="13"/>
  <c r="AY27" i="13" s="1"/>
  <c r="O27" i="13"/>
  <c r="AW27" i="13" s="1"/>
  <c r="AR28" i="13"/>
  <c r="K28" i="13"/>
  <c r="AS28" i="13" s="1"/>
  <c r="I28" i="13"/>
  <c r="AQ28" i="13" s="1"/>
  <c r="G28" i="13"/>
  <c r="AO28" i="13" s="1"/>
  <c r="BB29" i="13"/>
  <c r="W29" i="13"/>
  <c r="BE29" i="13" s="1"/>
  <c r="U29" i="13"/>
  <c r="BC29" i="13" s="1"/>
  <c r="S29" i="13"/>
  <c r="BA29" i="13" s="1"/>
  <c r="Q29" i="13"/>
  <c r="AY29" i="13" s="1"/>
  <c r="O29" i="13"/>
  <c r="AW29" i="13" s="1"/>
  <c r="AR30" i="13"/>
  <c r="K30" i="13"/>
  <c r="AS30" i="13" s="1"/>
  <c r="I30" i="13"/>
  <c r="AQ30" i="13" s="1"/>
  <c r="G30" i="13"/>
  <c r="AO30" i="13" s="1"/>
  <c r="L10" i="13"/>
  <c r="AT10" i="13" s="1"/>
  <c r="L11" i="13"/>
  <c r="AT11" i="13" s="1"/>
  <c r="L12" i="13"/>
  <c r="AT12" i="13" s="1"/>
  <c r="L13" i="13"/>
  <c r="AT13" i="13" s="1"/>
  <c r="L14" i="13"/>
  <c r="AT14" i="13" s="1"/>
  <c r="L15" i="13"/>
  <c r="AT15" i="13" s="1"/>
  <c r="L16" i="13"/>
  <c r="AT16" i="13" s="1"/>
  <c r="L17" i="13"/>
  <c r="AT17" i="13" s="1"/>
  <c r="N17" i="13"/>
  <c r="AV17" i="13" s="1"/>
  <c r="N18" i="13"/>
  <c r="AV18" i="13" s="1"/>
  <c r="R18" i="13"/>
  <c r="AZ18" i="13" s="1"/>
  <c r="H19" i="13"/>
  <c r="AP19" i="13" s="1"/>
  <c r="N20" i="13"/>
  <c r="AV20" i="13" s="1"/>
  <c r="R20" i="13"/>
  <c r="AZ20" i="13" s="1"/>
  <c r="H21" i="13"/>
  <c r="AP21" i="13" s="1"/>
  <c r="N22" i="13"/>
  <c r="AV22" i="13" s="1"/>
  <c r="R22" i="13"/>
  <c r="AZ22" i="13" s="1"/>
  <c r="H23" i="13"/>
  <c r="AP23" i="13" s="1"/>
  <c r="N24" i="13"/>
  <c r="AV24" i="13" s="1"/>
  <c r="R24" i="13"/>
  <c r="AZ24" i="13" s="1"/>
  <c r="H25" i="13"/>
  <c r="AP25" i="13" s="1"/>
  <c r="N26" i="13"/>
  <c r="AV26" i="13" s="1"/>
  <c r="R26" i="13"/>
  <c r="AZ26" i="13" s="1"/>
  <c r="H27" i="13"/>
  <c r="AP27" i="13" s="1"/>
  <c r="N28" i="13"/>
  <c r="AV28" i="13" s="1"/>
  <c r="R28" i="13"/>
  <c r="AZ28" i="13" s="1"/>
  <c r="H29" i="13"/>
  <c r="AP29" i="13" s="1"/>
  <c r="N30" i="13"/>
  <c r="AV30" i="13" s="1"/>
  <c r="R30" i="13"/>
  <c r="AZ30" i="13" s="1"/>
  <c r="H31" i="13"/>
  <c r="AP31" i="13" s="1"/>
  <c r="BB18" i="13"/>
  <c r="W18" i="13"/>
  <c r="BE18" i="13" s="1"/>
  <c r="U18" i="13"/>
  <c r="BC18" i="13" s="1"/>
  <c r="S18" i="13"/>
  <c r="BA18" i="13" s="1"/>
  <c r="Q18" i="13"/>
  <c r="AY18" i="13" s="1"/>
  <c r="O18" i="13"/>
  <c r="AW18" i="13" s="1"/>
  <c r="AR19" i="13"/>
  <c r="AU19" i="13"/>
  <c r="K19" i="13"/>
  <c r="AS19" i="13" s="1"/>
  <c r="I19" i="13"/>
  <c r="AQ19" i="13" s="1"/>
  <c r="G19" i="13"/>
  <c r="AO19" i="13" s="1"/>
  <c r="BB20" i="13"/>
  <c r="W20" i="13"/>
  <c r="BE20" i="13" s="1"/>
  <c r="U20" i="13"/>
  <c r="BC20" i="13" s="1"/>
  <c r="S20" i="13"/>
  <c r="BA20" i="13" s="1"/>
  <c r="Q20" i="13"/>
  <c r="AY20" i="13" s="1"/>
  <c r="O20" i="13"/>
  <c r="AW20" i="13" s="1"/>
  <c r="AR21" i="13"/>
  <c r="K21" i="13"/>
  <c r="AS21" i="13" s="1"/>
  <c r="I21" i="13"/>
  <c r="AQ21" i="13" s="1"/>
  <c r="G21" i="13"/>
  <c r="AO21" i="13" s="1"/>
  <c r="BB22" i="13"/>
  <c r="W22" i="13"/>
  <c r="BE22" i="13" s="1"/>
  <c r="U22" i="13"/>
  <c r="BC22" i="13" s="1"/>
  <c r="S22" i="13"/>
  <c r="BA22" i="13" s="1"/>
  <c r="Q22" i="13"/>
  <c r="AY22" i="13" s="1"/>
  <c r="O22" i="13"/>
  <c r="AW22" i="13" s="1"/>
  <c r="AR23" i="13"/>
  <c r="AU23" i="13"/>
  <c r="K23" i="13"/>
  <c r="AS23" i="13" s="1"/>
  <c r="I23" i="13"/>
  <c r="AQ23" i="13" s="1"/>
  <c r="G23" i="13"/>
  <c r="AO23" i="13" s="1"/>
  <c r="BB24" i="13"/>
  <c r="W24" i="13"/>
  <c r="BE24" i="13" s="1"/>
  <c r="U24" i="13"/>
  <c r="BC24" i="13" s="1"/>
  <c r="S24" i="13"/>
  <c r="BA24" i="13" s="1"/>
  <c r="Q24" i="13"/>
  <c r="AY24" i="13" s="1"/>
  <c r="O24" i="13"/>
  <c r="AW24" i="13" s="1"/>
  <c r="AR25" i="13"/>
  <c r="AU25" i="13"/>
  <c r="K25" i="13"/>
  <c r="AS25" i="13" s="1"/>
  <c r="I25" i="13"/>
  <c r="AQ25" i="13" s="1"/>
  <c r="G25" i="13"/>
  <c r="AO25" i="13" s="1"/>
  <c r="BB26" i="13"/>
  <c r="W26" i="13"/>
  <c r="BE26" i="13" s="1"/>
  <c r="U26" i="13"/>
  <c r="BC26" i="13" s="1"/>
  <c r="S26" i="13"/>
  <c r="BA26" i="13" s="1"/>
  <c r="Q26" i="13"/>
  <c r="AY26" i="13" s="1"/>
  <c r="O26" i="13"/>
  <c r="AW26" i="13" s="1"/>
  <c r="AR27" i="13"/>
  <c r="AU27" i="13"/>
  <c r="K27" i="13"/>
  <c r="AS27" i="13" s="1"/>
  <c r="I27" i="13"/>
  <c r="AQ27" i="13" s="1"/>
  <c r="G27" i="13"/>
  <c r="AO27" i="13" s="1"/>
  <c r="BB28" i="13"/>
  <c r="W28" i="13"/>
  <c r="BE28" i="13" s="1"/>
  <c r="U28" i="13"/>
  <c r="BC28" i="13" s="1"/>
  <c r="S28" i="13"/>
  <c r="BA28" i="13" s="1"/>
  <c r="Q28" i="13"/>
  <c r="AY28" i="13" s="1"/>
  <c r="O28" i="13"/>
  <c r="AW28" i="13" s="1"/>
  <c r="AR29" i="13"/>
  <c r="AU29" i="13"/>
  <c r="K29" i="13"/>
  <c r="AS29" i="13" s="1"/>
  <c r="I29" i="13"/>
  <c r="AQ29" i="13" s="1"/>
  <c r="G29" i="13"/>
  <c r="AO29" i="13" s="1"/>
  <c r="BB30" i="13"/>
  <c r="W30" i="13"/>
  <c r="BE30" i="13" s="1"/>
  <c r="U30" i="13"/>
  <c r="BC30" i="13" s="1"/>
  <c r="S30" i="13"/>
  <c r="BA30" i="13" s="1"/>
  <c r="Q30" i="13"/>
  <c r="AY30" i="13" s="1"/>
  <c r="O30" i="13"/>
  <c r="AW30" i="13" s="1"/>
  <c r="AR31" i="13"/>
  <c r="AU31" i="13"/>
  <c r="K31" i="13"/>
  <c r="AS31" i="13" s="1"/>
  <c r="I31" i="13"/>
  <c r="AQ31" i="13" s="1"/>
  <c r="G31" i="13"/>
  <c r="AO31" i="13" s="1"/>
  <c r="N19" i="13"/>
  <c r="AV19" i="13" s="1"/>
  <c r="N21" i="13"/>
  <c r="AV21" i="13" s="1"/>
  <c r="N23" i="13"/>
  <c r="AV23" i="13" s="1"/>
  <c r="N25" i="13"/>
  <c r="AV25" i="13" s="1"/>
  <c r="N27" i="13"/>
  <c r="AV27" i="13" s="1"/>
  <c r="N29" i="13"/>
  <c r="AV29" i="13" s="1"/>
  <c r="N31" i="13"/>
  <c r="AV31" i="13" s="1"/>
  <c r="V31" i="13"/>
  <c r="BD31" i="13" s="1"/>
  <c r="L32" i="13"/>
  <c r="AT32" i="13" s="1"/>
  <c r="L33" i="13"/>
  <c r="AT33" i="13" s="1"/>
  <c r="O31" i="13"/>
  <c r="AW31" i="13" s="1"/>
  <c r="Q31" i="13"/>
  <c r="AY31" i="13" s="1"/>
  <c r="S31" i="13"/>
  <c r="BA31" i="13" s="1"/>
  <c r="U31" i="13"/>
  <c r="BC31" i="13" s="1"/>
  <c r="W31" i="13"/>
  <c r="BE31" i="13" s="1"/>
  <c r="BK11" i="12"/>
  <c r="Z11" i="12"/>
  <c r="BN11" i="12" s="1"/>
  <c r="X11" i="12"/>
  <c r="BL11" i="12" s="1"/>
  <c r="BA12" i="12"/>
  <c r="BD12" i="12"/>
  <c r="N12" i="12"/>
  <c r="BB12" i="12" s="1"/>
  <c r="L12" i="12"/>
  <c r="AZ12" i="12" s="1"/>
  <c r="J12" i="12"/>
  <c r="AX12" i="12" s="1"/>
  <c r="O10" i="12"/>
  <c r="BC10" i="12" s="1"/>
  <c r="O11" i="12"/>
  <c r="BC11" i="12" s="1"/>
  <c r="Q11" i="12"/>
  <c r="BE11" i="12" s="1"/>
  <c r="Q12" i="12"/>
  <c r="BE12" i="12" s="1"/>
  <c r="U12" i="12"/>
  <c r="BI12" i="12" s="1"/>
  <c r="BK12" i="12"/>
  <c r="Z12" i="12"/>
  <c r="BN12" i="12" s="1"/>
  <c r="X12" i="12"/>
  <c r="BL12" i="12" s="1"/>
  <c r="V12" i="12"/>
  <c r="BJ12" i="12" s="1"/>
  <c r="T12" i="12"/>
  <c r="BH12" i="12" s="1"/>
  <c r="R12" i="12"/>
  <c r="BF12" i="12" s="1"/>
  <c r="O13" i="12"/>
  <c r="BC13" i="12" s="1"/>
  <c r="Q13" i="12"/>
  <c r="BE13" i="12" s="1"/>
  <c r="Y13" i="12"/>
  <c r="BM13" i="12" s="1"/>
  <c r="O14" i="12"/>
  <c r="BC14" i="12" s="1"/>
  <c r="Q14" i="12"/>
  <c r="BE14" i="12" s="1"/>
  <c r="Y14" i="12"/>
  <c r="BM14" i="12" s="1"/>
  <c r="O15" i="12"/>
  <c r="BC15" i="12" s="1"/>
  <c r="Q15" i="12"/>
  <c r="BE15" i="12" s="1"/>
  <c r="O16" i="12"/>
  <c r="BC16" i="12" s="1"/>
  <c r="Q16" i="12"/>
  <c r="BE16" i="12" s="1"/>
  <c r="Y16" i="12"/>
  <c r="BM16" i="12" s="1"/>
  <c r="O17" i="12"/>
  <c r="BC17" i="12" s="1"/>
  <c r="Q17" i="12"/>
  <c r="BE17" i="12" s="1"/>
  <c r="Y17" i="12"/>
  <c r="BM17" i="12" s="1"/>
  <c r="O23" i="12"/>
  <c r="BC23" i="12" s="1"/>
  <c r="O24" i="12"/>
  <c r="BC24" i="12" s="1"/>
  <c r="O25" i="12"/>
  <c r="BC25" i="12" s="1"/>
  <c r="O26" i="12"/>
  <c r="BC26" i="12" s="1"/>
  <c r="O27" i="12"/>
  <c r="BC27" i="12" s="1"/>
  <c r="O28" i="12"/>
  <c r="BC28" i="12" s="1"/>
  <c r="O29" i="12"/>
  <c r="BC29" i="12" s="1"/>
  <c r="O30" i="12"/>
  <c r="BC30" i="12" s="1"/>
  <c r="O36" i="12"/>
  <c r="BC36" i="12" s="1"/>
  <c r="O38" i="12"/>
  <c r="BC38" i="12" s="1"/>
  <c r="O39" i="12"/>
  <c r="BC39" i="12" s="1"/>
  <c r="O40" i="12"/>
  <c r="BC40" i="12" s="1"/>
  <c r="O41" i="12"/>
  <c r="BC41" i="12" s="1"/>
  <c r="O42" i="12"/>
  <c r="BC42" i="12" s="1"/>
  <c r="O43" i="12"/>
  <c r="BC43" i="12" s="1"/>
  <c r="J13" i="12"/>
  <c r="AX13" i="12" s="1"/>
  <c r="L13" i="12"/>
  <c r="AZ13" i="12" s="1"/>
  <c r="N13" i="12"/>
  <c r="BB13" i="12" s="1"/>
  <c r="BD13" i="12"/>
  <c r="R13" i="12"/>
  <c r="BF13" i="12" s="1"/>
  <c r="T13" i="12"/>
  <c r="BH13" i="12" s="1"/>
  <c r="V13" i="12"/>
  <c r="BJ13" i="12" s="1"/>
  <c r="X13" i="12"/>
  <c r="BL13" i="12" s="1"/>
  <c r="Z13" i="12"/>
  <c r="BN13" i="12" s="1"/>
  <c r="J14" i="12"/>
  <c r="AX14" i="12" s="1"/>
  <c r="L14" i="12"/>
  <c r="AZ14" i="12" s="1"/>
  <c r="N14" i="12"/>
  <c r="BB14" i="12" s="1"/>
  <c r="BD14" i="12"/>
  <c r="R14" i="12"/>
  <c r="BF14" i="12" s="1"/>
  <c r="T14" i="12"/>
  <c r="BH14" i="12" s="1"/>
  <c r="V14" i="12"/>
  <c r="BJ14" i="12" s="1"/>
  <c r="X14" i="12"/>
  <c r="BL14" i="12" s="1"/>
  <c r="Z14" i="12"/>
  <c r="BN14" i="12" s="1"/>
  <c r="J15" i="12"/>
  <c r="AX15" i="12" s="1"/>
  <c r="L15" i="12"/>
  <c r="AZ15" i="12" s="1"/>
  <c r="N15" i="12"/>
  <c r="BB15" i="12" s="1"/>
  <c r="BD15" i="12"/>
  <c r="V15" i="12"/>
  <c r="BJ15" i="12" s="1"/>
  <c r="BX28" i="11"/>
  <c r="BL28" i="10"/>
  <c r="BA24" i="8"/>
  <c r="BC55" i="7"/>
  <c r="BC23" i="7"/>
  <c r="AQ53" i="8"/>
  <c r="AZ53" i="8"/>
  <c r="AR53" i="8"/>
  <c r="AQ24" i="8"/>
  <c r="Y24" i="8"/>
  <c r="AR24" i="8" s="1"/>
  <c r="AS55" i="7"/>
  <c r="AT55" i="7"/>
  <c r="AT23" i="7"/>
  <c r="AS23" i="7"/>
  <c r="AQ26" i="6"/>
  <c r="BA28" i="5"/>
  <c r="BA27" i="5"/>
  <c r="AR26" i="6"/>
  <c r="BC184" i="5"/>
  <c r="BC185" i="5"/>
  <c r="BC186" i="5"/>
  <c r="BC187" i="5"/>
  <c r="BC189" i="5"/>
  <c r="BC191" i="5"/>
  <c r="BC192" i="5"/>
  <c r="BC193" i="5"/>
  <c r="BC194" i="5"/>
  <c r="BC195" i="5"/>
  <c r="BC197" i="5"/>
  <c r="BC199" i="5"/>
  <c r="BC200" i="5"/>
  <c r="BB185" i="5"/>
  <c r="BB186" i="5"/>
  <c r="BB187" i="5"/>
  <c r="BB189" i="5"/>
  <c r="BB191" i="5"/>
  <c r="BB192" i="5"/>
  <c r="BB193" i="5"/>
  <c r="BB194" i="5"/>
  <c r="BB195" i="5"/>
  <c r="BB197" i="5"/>
  <c r="BB199" i="5"/>
  <c r="BB200" i="5"/>
  <c r="BA185" i="5"/>
  <c r="BA186" i="5"/>
  <c r="BA187" i="5"/>
  <c r="BA189" i="5"/>
  <c r="BA191" i="5"/>
  <c r="BA192" i="5"/>
  <c r="BA193" i="5"/>
  <c r="BA194" i="5"/>
  <c r="BA195" i="5"/>
  <c r="BA197" i="5"/>
  <c r="BA199" i="5"/>
  <c r="BA200" i="5"/>
  <c r="BC178" i="5"/>
  <c r="BC179" i="5"/>
  <c r="BC181" i="5"/>
  <c r="BC183" i="5"/>
  <c r="BB178" i="5"/>
  <c r="BB179" i="5"/>
  <c r="BB181" i="5"/>
  <c r="BB183" i="5"/>
  <c r="BB184" i="5"/>
  <c r="BA178" i="5"/>
  <c r="BA179" i="5"/>
  <c r="BA181" i="5"/>
  <c r="BA183" i="5"/>
  <c r="BA184" i="5"/>
  <c r="BC177" i="5"/>
  <c r="BB177" i="5"/>
  <c r="BA177" i="5"/>
  <c r="AT197" i="5"/>
  <c r="BP197" i="5" s="1"/>
  <c r="AT189" i="5"/>
  <c r="BP189" i="5" s="1"/>
  <c r="AP200" i="5"/>
  <c r="AQ200" i="5" s="1"/>
  <c r="AN198" i="5"/>
  <c r="AQ198" i="5" s="1"/>
  <c r="AM197" i="5"/>
  <c r="BI197" i="5" s="1"/>
  <c r="AL196" i="5"/>
  <c r="AT196" i="5" s="1"/>
  <c r="AK195" i="5"/>
  <c r="AU195" i="5" s="1"/>
  <c r="AJ194" i="5"/>
  <c r="AV194" i="5" s="1"/>
  <c r="AI193" i="5"/>
  <c r="AR193" i="5" s="1"/>
  <c r="BN193" i="5" s="1"/>
  <c r="AP192" i="5"/>
  <c r="AQ192" i="5" s="1"/>
  <c r="BM192" i="5" s="1"/>
  <c r="AN190" i="5"/>
  <c r="AQ190" i="5" s="1"/>
  <c r="AM189" i="5"/>
  <c r="BI189" i="5" s="1"/>
  <c r="AL188" i="5"/>
  <c r="AT188" i="5" s="1"/>
  <c r="AK187" i="5"/>
  <c r="AU187" i="5" s="1"/>
  <c r="AJ186" i="5"/>
  <c r="AV186" i="5" s="1"/>
  <c r="AI185" i="5"/>
  <c r="AR185" i="5" s="1"/>
  <c r="BN185" i="5" s="1"/>
  <c r="BU200" i="5"/>
  <c r="BT200" i="5"/>
  <c r="BS200" i="5"/>
  <c r="BR200" i="5"/>
  <c r="BQ200" i="5"/>
  <c r="BP200" i="5"/>
  <c r="BO200" i="5"/>
  <c r="BN200" i="5"/>
  <c r="BK200" i="5"/>
  <c r="BJ200" i="5"/>
  <c r="BI200" i="5"/>
  <c r="BH200" i="5"/>
  <c r="BG200" i="5"/>
  <c r="BF200" i="5"/>
  <c r="BE200" i="5"/>
  <c r="BL200" i="5"/>
  <c r="BU199" i="5"/>
  <c r="BT199" i="5"/>
  <c r="BS199" i="5"/>
  <c r="BR199" i="5"/>
  <c r="BQ199" i="5"/>
  <c r="BO199" i="5"/>
  <c r="BN199" i="5"/>
  <c r="BM199" i="5"/>
  <c r="BL199" i="5"/>
  <c r="BJ199" i="5"/>
  <c r="BI199" i="5"/>
  <c r="BH199" i="5"/>
  <c r="BG199" i="5"/>
  <c r="BF199" i="5"/>
  <c r="BE199" i="5"/>
  <c r="BK199" i="5"/>
  <c r="BU197" i="5"/>
  <c r="BT197" i="5"/>
  <c r="BS197" i="5"/>
  <c r="BR197" i="5"/>
  <c r="BQ197" i="5"/>
  <c r="BO197" i="5"/>
  <c r="BN197" i="5"/>
  <c r="BM197" i="5"/>
  <c r="BL197" i="5"/>
  <c r="BK197" i="5"/>
  <c r="BJ197" i="5"/>
  <c r="BH197" i="5"/>
  <c r="BG197" i="5"/>
  <c r="BF197" i="5"/>
  <c r="BE197" i="5"/>
  <c r="BU195" i="5"/>
  <c r="BT195" i="5"/>
  <c r="BS195" i="5"/>
  <c r="BR195" i="5"/>
  <c r="BP195" i="5"/>
  <c r="BO195" i="5"/>
  <c r="BN195" i="5"/>
  <c r="BM195" i="5"/>
  <c r="BL195" i="5"/>
  <c r="BK195" i="5"/>
  <c r="BJ195" i="5"/>
  <c r="BI195" i="5"/>
  <c r="BH195" i="5"/>
  <c r="BF195" i="5"/>
  <c r="BE195" i="5"/>
  <c r="BG195" i="5"/>
  <c r="BU194" i="5"/>
  <c r="BT194" i="5"/>
  <c r="BS194" i="5"/>
  <c r="BQ194" i="5"/>
  <c r="BP194" i="5"/>
  <c r="BO194" i="5"/>
  <c r="BN194" i="5"/>
  <c r="BM194" i="5"/>
  <c r="BL194" i="5"/>
  <c r="BK194" i="5"/>
  <c r="BJ194" i="5"/>
  <c r="BI194" i="5"/>
  <c r="BH194" i="5"/>
  <c r="BG194" i="5"/>
  <c r="BE194" i="5"/>
  <c r="BU193" i="5"/>
  <c r="BT193" i="5"/>
  <c r="BS193" i="5"/>
  <c r="BR193" i="5"/>
  <c r="BQ193" i="5"/>
  <c r="BP193" i="5"/>
  <c r="BO193" i="5"/>
  <c r="BM193" i="5"/>
  <c r="BL193" i="5"/>
  <c r="BK193" i="5"/>
  <c r="BJ193" i="5"/>
  <c r="BI193" i="5"/>
  <c r="BH193" i="5"/>
  <c r="BG193" i="5"/>
  <c r="BF193" i="5"/>
  <c r="BU192" i="5"/>
  <c r="BT192" i="5"/>
  <c r="BS192" i="5"/>
  <c r="BR192" i="5"/>
  <c r="BQ192" i="5"/>
  <c r="BP192" i="5"/>
  <c r="BO192" i="5"/>
  <c r="BN192" i="5"/>
  <c r="BK192" i="5"/>
  <c r="BJ192" i="5"/>
  <c r="BI192" i="5"/>
  <c r="BH192" i="5"/>
  <c r="BG192" i="5"/>
  <c r="BF192" i="5"/>
  <c r="BE192" i="5"/>
  <c r="BU191" i="5"/>
  <c r="BT191" i="5"/>
  <c r="BS191" i="5"/>
  <c r="BR191" i="5"/>
  <c r="BQ191" i="5"/>
  <c r="BO191" i="5"/>
  <c r="BN191" i="5"/>
  <c r="BM191" i="5"/>
  <c r="BL191" i="5"/>
  <c r="BJ191" i="5"/>
  <c r="BI191" i="5"/>
  <c r="BH191" i="5"/>
  <c r="BG191" i="5"/>
  <c r="BF191" i="5"/>
  <c r="BE191" i="5"/>
  <c r="BK191" i="5"/>
  <c r="BU187" i="5"/>
  <c r="BT187" i="5"/>
  <c r="BS187" i="5"/>
  <c r="BR187" i="5"/>
  <c r="BP187" i="5"/>
  <c r="BO187" i="5"/>
  <c r="BN187" i="5"/>
  <c r="BM187" i="5"/>
  <c r="BL187" i="5"/>
  <c r="BK187" i="5"/>
  <c r="BJ187" i="5"/>
  <c r="BI187" i="5"/>
  <c r="BH187" i="5"/>
  <c r="BF187" i="5"/>
  <c r="BE187" i="5"/>
  <c r="BU186" i="5"/>
  <c r="BT186" i="5"/>
  <c r="BS186" i="5"/>
  <c r="BQ186" i="5"/>
  <c r="BP186" i="5"/>
  <c r="BO186" i="5"/>
  <c r="BN186" i="5"/>
  <c r="BM186" i="5"/>
  <c r="BL186" i="5"/>
  <c r="BK186" i="5"/>
  <c r="BJ186" i="5"/>
  <c r="BI186" i="5"/>
  <c r="BH186" i="5"/>
  <c r="BG186" i="5"/>
  <c r="BE186" i="5"/>
  <c r="BU185" i="5"/>
  <c r="BT185" i="5"/>
  <c r="BS185" i="5"/>
  <c r="BR185" i="5"/>
  <c r="BQ185" i="5"/>
  <c r="BP185" i="5"/>
  <c r="BO185" i="5"/>
  <c r="BM185" i="5"/>
  <c r="BL185" i="5"/>
  <c r="BK185" i="5"/>
  <c r="BJ185" i="5"/>
  <c r="BI185" i="5"/>
  <c r="BH185" i="5"/>
  <c r="BG185" i="5"/>
  <c r="BF185" i="5"/>
  <c r="BU184" i="5"/>
  <c r="BT184" i="5"/>
  <c r="BS184" i="5"/>
  <c r="BR184" i="5"/>
  <c r="BQ184" i="5"/>
  <c r="BP184" i="5"/>
  <c r="BO184" i="5"/>
  <c r="BN184" i="5"/>
  <c r="BK184" i="5"/>
  <c r="BJ184" i="5"/>
  <c r="BI184" i="5"/>
  <c r="BH184" i="5"/>
  <c r="BG184" i="5"/>
  <c r="BF184" i="5"/>
  <c r="BE184" i="5"/>
  <c r="BL184" i="5"/>
  <c r="BU183" i="5"/>
  <c r="BT183" i="5"/>
  <c r="BS183" i="5"/>
  <c r="BR183" i="5"/>
  <c r="BQ183" i="5"/>
  <c r="BO183" i="5"/>
  <c r="BN183" i="5"/>
  <c r="BM183" i="5"/>
  <c r="BL183" i="5"/>
  <c r="BJ183" i="5"/>
  <c r="BI183" i="5"/>
  <c r="BH183" i="5"/>
  <c r="BG183" i="5"/>
  <c r="BF183" i="5"/>
  <c r="BE183" i="5"/>
  <c r="BK183" i="5"/>
  <c r="AN182" i="5"/>
  <c r="BU181" i="5"/>
  <c r="BT181" i="5"/>
  <c r="BS181" i="5"/>
  <c r="BR181" i="5"/>
  <c r="BQ181" i="5"/>
  <c r="BO181" i="5"/>
  <c r="BN181" i="5"/>
  <c r="BM181" i="5"/>
  <c r="BL181" i="5"/>
  <c r="BK181" i="5"/>
  <c r="BJ181" i="5"/>
  <c r="BH181" i="5"/>
  <c r="BG181" i="5"/>
  <c r="BF181" i="5"/>
  <c r="BE181" i="5"/>
  <c r="AT181" i="5"/>
  <c r="BP181" i="5" s="1"/>
  <c r="AM181" i="5"/>
  <c r="BI181" i="5" s="1"/>
  <c r="AL180" i="5"/>
  <c r="BU179" i="5"/>
  <c r="BT179" i="5"/>
  <c r="BS179" i="5"/>
  <c r="BR179" i="5"/>
  <c r="BP179" i="5"/>
  <c r="BO179" i="5"/>
  <c r="BN179" i="5"/>
  <c r="BM179" i="5"/>
  <c r="BL179" i="5"/>
  <c r="BK179" i="5"/>
  <c r="BJ179" i="5"/>
  <c r="BI179" i="5"/>
  <c r="BH179" i="5"/>
  <c r="BF179" i="5"/>
  <c r="BE179" i="5"/>
  <c r="AK179" i="5"/>
  <c r="BG179" i="5" s="1"/>
  <c r="BU178" i="5"/>
  <c r="BT178" i="5"/>
  <c r="BS178" i="5"/>
  <c r="BQ178" i="5"/>
  <c r="BP178" i="5"/>
  <c r="BO178" i="5"/>
  <c r="BN178" i="5"/>
  <c r="BM178" i="5"/>
  <c r="BL178" i="5"/>
  <c r="BK178" i="5"/>
  <c r="BJ178" i="5"/>
  <c r="BI178" i="5"/>
  <c r="BH178" i="5"/>
  <c r="BG178" i="5"/>
  <c r="BE178" i="5"/>
  <c r="AJ178" i="5"/>
  <c r="BF178" i="5" s="1"/>
  <c r="BU177" i="5"/>
  <c r="BT177" i="5"/>
  <c r="BS177" i="5"/>
  <c r="BR177" i="5"/>
  <c r="BQ177" i="5"/>
  <c r="BP177" i="5"/>
  <c r="BO177" i="5"/>
  <c r="BM177" i="5"/>
  <c r="BL177" i="5"/>
  <c r="BK177" i="5"/>
  <c r="BJ177" i="5"/>
  <c r="BI177" i="5"/>
  <c r="BH177" i="5"/>
  <c r="BG177" i="5"/>
  <c r="BF177" i="5"/>
  <c r="AI177" i="5"/>
  <c r="BE177" i="5" s="1"/>
  <c r="AT148" i="5"/>
  <c r="BP148" i="5" s="1"/>
  <c r="AT140" i="5"/>
  <c r="BP140" i="5" s="1"/>
  <c r="AP151" i="5"/>
  <c r="AQ151" i="5" s="1"/>
  <c r="AO150" i="5"/>
  <c r="AT150" i="5" s="1"/>
  <c r="AN149" i="5"/>
  <c r="AQ149" i="5" s="1"/>
  <c r="AM148" i="5"/>
  <c r="BI148" i="5" s="1"/>
  <c r="AL147" i="5"/>
  <c r="AT147" i="5" s="1"/>
  <c r="AK146" i="5"/>
  <c r="AU146" i="5" s="1"/>
  <c r="AJ145" i="5"/>
  <c r="AV145" i="5" s="1"/>
  <c r="AI144" i="5"/>
  <c r="AR144" i="5" s="1"/>
  <c r="AP143" i="5"/>
  <c r="AQ143" i="5" s="1"/>
  <c r="AO142" i="5"/>
  <c r="AT142" i="5" s="1"/>
  <c r="AN141" i="5"/>
  <c r="AQ141" i="5" s="1"/>
  <c r="AM140" i="5"/>
  <c r="BI140" i="5" s="1"/>
  <c r="AL139" i="5"/>
  <c r="AT139" i="5" s="1"/>
  <c r="AK138" i="5"/>
  <c r="BG138" i="5" s="1"/>
  <c r="AJ137" i="5"/>
  <c r="AV137" i="5" s="1"/>
  <c r="AI136" i="5"/>
  <c r="BE136" i="5" s="1"/>
  <c r="BC149" i="5"/>
  <c r="BC148" i="5"/>
  <c r="BC147" i="5"/>
  <c r="BB136" i="5"/>
  <c r="BB137" i="5"/>
  <c r="BB138" i="5"/>
  <c r="BB139" i="5"/>
  <c r="BB140" i="5"/>
  <c r="BB141" i="5"/>
  <c r="BB142" i="5"/>
  <c r="BB143" i="5"/>
  <c r="BB144" i="5"/>
  <c r="BB145" i="5"/>
  <c r="BB146" i="5"/>
  <c r="BB147" i="5"/>
  <c r="BB148" i="5"/>
  <c r="BB149" i="5"/>
  <c r="BB150" i="5"/>
  <c r="BB151" i="5"/>
  <c r="BB129" i="5"/>
  <c r="BB130" i="5"/>
  <c r="BB131" i="5"/>
  <c r="BB132" i="5"/>
  <c r="BB133" i="5"/>
  <c r="BB134" i="5"/>
  <c r="BB135" i="5"/>
  <c r="BB128" i="5"/>
  <c r="BR131" i="5"/>
  <c r="BL132" i="5"/>
  <c r="BJ135" i="5"/>
  <c r="BJ132" i="5"/>
  <c r="AT132" i="5"/>
  <c r="BP132" i="5" s="1"/>
  <c r="BH135" i="5"/>
  <c r="BQ131" i="5"/>
  <c r="BG132" i="5"/>
  <c r="BQ133" i="5"/>
  <c r="BQ134" i="5"/>
  <c r="BQ135" i="5"/>
  <c r="BQ128" i="5"/>
  <c r="BQ129" i="5"/>
  <c r="BR128" i="5"/>
  <c r="BR130" i="5"/>
  <c r="BR132" i="5"/>
  <c r="BR133" i="5"/>
  <c r="BR134" i="5"/>
  <c r="BR135" i="5"/>
  <c r="BN129" i="5"/>
  <c r="BN130" i="5"/>
  <c r="BN131" i="5"/>
  <c r="BE132" i="5"/>
  <c r="BN133" i="5"/>
  <c r="BN134" i="5"/>
  <c r="BN135" i="5"/>
  <c r="BU151" i="5"/>
  <c r="BT151" i="5"/>
  <c r="BS151" i="5"/>
  <c r="BR151" i="5"/>
  <c r="BQ151" i="5"/>
  <c r="BP151" i="5"/>
  <c r="BO151" i="5"/>
  <c r="BN151" i="5"/>
  <c r="BK151" i="5"/>
  <c r="BJ151" i="5"/>
  <c r="BI151" i="5"/>
  <c r="BH151" i="5"/>
  <c r="BG151" i="5"/>
  <c r="BF151" i="5"/>
  <c r="BE151" i="5"/>
  <c r="BC151" i="5"/>
  <c r="BA151" i="5"/>
  <c r="BU150" i="5"/>
  <c r="BT150" i="5"/>
  <c r="BS150" i="5"/>
  <c r="BR150" i="5"/>
  <c r="BQ150" i="5"/>
  <c r="BO150" i="5"/>
  <c r="BN150" i="5"/>
  <c r="BM150" i="5"/>
  <c r="BL150" i="5"/>
  <c r="BJ150" i="5"/>
  <c r="BI150" i="5"/>
  <c r="BH150" i="5"/>
  <c r="BG150" i="5"/>
  <c r="BF150" i="5"/>
  <c r="BE150" i="5"/>
  <c r="BC150" i="5"/>
  <c r="BA150" i="5"/>
  <c r="BU149" i="5"/>
  <c r="BT149" i="5"/>
  <c r="BS149" i="5"/>
  <c r="BR149" i="5"/>
  <c r="BQ149" i="5"/>
  <c r="BP149" i="5"/>
  <c r="BO149" i="5"/>
  <c r="BN149" i="5"/>
  <c r="BL149" i="5"/>
  <c r="BK149" i="5"/>
  <c r="BI149" i="5"/>
  <c r="BH149" i="5"/>
  <c r="BG149" i="5"/>
  <c r="BF149" i="5"/>
  <c r="BE149" i="5"/>
  <c r="BA149" i="5"/>
  <c r="BU148" i="5"/>
  <c r="BT148" i="5"/>
  <c r="BS148" i="5"/>
  <c r="BR148" i="5"/>
  <c r="BQ148" i="5"/>
  <c r="BO148" i="5"/>
  <c r="BN148" i="5"/>
  <c r="BM148" i="5"/>
  <c r="BL148" i="5"/>
  <c r="BK148" i="5"/>
  <c r="BJ148" i="5"/>
  <c r="BH148" i="5"/>
  <c r="BG148" i="5"/>
  <c r="BF148" i="5"/>
  <c r="BE148" i="5"/>
  <c r="BA148" i="5"/>
  <c r="BU147" i="5"/>
  <c r="BT147" i="5"/>
  <c r="BS147" i="5"/>
  <c r="BR147" i="5"/>
  <c r="BQ147" i="5"/>
  <c r="BO147" i="5"/>
  <c r="BN147" i="5"/>
  <c r="BM147" i="5"/>
  <c r="BL147" i="5"/>
  <c r="BK147" i="5"/>
  <c r="BJ147" i="5"/>
  <c r="BI147" i="5"/>
  <c r="BG147" i="5"/>
  <c r="BF147" i="5"/>
  <c r="BE147" i="5"/>
  <c r="BA147" i="5"/>
  <c r="BU146" i="5"/>
  <c r="BT146" i="5"/>
  <c r="BS146" i="5"/>
  <c r="BR146" i="5"/>
  <c r="BP146" i="5"/>
  <c r="BO146" i="5"/>
  <c r="BN146" i="5"/>
  <c r="BM146" i="5"/>
  <c r="BL146" i="5"/>
  <c r="BK146" i="5"/>
  <c r="BJ146" i="5"/>
  <c r="BI146" i="5"/>
  <c r="BH146" i="5"/>
  <c r="BF146" i="5"/>
  <c r="BE146" i="5"/>
  <c r="BC146" i="5"/>
  <c r="BA146" i="5"/>
  <c r="BU145" i="5"/>
  <c r="BT145" i="5"/>
  <c r="BS145" i="5"/>
  <c r="BQ145" i="5"/>
  <c r="BP145" i="5"/>
  <c r="BO145" i="5"/>
  <c r="BN145" i="5"/>
  <c r="BM145" i="5"/>
  <c r="BL145" i="5"/>
  <c r="BK145" i="5"/>
  <c r="BJ145" i="5"/>
  <c r="BI145" i="5"/>
  <c r="BH145" i="5"/>
  <c r="BG145" i="5"/>
  <c r="BE145" i="5"/>
  <c r="BC145" i="5"/>
  <c r="BA145" i="5"/>
  <c r="BU144" i="5"/>
  <c r="BT144" i="5"/>
  <c r="BS144" i="5"/>
  <c r="BR144" i="5"/>
  <c r="BQ144" i="5"/>
  <c r="BP144" i="5"/>
  <c r="BO144" i="5"/>
  <c r="BM144" i="5"/>
  <c r="BL144" i="5"/>
  <c r="BK144" i="5"/>
  <c r="BJ144" i="5"/>
  <c r="BI144" i="5"/>
  <c r="BH144" i="5"/>
  <c r="BG144" i="5"/>
  <c r="BF144" i="5"/>
  <c r="BC144" i="5"/>
  <c r="BA144" i="5"/>
  <c r="BU143" i="5"/>
  <c r="BT143" i="5"/>
  <c r="BS143" i="5"/>
  <c r="BR143" i="5"/>
  <c r="BQ143" i="5"/>
  <c r="BP143" i="5"/>
  <c r="BO143" i="5"/>
  <c r="BN143" i="5"/>
  <c r="BK143" i="5"/>
  <c r="BJ143" i="5"/>
  <c r="BI143" i="5"/>
  <c r="BH143" i="5"/>
  <c r="BG143" i="5"/>
  <c r="BF143" i="5"/>
  <c r="BE143" i="5"/>
  <c r="BC143" i="5"/>
  <c r="BA143" i="5"/>
  <c r="BU142" i="5"/>
  <c r="BT142" i="5"/>
  <c r="BS142" i="5"/>
  <c r="BR142" i="5"/>
  <c r="BQ142" i="5"/>
  <c r="BO142" i="5"/>
  <c r="BN142" i="5"/>
  <c r="BM142" i="5"/>
  <c r="BL142" i="5"/>
  <c r="BJ142" i="5"/>
  <c r="BI142" i="5"/>
  <c r="BH142" i="5"/>
  <c r="BG142" i="5"/>
  <c r="BF142" i="5"/>
  <c r="BE142" i="5"/>
  <c r="BC142" i="5"/>
  <c r="BA142" i="5"/>
  <c r="BK142" i="5"/>
  <c r="BU141" i="5"/>
  <c r="BT141" i="5"/>
  <c r="BS141" i="5"/>
  <c r="BR141" i="5"/>
  <c r="BQ141" i="5"/>
  <c r="BP141" i="5"/>
  <c r="BO141" i="5"/>
  <c r="BN141" i="5"/>
  <c r="BL141" i="5"/>
  <c r="BK141" i="5"/>
  <c r="BI141" i="5"/>
  <c r="BH141" i="5"/>
  <c r="BG141" i="5"/>
  <c r="BF141" i="5"/>
  <c r="BE141" i="5"/>
  <c r="BC141" i="5"/>
  <c r="BA141" i="5"/>
  <c r="BU140" i="5"/>
  <c r="BT140" i="5"/>
  <c r="BS140" i="5"/>
  <c r="BR140" i="5"/>
  <c r="BQ140" i="5"/>
  <c r="BO140" i="5"/>
  <c r="BN140" i="5"/>
  <c r="BM140" i="5"/>
  <c r="BL140" i="5"/>
  <c r="BK140" i="5"/>
  <c r="BJ140" i="5"/>
  <c r="BH140" i="5"/>
  <c r="BG140" i="5"/>
  <c r="BF140" i="5"/>
  <c r="BE140" i="5"/>
  <c r="BC140" i="5"/>
  <c r="BA140" i="5"/>
  <c r="BU139" i="5"/>
  <c r="BT139" i="5"/>
  <c r="BS139" i="5"/>
  <c r="BR139" i="5"/>
  <c r="BQ139" i="5"/>
  <c r="BO139" i="5"/>
  <c r="BN139" i="5"/>
  <c r="BM139" i="5"/>
  <c r="BL139" i="5"/>
  <c r="BK139" i="5"/>
  <c r="BJ139" i="5"/>
  <c r="BI139" i="5"/>
  <c r="BG139" i="5"/>
  <c r="BF139" i="5"/>
  <c r="BE139" i="5"/>
  <c r="BC139" i="5"/>
  <c r="BA139" i="5"/>
  <c r="BU138" i="5"/>
  <c r="BT138" i="5"/>
  <c r="BS138" i="5"/>
  <c r="BR138" i="5"/>
  <c r="BP138" i="5"/>
  <c r="BO138" i="5"/>
  <c r="BN138" i="5"/>
  <c r="BM138" i="5"/>
  <c r="BL138" i="5"/>
  <c r="BK138" i="5"/>
  <c r="BJ138" i="5"/>
  <c r="BI138" i="5"/>
  <c r="BH138" i="5"/>
  <c r="BF138" i="5"/>
  <c r="BE138" i="5"/>
  <c r="BC138" i="5"/>
  <c r="BA138" i="5"/>
  <c r="BU137" i="5"/>
  <c r="BT137" i="5"/>
  <c r="BS137" i="5"/>
  <c r="BQ137" i="5"/>
  <c r="BP137" i="5"/>
  <c r="BO137" i="5"/>
  <c r="BN137" i="5"/>
  <c r="BM137" i="5"/>
  <c r="BL137" i="5"/>
  <c r="BK137" i="5"/>
  <c r="BJ137" i="5"/>
  <c r="BI137" i="5"/>
  <c r="BH137" i="5"/>
  <c r="BG137" i="5"/>
  <c r="BE137" i="5"/>
  <c r="BC137" i="5"/>
  <c r="BA137" i="5"/>
  <c r="BU136" i="5"/>
  <c r="BT136" i="5"/>
  <c r="BS136" i="5"/>
  <c r="BR136" i="5"/>
  <c r="BQ136" i="5"/>
  <c r="BP136" i="5"/>
  <c r="BO136" i="5"/>
  <c r="BM136" i="5"/>
  <c r="BL136" i="5"/>
  <c r="BK136" i="5"/>
  <c r="BJ136" i="5"/>
  <c r="BI136" i="5"/>
  <c r="BH136" i="5"/>
  <c r="BG136" i="5"/>
  <c r="BF136" i="5"/>
  <c r="BC136" i="5"/>
  <c r="BA136" i="5"/>
  <c r="BU135" i="5"/>
  <c r="BT135" i="5"/>
  <c r="BS135" i="5"/>
  <c r="BP135" i="5"/>
  <c r="BO135" i="5"/>
  <c r="BK135" i="5"/>
  <c r="BI135" i="5"/>
  <c r="BG135" i="5"/>
  <c r="BF135" i="5"/>
  <c r="BE135" i="5"/>
  <c r="BC135" i="5"/>
  <c r="BA135" i="5"/>
  <c r="AP135" i="5"/>
  <c r="BL135" i="5" s="1"/>
  <c r="BU134" i="5"/>
  <c r="BT134" i="5"/>
  <c r="BS134" i="5"/>
  <c r="BO134" i="5"/>
  <c r="BM134" i="5"/>
  <c r="BL134" i="5"/>
  <c r="BJ134" i="5"/>
  <c r="BI134" i="5"/>
  <c r="BH134" i="5"/>
  <c r="BG134" i="5"/>
  <c r="BF134" i="5"/>
  <c r="BE134" i="5"/>
  <c r="BC134" i="5"/>
  <c r="BA134" i="5"/>
  <c r="AO134" i="5"/>
  <c r="BK134" i="5" s="1"/>
  <c r="BU133" i="5"/>
  <c r="BT133" i="5"/>
  <c r="BS133" i="5"/>
  <c r="BP133" i="5"/>
  <c r="BO133" i="5"/>
  <c r="BL133" i="5"/>
  <c r="BK133" i="5"/>
  <c r="BI133" i="5"/>
  <c r="BH133" i="5"/>
  <c r="BG133" i="5"/>
  <c r="BF133" i="5"/>
  <c r="BE133" i="5"/>
  <c r="BC133" i="5"/>
  <c r="BA133" i="5"/>
  <c r="AN133" i="5"/>
  <c r="BJ133" i="5" s="1"/>
  <c r="BU132" i="5"/>
  <c r="BT132" i="5"/>
  <c r="BS132" i="5"/>
  <c r="BO132" i="5"/>
  <c r="BM132" i="5"/>
  <c r="BK132" i="5"/>
  <c r="BH132" i="5"/>
  <c r="BF132" i="5"/>
  <c r="BC132" i="5"/>
  <c r="BA132" i="5"/>
  <c r="AM132" i="5"/>
  <c r="BI132" i="5" s="1"/>
  <c r="BU131" i="5"/>
  <c r="BT131" i="5"/>
  <c r="BS131" i="5"/>
  <c r="BO131" i="5"/>
  <c r="BM131" i="5"/>
  <c r="BL131" i="5"/>
  <c r="BK131" i="5"/>
  <c r="BJ131" i="5"/>
  <c r="BI131" i="5"/>
  <c r="BG131" i="5"/>
  <c r="BF131" i="5"/>
  <c r="BE131" i="5"/>
  <c r="BC131" i="5"/>
  <c r="BA131" i="5"/>
  <c r="AL131" i="5"/>
  <c r="BH131" i="5" s="1"/>
  <c r="BU130" i="5"/>
  <c r="BT130" i="5"/>
  <c r="BS130" i="5"/>
  <c r="BP130" i="5"/>
  <c r="BO130" i="5"/>
  <c r="BM130" i="5"/>
  <c r="BL130" i="5"/>
  <c r="BK130" i="5"/>
  <c r="BJ130" i="5"/>
  <c r="BI130" i="5"/>
  <c r="BH130" i="5"/>
  <c r="BF130" i="5"/>
  <c r="BE130" i="5"/>
  <c r="BC130" i="5"/>
  <c r="BA130" i="5"/>
  <c r="AK130" i="5"/>
  <c r="BG130" i="5" s="1"/>
  <c r="BU129" i="5"/>
  <c r="BT129" i="5"/>
  <c r="BS129" i="5"/>
  <c r="BP129" i="5"/>
  <c r="BO129" i="5"/>
  <c r="BM129" i="5"/>
  <c r="BL129" i="5"/>
  <c r="BK129" i="5"/>
  <c r="BJ129" i="5"/>
  <c r="BI129" i="5"/>
  <c r="BH129" i="5"/>
  <c r="BG129" i="5"/>
  <c r="BE129" i="5"/>
  <c r="BC129" i="5"/>
  <c r="BA129" i="5"/>
  <c r="AJ129" i="5"/>
  <c r="BF129" i="5" s="1"/>
  <c r="BU128" i="5"/>
  <c r="BT128" i="5"/>
  <c r="BS128" i="5"/>
  <c r="BP128" i="5"/>
  <c r="BO128" i="5"/>
  <c r="BM128" i="5"/>
  <c r="BL128" i="5"/>
  <c r="BK128" i="5"/>
  <c r="BJ128" i="5"/>
  <c r="BI128" i="5"/>
  <c r="BH128" i="5"/>
  <c r="BG128" i="5"/>
  <c r="BF128" i="5"/>
  <c r="BC128" i="5"/>
  <c r="BA128" i="5"/>
  <c r="AI128" i="5"/>
  <c r="BE128" i="5" s="1"/>
  <c r="AT98" i="5"/>
  <c r="AT90" i="5"/>
  <c r="AP101" i="5"/>
  <c r="AQ101" i="5" s="1"/>
  <c r="AO100" i="5"/>
  <c r="AT100" i="5" s="1"/>
  <c r="AN99" i="5"/>
  <c r="AQ99" i="5" s="1"/>
  <c r="AM98" i="5"/>
  <c r="AL97" i="5"/>
  <c r="AT97" i="5" s="1"/>
  <c r="AK96" i="5"/>
  <c r="AU96" i="5" s="1"/>
  <c r="AJ95" i="5"/>
  <c r="AV95" i="5" s="1"/>
  <c r="AI94" i="5"/>
  <c r="AR94" i="5" s="1"/>
  <c r="AP93" i="5"/>
  <c r="AQ93" i="5" s="1"/>
  <c r="AO92" i="5"/>
  <c r="AT92" i="5" s="1"/>
  <c r="AN91" i="5"/>
  <c r="AQ91" i="5" s="1"/>
  <c r="AM90" i="5"/>
  <c r="AL89" i="5"/>
  <c r="AT89" i="5" s="1"/>
  <c r="AK88" i="5"/>
  <c r="AU88" i="5" s="1"/>
  <c r="AJ87" i="5"/>
  <c r="AV87" i="5" s="1"/>
  <c r="AI86" i="5"/>
  <c r="AR86" i="5" s="1"/>
  <c r="BC97" i="5"/>
  <c r="BB97" i="5"/>
  <c r="BB89" i="5"/>
  <c r="BA79" i="5"/>
  <c r="BA80" i="5"/>
  <c r="BA81" i="5"/>
  <c r="BA82" i="5"/>
  <c r="BA83" i="5"/>
  <c r="BA84" i="5"/>
  <c r="BA85" i="5"/>
  <c r="BA86" i="5"/>
  <c r="BA87" i="5"/>
  <c r="BA88" i="5"/>
  <c r="BA89" i="5"/>
  <c r="BA90" i="5"/>
  <c r="BA91" i="5"/>
  <c r="BA92" i="5"/>
  <c r="BA93" i="5"/>
  <c r="BA94" i="5"/>
  <c r="BA95" i="5"/>
  <c r="BA96" i="5"/>
  <c r="BA97" i="5"/>
  <c r="BA98" i="5"/>
  <c r="BA99" i="5"/>
  <c r="BA100" i="5"/>
  <c r="BA101" i="5"/>
  <c r="BA78" i="5"/>
  <c r="BJ81" i="5"/>
  <c r="BJ82" i="5"/>
  <c r="BF186" i="5" l="1"/>
  <c r="P37" i="12"/>
  <c r="BD37" i="12" s="1"/>
  <c r="Z40" i="12"/>
  <c r="BN40" i="12" s="1"/>
  <c r="BF137" i="5"/>
  <c r="BJ149" i="5"/>
  <c r="BK150" i="5"/>
  <c r="BG146" i="5"/>
  <c r="BE185" i="5"/>
  <c r="BF145" i="5"/>
  <c r="BF194" i="5"/>
  <c r="BJ141" i="5"/>
  <c r="T15" i="12"/>
  <c r="BH15" i="12" s="1"/>
  <c r="BL151" i="5"/>
  <c r="BG187" i="5"/>
  <c r="BL192" i="5"/>
  <c r="BE193" i="5"/>
  <c r="Z15" i="12"/>
  <c r="BN15" i="12" s="1"/>
  <c r="R15" i="12"/>
  <c r="BF15" i="12" s="1"/>
  <c r="Q37" i="12"/>
  <c r="BE37" i="12" s="1"/>
  <c r="L37" i="12"/>
  <c r="AZ37" i="12" s="1"/>
  <c r="X38" i="12"/>
  <c r="BL38" i="12" s="1"/>
  <c r="BA37" i="12"/>
  <c r="BH139" i="5"/>
  <c r="BL143" i="5"/>
  <c r="BH147" i="5"/>
  <c r="BE144" i="5"/>
  <c r="X15" i="12"/>
  <c r="BL15" i="12" s="1"/>
  <c r="O37" i="12"/>
  <c r="BC37" i="12" s="1"/>
  <c r="K37" i="12"/>
  <c r="AY37" i="12" s="1"/>
  <c r="T38" i="12"/>
  <c r="BH38" i="12" s="1"/>
  <c r="X40" i="12"/>
  <c r="BL40" i="12" s="1"/>
  <c r="T40" i="12"/>
  <c r="BH40" i="12" s="1"/>
  <c r="BK40" i="12"/>
  <c r="V40" i="12"/>
  <c r="BJ40" i="12" s="1"/>
  <c r="R40" i="12"/>
  <c r="BF40" i="12" s="1"/>
  <c r="N36" i="12"/>
  <c r="BB36" i="12" s="1"/>
  <c r="L36" i="12"/>
  <c r="AZ36" i="12" s="1"/>
  <c r="J36" i="12"/>
  <c r="AX36" i="12" s="1"/>
  <c r="P36" i="12"/>
  <c r="BD36" i="12" s="1"/>
  <c r="BA36" i="12"/>
  <c r="Q36" i="12"/>
  <c r="BE36" i="12" s="1"/>
  <c r="K36" i="12"/>
  <c r="AY36" i="12" s="1"/>
  <c r="X17" i="12"/>
  <c r="BL17" i="12" s="1"/>
  <c r="V17" i="12"/>
  <c r="BJ17" i="12" s="1"/>
  <c r="T17" i="12"/>
  <c r="BH17" i="12" s="1"/>
  <c r="R17" i="12"/>
  <c r="BF17" i="12" s="1"/>
  <c r="BK17" i="12"/>
  <c r="U17" i="12"/>
  <c r="BI17" i="12" s="1"/>
  <c r="S17" i="12"/>
  <c r="BG17" i="12" s="1"/>
  <c r="V38" i="12"/>
  <c r="BJ38" i="12" s="1"/>
  <c r="BK42" i="12"/>
  <c r="Z42" i="12"/>
  <c r="BN42" i="12" s="1"/>
  <c r="Y42" i="12"/>
  <c r="BM42" i="12" s="1"/>
  <c r="U42" i="12"/>
  <c r="BI42" i="12" s="1"/>
  <c r="S42" i="12"/>
  <c r="BG42" i="12" s="1"/>
  <c r="X42" i="12"/>
  <c r="BL42" i="12" s="1"/>
  <c r="V42" i="12"/>
  <c r="BJ42" i="12" s="1"/>
  <c r="T42" i="12"/>
  <c r="BH42" i="12" s="1"/>
  <c r="R42" i="12"/>
  <c r="BF42" i="12" s="1"/>
  <c r="BK38" i="12"/>
  <c r="Y38" i="12"/>
  <c r="BM38" i="12" s="1"/>
  <c r="S38" i="12"/>
  <c r="BG38" i="12" s="1"/>
  <c r="Z38" i="12"/>
  <c r="BN38" i="12" s="1"/>
  <c r="U38" i="12"/>
  <c r="BI38" i="12" s="1"/>
  <c r="U15" i="12"/>
  <c r="BI15" i="12" s="1"/>
  <c r="BK15" i="12"/>
  <c r="S15" i="12"/>
  <c r="BG15" i="12" s="1"/>
  <c r="BA41" i="12"/>
  <c r="P41" i="12"/>
  <c r="BD41" i="12" s="1"/>
  <c r="L41" i="12"/>
  <c r="AZ41" i="12" s="1"/>
  <c r="N41" i="12"/>
  <c r="BB41" i="12" s="1"/>
  <c r="J41" i="12"/>
  <c r="AX41" i="12" s="1"/>
  <c r="P42" i="12"/>
  <c r="BD42" i="12" s="1"/>
  <c r="N42" i="12"/>
  <c r="BB42" i="12" s="1"/>
  <c r="L42" i="12"/>
  <c r="AZ42" i="12" s="1"/>
  <c r="J42" i="12"/>
  <c r="AX42" i="12" s="1"/>
  <c r="BA42" i="12"/>
  <c r="Q42" i="12"/>
  <c r="BE42" i="12" s="1"/>
  <c r="K42" i="12"/>
  <c r="AY42" i="12" s="1"/>
  <c r="AT131" i="5"/>
  <c r="BP131" i="5" s="1"/>
  <c r="AR136" i="5"/>
  <c r="BN136" i="5" s="1"/>
  <c r="AU138" i="5"/>
  <c r="AQ184" i="5"/>
  <c r="BM184" i="5" s="1"/>
  <c r="AT180" i="5"/>
  <c r="AR177" i="5"/>
  <c r="BN177" i="5" s="1"/>
  <c r="AV178" i="5"/>
  <c r="BR178" i="5" s="1"/>
  <c r="AU179" i="5"/>
  <c r="BQ179" i="5" s="1"/>
  <c r="AQ182" i="5"/>
  <c r="AT183" i="5"/>
  <c r="BP183" i="5" s="1"/>
  <c r="BR186" i="5"/>
  <c r="BQ187" i="5"/>
  <c r="BP191" i="5"/>
  <c r="BR194" i="5"/>
  <c r="BQ195" i="5"/>
  <c r="BP199" i="5"/>
  <c r="BM200" i="5"/>
  <c r="BN132" i="5"/>
  <c r="BQ132" i="5"/>
  <c r="AR128" i="5"/>
  <c r="BN128" i="5" s="1"/>
  <c r="AV129" i="5"/>
  <c r="BR129" i="5" s="1"/>
  <c r="AU130" i="5"/>
  <c r="BQ130" i="5" s="1"/>
  <c r="AQ133" i="5"/>
  <c r="BM133" i="5" s="1"/>
  <c r="AT134" i="5"/>
  <c r="BP134" i="5" s="1"/>
  <c r="AQ135" i="5"/>
  <c r="BM135" i="5" s="1"/>
  <c r="BR137" i="5"/>
  <c r="BQ138" i="5"/>
  <c r="BP139" i="5"/>
  <c r="BM141" i="5"/>
  <c r="BP142" i="5"/>
  <c r="BM143" i="5"/>
  <c r="BN144" i="5"/>
  <c r="BR145" i="5"/>
  <c r="BQ146" i="5"/>
  <c r="BP147" i="5"/>
  <c r="BM149" i="5"/>
  <c r="BP150" i="5"/>
  <c r="BM151" i="5"/>
  <c r="AT82" i="5"/>
  <c r="BP82" i="5" s="1"/>
  <c r="AO84" i="5"/>
  <c r="AT84" i="5" s="1"/>
  <c r="BP84" i="5" s="1"/>
  <c r="AN83" i="5"/>
  <c r="AQ83" i="5" s="1"/>
  <c r="BM83" i="5" s="1"/>
  <c r="AI78" i="5"/>
  <c r="BU101" i="5"/>
  <c r="BT101" i="5"/>
  <c r="BS101" i="5"/>
  <c r="BR101" i="5"/>
  <c r="BQ101" i="5"/>
  <c r="BP101" i="5"/>
  <c r="BO101" i="5"/>
  <c r="BN101" i="5"/>
  <c r="BK101" i="5"/>
  <c r="BJ101" i="5"/>
  <c r="BI101" i="5"/>
  <c r="BH101" i="5"/>
  <c r="BG101" i="5"/>
  <c r="BF101" i="5"/>
  <c r="BE101" i="5"/>
  <c r="BC101" i="5"/>
  <c r="BB101" i="5"/>
  <c r="BL101" i="5"/>
  <c r="BU100" i="5"/>
  <c r="BT100" i="5"/>
  <c r="BS100" i="5"/>
  <c r="BR100" i="5"/>
  <c r="BQ100" i="5"/>
  <c r="BP100" i="5"/>
  <c r="BO100" i="5"/>
  <c r="BN100" i="5"/>
  <c r="BM100" i="5"/>
  <c r="BL100" i="5"/>
  <c r="BJ100" i="5"/>
  <c r="BI100" i="5"/>
  <c r="BH100" i="5"/>
  <c r="BG100" i="5"/>
  <c r="BF100" i="5"/>
  <c r="BE100" i="5"/>
  <c r="BC100" i="5"/>
  <c r="BB100" i="5"/>
  <c r="BK100" i="5"/>
  <c r="BU99" i="5"/>
  <c r="BT99" i="5"/>
  <c r="BS99" i="5"/>
  <c r="BR99" i="5"/>
  <c r="BQ99" i="5"/>
  <c r="BP99" i="5"/>
  <c r="BO99" i="5"/>
  <c r="BN99" i="5"/>
  <c r="BL99" i="5"/>
  <c r="BK99" i="5"/>
  <c r="BI99" i="5"/>
  <c r="BH99" i="5"/>
  <c r="BG99" i="5"/>
  <c r="BF99" i="5"/>
  <c r="BE99" i="5"/>
  <c r="BC99" i="5"/>
  <c r="BB99" i="5"/>
  <c r="BU98" i="5"/>
  <c r="BT98" i="5"/>
  <c r="BS98" i="5"/>
  <c r="BR98" i="5"/>
  <c r="BQ98" i="5"/>
  <c r="BO98" i="5"/>
  <c r="BN98" i="5"/>
  <c r="BM98" i="5"/>
  <c r="BL98" i="5"/>
  <c r="BK98" i="5"/>
  <c r="BJ98" i="5"/>
  <c r="BH98" i="5"/>
  <c r="BG98" i="5"/>
  <c r="BF98" i="5"/>
  <c r="BE98" i="5"/>
  <c r="BC98" i="5"/>
  <c r="BB98" i="5"/>
  <c r="BP98" i="5"/>
  <c r="BI98" i="5"/>
  <c r="BU97" i="5"/>
  <c r="BT97" i="5"/>
  <c r="BS97" i="5"/>
  <c r="BR97" i="5"/>
  <c r="BQ97" i="5"/>
  <c r="BO97" i="5"/>
  <c r="BN97" i="5"/>
  <c r="BM97" i="5"/>
  <c r="BL97" i="5"/>
  <c r="BK97" i="5"/>
  <c r="BJ97" i="5"/>
  <c r="BI97" i="5"/>
  <c r="BG97" i="5"/>
  <c r="BF97" i="5"/>
  <c r="BE97" i="5"/>
  <c r="BP97" i="5"/>
  <c r="BU96" i="5"/>
  <c r="BT96" i="5"/>
  <c r="BS96" i="5"/>
  <c r="BR96" i="5"/>
  <c r="BP96" i="5"/>
  <c r="BO96" i="5"/>
  <c r="BN96" i="5"/>
  <c r="BM96" i="5"/>
  <c r="BL96" i="5"/>
  <c r="BK96" i="5"/>
  <c r="BJ96" i="5"/>
  <c r="BI96" i="5"/>
  <c r="BH96" i="5"/>
  <c r="BF96" i="5"/>
  <c r="BE96" i="5"/>
  <c r="BC96" i="5"/>
  <c r="BB96" i="5"/>
  <c r="BG96" i="5"/>
  <c r="BU95" i="5"/>
  <c r="BT95" i="5"/>
  <c r="BS95" i="5"/>
  <c r="BQ95" i="5"/>
  <c r="BP95" i="5"/>
  <c r="BO95" i="5"/>
  <c r="BN95" i="5"/>
  <c r="BM95" i="5"/>
  <c r="BL95" i="5"/>
  <c r="BK95" i="5"/>
  <c r="BJ95" i="5"/>
  <c r="BI95" i="5"/>
  <c r="BH95" i="5"/>
  <c r="BG95" i="5"/>
  <c r="BE95" i="5"/>
  <c r="BC95" i="5"/>
  <c r="BB95" i="5"/>
  <c r="BR95" i="5"/>
  <c r="BU94" i="5"/>
  <c r="BT94" i="5"/>
  <c r="BS94" i="5"/>
  <c r="BR94" i="5"/>
  <c r="BQ94" i="5"/>
  <c r="BP94" i="5"/>
  <c r="BO94" i="5"/>
  <c r="BM94" i="5"/>
  <c r="BL94" i="5"/>
  <c r="BK94" i="5"/>
  <c r="BJ94" i="5"/>
  <c r="BI94" i="5"/>
  <c r="BH94" i="5"/>
  <c r="BG94" i="5"/>
  <c r="BF94" i="5"/>
  <c r="BC94" i="5"/>
  <c r="BB94" i="5"/>
  <c r="BE94" i="5"/>
  <c r="BU93" i="5"/>
  <c r="BT93" i="5"/>
  <c r="BS93" i="5"/>
  <c r="BR93" i="5"/>
  <c r="BQ93" i="5"/>
  <c r="BP93" i="5"/>
  <c r="BO93" i="5"/>
  <c r="BN93" i="5"/>
  <c r="BK93" i="5"/>
  <c r="BJ93" i="5"/>
  <c r="BI93" i="5"/>
  <c r="BH93" i="5"/>
  <c r="BG93" i="5"/>
  <c r="BF93" i="5"/>
  <c r="BE93" i="5"/>
  <c r="BC93" i="5"/>
  <c r="BB93" i="5"/>
  <c r="BM93" i="5"/>
  <c r="BU92" i="5"/>
  <c r="BT92" i="5"/>
  <c r="BS92" i="5"/>
  <c r="BR92" i="5"/>
  <c r="BQ92" i="5"/>
  <c r="BP92" i="5"/>
  <c r="BO92" i="5"/>
  <c r="BN92" i="5"/>
  <c r="BM92" i="5"/>
  <c r="BL92" i="5"/>
  <c r="BJ92" i="5"/>
  <c r="BI92" i="5"/>
  <c r="BH92" i="5"/>
  <c r="BG92" i="5"/>
  <c r="BF92" i="5"/>
  <c r="BE92" i="5"/>
  <c r="BC92" i="5"/>
  <c r="BB92" i="5"/>
  <c r="BK92" i="5"/>
  <c r="BU91" i="5"/>
  <c r="BT91" i="5"/>
  <c r="BS91" i="5"/>
  <c r="BR91" i="5"/>
  <c r="BQ91" i="5"/>
  <c r="BP91" i="5"/>
  <c r="BO91" i="5"/>
  <c r="BN91" i="5"/>
  <c r="BL91" i="5"/>
  <c r="BK91" i="5"/>
  <c r="BI91" i="5"/>
  <c r="BH91" i="5"/>
  <c r="BG91" i="5"/>
  <c r="BF91" i="5"/>
  <c r="BE91" i="5"/>
  <c r="BC91" i="5"/>
  <c r="BB91" i="5"/>
  <c r="BJ91" i="5"/>
  <c r="BU90" i="5"/>
  <c r="BT90" i="5"/>
  <c r="BS90" i="5"/>
  <c r="BR90" i="5"/>
  <c r="BQ90" i="5"/>
  <c r="BO90" i="5"/>
  <c r="BN90" i="5"/>
  <c r="BM90" i="5"/>
  <c r="BL90" i="5"/>
  <c r="BK90" i="5"/>
  <c r="BJ90" i="5"/>
  <c r="BH90" i="5"/>
  <c r="BG90" i="5"/>
  <c r="BF90" i="5"/>
  <c r="BE90" i="5"/>
  <c r="BC90" i="5"/>
  <c r="BB90" i="5"/>
  <c r="BP90" i="5"/>
  <c r="BI90" i="5"/>
  <c r="BU89" i="5"/>
  <c r="BT89" i="5"/>
  <c r="BS89" i="5"/>
  <c r="BR89" i="5"/>
  <c r="BQ89" i="5"/>
  <c r="BO89" i="5"/>
  <c r="BN89" i="5"/>
  <c r="BM89" i="5"/>
  <c r="BL89" i="5"/>
  <c r="BK89" i="5"/>
  <c r="BJ89" i="5"/>
  <c r="BI89" i="5"/>
  <c r="BG89" i="5"/>
  <c r="BF89" i="5"/>
  <c r="BE89" i="5"/>
  <c r="BC89" i="5"/>
  <c r="BP89" i="5"/>
  <c r="BH89" i="5"/>
  <c r="BU88" i="5"/>
  <c r="BT88" i="5"/>
  <c r="BS88" i="5"/>
  <c r="BR88" i="5"/>
  <c r="BP88" i="5"/>
  <c r="BO88" i="5"/>
  <c r="BN88" i="5"/>
  <c r="BM88" i="5"/>
  <c r="BL88" i="5"/>
  <c r="BK88" i="5"/>
  <c r="BJ88" i="5"/>
  <c r="BI88" i="5"/>
  <c r="BH88" i="5"/>
  <c r="BF88" i="5"/>
  <c r="BE88" i="5"/>
  <c r="BC88" i="5"/>
  <c r="BB88" i="5"/>
  <c r="BG88" i="5"/>
  <c r="BU87" i="5"/>
  <c r="BT87" i="5"/>
  <c r="BS87" i="5"/>
  <c r="BQ87" i="5"/>
  <c r="BP87" i="5"/>
  <c r="BO87" i="5"/>
  <c r="BN87" i="5"/>
  <c r="BM87" i="5"/>
  <c r="BL87" i="5"/>
  <c r="BK87" i="5"/>
  <c r="BJ87" i="5"/>
  <c r="BI87" i="5"/>
  <c r="BH87" i="5"/>
  <c r="BG87" i="5"/>
  <c r="BE87" i="5"/>
  <c r="BC87" i="5"/>
  <c r="BB87" i="5"/>
  <c r="BF87" i="5"/>
  <c r="BU86" i="5"/>
  <c r="BT86" i="5"/>
  <c r="BS86" i="5"/>
  <c r="BR86" i="5"/>
  <c r="BQ86" i="5"/>
  <c r="BP86" i="5"/>
  <c r="BO86" i="5"/>
  <c r="BM86" i="5"/>
  <c r="BL86" i="5"/>
  <c r="BK86" i="5"/>
  <c r="BJ86" i="5"/>
  <c r="BI86" i="5"/>
  <c r="BH86" i="5"/>
  <c r="BG86" i="5"/>
  <c r="BF86" i="5"/>
  <c r="BC86" i="5"/>
  <c r="BB86" i="5"/>
  <c r="BE86" i="5"/>
  <c r="BU85" i="5"/>
  <c r="BT85" i="5"/>
  <c r="BS85" i="5"/>
  <c r="BR85" i="5"/>
  <c r="BQ85" i="5"/>
  <c r="BP85" i="5"/>
  <c r="BO85" i="5"/>
  <c r="BN85" i="5"/>
  <c r="BK85" i="5"/>
  <c r="BJ85" i="5"/>
  <c r="BI85" i="5"/>
  <c r="BH85" i="5"/>
  <c r="BG85" i="5"/>
  <c r="BF85" i="5"/>
  <c r="BE85" i="5"/>
  <c r="BC85" i="5"/>
  <c r="BB85" i="5"/>
  <c r="AP85" i="5"/>
  <c r="BL85" i="5" s="1"/>
  <c r="BU84" i="5"/>
  <c r="BT84" i="5"/>
  <c r="BS84" i="5"/>
  <c r="BR84" i="5"/>
  <c r="BQ84" i="5"/>
  <c r="BO84" i="5"/>
  <c r="BN84" i="5"/>
  <c r="BM84" i="5"/>
  <c r="BL84" i="5"/>
  <c r="BJ84" i="5"/>
  <c r="BI84" i="5"/>
  <c r="BH84" i="5"/>
  <c r="BG84" i="5"/>
  <c r="BF84" i="5"/>
  <c r="BE84" i="5"/>
  <c r="BC84" i="5"/>
  <c r="BB84" i="5"/>
  <c r="BU83" i="5"/>
  <c r="BT83" i="5"/>
  <c r="BS83" i="5"/>
  <c r="BR83" i="5"/>
  <c r="BQ83" i="5"/>
  <c r="BP83" i="5"/>
  <c r="BO83" i="5"/>
  <c r="BN83" i="5"/>
  <c r="BL83" i="5"/>
  <c r="BK83" i="5"/>
  <c r="BI83" i="5"/>
  <c r="BH83" i="5"/>
  <c r="BG83" i="5"/>
  <c r="BF83" i="5"/>
  <c r="BE83" i="5"/>
  <c r="BC83" i="5"/>
  <c r="BB83" i="5"/>
  <c r="BU82" i="5"/>
  <c r="BT82" i="5"/>
  <c r="BS82" i="5"/>
  <c r="BR82" i="5"/>
  <c r="BQ82" i="5"/>
  <c r="BO82" i="5"/>
  <c r="BN82" i="5"/>
  <c r="BM82" i="5"/>
  <c r="BL82" i="5"/>
  <c r="BK82" i="5"/>
  <c r="BH82" i="5"/>
  <c r="BG82" i="5"/>
  <c r="BF82" i="5"/>
  <c r="BE82" i="5"/>
  <c r="BC82" i="5"/>
  <c r="BB82" i="5"/>
  <c r="AM82" i="5"/>
  <c r="BI82" i="5" s="1"/>
  <c r="BU81" i="5"/>
  <c r="BT81" i="5"/>
  <c r="BS81" i="5"/>
  <c r="BR81" i="5"/>
  <c r="BQ81" i="5"/>
  <c r="BO81" i="5"/>
  <c r="BN81" i="5"/>
  <c r="BM81" i="5"/>
  <c r="BL81" i="5"/>
  <c r="BK81" i="5"/>
  <c r="BI81" i="5"/>
  <c r="BG81" i="5"/>
  <c r="BF81" i="5"/>
  <c r="BE81" i="5"/>
  <c r="BC81" i="5"/>
  <c r="BB81" i="5"/>
  <c r="AL81" i="5"/>
  <c r="AT81" i="5" s="1"/>
  <c r="BP81" i="5" s="1"/>
  <c r="BU80" i="5"/>
  <c r="BT80" i="5"/>
  <c r="BS80" i="5"/>
  <c r="BR80" i="5"/>
  <c r="BP80" i="5"/>
  <c r="BO80" i="5"/>
  <c r="BN80" i="5"/>
  <c r="BM80" i="5"/>
  <c r="BL80" i="5"/>
  <c r="BK80" i="5"/>
  <c r="BJ80" i="5"/>
  <c r="BI80" i="5"/>
  <c r="BH80" i="5"/>
  <c r="BF80" i="5"/>
  <c r="BE80" i="5"/>
  <c r="BC80" i="5"/>
  <c r="BB80" i="5"/>
  <c r="AK80" i="5"/>
  <c r="BG80" i="5" s="1"/>
  <c r="BU79" i="5"/>
  <c r="BT79" i="5"/>
  <c r="BS79" i="5"/>
  <c r="BQ79" i="5"/>
  <c r="BP79" i="5"/>
  <c r="BO79" i="5"/>
  <c r="BN79" i="5"/>
  <c r="BM79" i="5"/>
  <c r="BL79" i="5"/>
  <c r="BK79" i="5"/>
  <c r="BJ79" i="5"/>
  <c r="BI79" i="5"/>
  <c r="BH79" i="5"/>
  <c r="BG79" i="5"/>
  <c r="BE79" i="5"/>
  <c r="BC79" i="5"/>
  <c r="BB79" i="5"/>
  <c r="AJ79" i="5"/>
  <c r="AV79" i="5" s="1"/>
  <c r="BR79" i="5" s="1"/>
  <c r="BU78" i="5"/>
  <c r="BT78" i="5"/>
  <c r="BS78" i="5"/>
  <c r="BR78" i="5"/>
  <c r="BQ78" i="5"/>
  <c r="BP78" i="5"/>
  <c r="BO78" i="5"/>
  <c r="BM78" i="5"/>
  <c r="BL78" i="5"/>
  <c r="BK78" i="5"/>
  <c r="BJ78" i="5"/>
  <c r="BI78" i="5"/>
  <c r="BH78" i="5"/>
  <c r="BG78" i="5"/>
  <c r="BF78" i="5"/>
  <c r="BC78" i="5"/>
  <c r="BB78" i="5"/>
  <c r="BE78" i="5"/>
  <c r="BC28" i="5"/>
  <c r="BC29" i="5"/>
  <c r="BC30" i="5"/>
  <c r="BC31" i="5"/>
  <c r="BC32" i="5"/>
  <c r="BC33" i="5"/>
  <c r="BC34" i="5"/>
  <c r="BC35" i="5"/>
  <c r="BC36" i="5"/>
  <c r="BC37" i="5"/>
  <c r="BC38" i="5"/>
  <c r="BC39" i="5"/>
  <c r="BC40" i="5"/>
  <c r="BC41" i="5"/>
  <c r="BC42" i="5"/>
  <c r="BC43" i="5"/>
  <c r="BC44" i="5"/>
  <c r="BC45" i="5"/>
  <c r="BC46" i="5"/>
  <c r="BC47" i="5"/>
  <c r="BC48" i="5"/>
  <c r="BC49" i="5"/>
  <c r="BC50" i="5"/>
  <c r="BC27" i="5"/>
  <c r="BB31" i="5"/>
  <c r="BB32" i="5"/>
  <c r="BB33" i="5"/>
  <c r="BB34" i="5"/>
  <c r="BB35" i="5"/>
  <c r="BB36" i="5"/>
  <c r="BB37" i="5"/>
  <c r="BB38" i="5"/>
  <c r="BB39" i="5"/>
  <c r="BB40" i="5"/>
  <c r="BB41" i="5"/>
  <c r="BB42" i="5"/>
  <c r="BB43" i="5"/>
  <c r="BB44" i="5"/>
  <c r="BB45" i="5"/>
  <c r="BB46" i="5"/>
  <c r="BB47" i="5"/>
  <c r="BB48" i="5"/>
  <c r="BB49" i="5"/>
  <c r="BB50" i="5"/>
  <c r="BB29" i="5"/>
  <c r="BB30" i="5"/>
  <c r="BB28" i="5"/>
  <c r="BB27" i="5"/>
  <c r="BA50" i="5"/>
  <c r="BA29" i="5"/>
  <c r="BA30" i="5"/>
  <c r="BA31" i="5"/>
  <c r="BA32" i="5"/>
  <c r="BA33" i="5"/>
  <c r="BA34" i="5"/>
  <c r="BA35" i="5"/>
  <c r="BA36" i="5"/>
  <c r="BA37" i="5"/>
  <c r="BA38" i="5"/>
  <c r="BA39" i="5"/>
  <c r="BA40" i="5"/>
  <c r="BA41" i="5"/>
  <c r="BA42" i="5"/>
  <c r="BA43" i="5"/>
  <c r="BA44" i="5"/>
  <c r="BA45" i="5"/>
  <c r="BA46" i="5"/>
  <c r="BA47" i="5"/>
  <c r="BA48" i="5"/>
  <c r="BA49" i="5"/>
  <c r="BH28" i="5"/>
  <c r="BH29" i="5"/>
  <c r="BH31" i="5"/>
  <c r="BH32" i="5"/>
  <c r="BH33" i="5"/>
  <c r="BH34" i="5"/>
  <c r="BH35" i="5"/>
  <c r="BH36" i="5"/>
  <c r="BH37" i="5"/>
  <c r="BH39" i="5"/>
  <c r="BH40" i="5"/>
  <c r="BH41" i="5"/>
  <c r="BH42" i="5"/>
  <c r="BH43" i="5"/>
  <c r="BH44" i="5"/>
  <c r="BH45" i="5"/>
  <c r="BH47" i="5"/>
  <c r="BH48" i="5"/>
  <c r="BH49" i="5"/>
  <c r="BH50" i="5"/>
  <c r="BG28" i="5"/>
  <c r="BG30" i="5"/>
  <c r="BG31" i="5"/>
  <c r="BG32" i="5"/>
  <c r="BG33" i="5"/>
  <c r="BG34" i="5"/>
  <c r="BG35" i="5"/>
  <c r="BG36" i="5"/>
  <c r="BG38" i="5"/>
  <c r="BG39" i="5"/>
  <c r="BG40" i="5"/>
  <c r="BG41" i="5"/>
  <c r="BG42" i="5"/>
  <c r="BG43" i="5"/>
  <c r="BG44" i="5"/>
  <c r="BG46" i="5"/>
  <c r="BG47" i="5"/>
  <c r="BG48" i="5"/>
  <c r="BG49" i="5"/>
  <c r="BG50" i="5"/>
  <c r="BF29" i="5"/>
  <c r="BF30" i="5"/>
  <c r="BF31" i="5"/>
  <c r="BF32" i="5"/>
  <c r="BF33" i="5"/>
  <c r="BF34" i="5"/>
  <c r="BF35" i="5"/>
  <c r="BF37" i="5"/>
  <c r="BF38" i="5"/>
  <c r="BF39" i="5"/>
  <c r="BF40" i="5"/>
  <c r="BF41" i="5"/>
  <c r="BF42" i="5"/>
  <c r="BF43" i="5"/>
  <c r="BF45" i="5"/>
  <c r="BF46" i="5"/>
  <c r="BF47" i="5"/>
  <c r="BF48" i="5"/>
  <c r="BF49" i="5"/>
  <c r="BF50" i="5"/>
  <c r="BE28" i="5"/>
  <c r="BE29" i="5"/>
  <c r="BE30" i="5"/>
  <c r="BE31" i="5"/>
  <c r="BE32" i="5"/>
  <c r="BE33" i="5"/>
  <c r="BE34" i="5"/>
  <c r="BE36" i="5"/>
  <c r="BE37" i="5"/>
  <c r="BE38" i="5"/>
  <c r="BE39" i="5"/>
  <c r="BE40" i="5"/>
  <c r="BE41" i="5"/>
  <c r="BE42" i="5"/>
  <c r="BE44" i="5"/>
  <c r="BE45" i="5"/>
  <c r="BE46" i="5"/>
  <c r="BE47" i="5"/>
  <c r="BE48" i="5"/>
  <c r="BE49" i="5"/>
  <c r="BE50" i="5"/>
  <c r="BF27" i="5"/>
  <c r="BG27" i="5"/>
  <c r="BH27" i="5"/>
  <c r="BI29" i="5"/>
  <c r="BI30" i="5"/>
  <c r="BI32" i="5"/>
  <c r="BI33" i="5"/>
  <c r="BI34" i="5"/>
  <c r="BI35" i="5"/>
  <c r="BI36" i="5"/>
  <c r="BI37" i="5"/>
  <c r="BI38" i="5"/>
  <c r="BI40" i="5"/>
  <c r="BI41" i="5"/>
  <c r="BI42" i="5"/>
  <c r="BI43" i="5"/>
  <c r="BI44" i="5"/>
  <c r="BI45" i="5"/>
  <c r="BI46" i="5"/>
  <c r="BI48" i="5"/>
  <c r="BI49" i="5"/>
  <c r="BI50" i="5"/>
  <c r="BJ29" i="5"/>
  <c r="BJ30" i="5"/>
  <c r="BJ31" i="5"/>
  <c r="BJ33" i="5"/>
  <c r="BJ34" i="5"/>
  <c r="BJ35" i="5"/>
  <c r="BJ36" i="5"/>
  <c r="BJ37" i="5"/>
  <c r="BJ38" i="5"/>
  <c r="BJ39" i="5"/>
  <c r="BJ41" i="5"/>
  <c r="BJ42" i="5"/>
  <c r="BJ43" i="5"/>
  <c r="BJ44" i="5"/>
  <c r="BJ45" i="5"/>
  <c r="BJ46" i="5"/>
  <c r="BJ47" i="5"/>
  <c r="BJ49" i="5"/>
  <c r="BJ50" i="5"/>
  <c r="BJ27" i="5"/>
  <c r="BI27" i="5"/>
  <c r="BI28" i="5"/>
  <c r="BK29" i="5"/>
  <c r="BK30" i="5"/>
  <c r="BK31" i="5"/>
  <c r="BK32" i="5"/>
  <c r="BK34" i="5"/>
  <c r="BK35" i="5"/>
  <c r="BK36" i="5"/>
  <c r="BK37" i="5"/>
  <c r="BK38" i="5"/>
  <c r="BK39" i="5"/>
  <c r="BK40" i="5"/>
  <c r="BK42" i="5"/>
  <c r="BK43" i="5"/>
  <c r="BK44" i="5"/>
  <c r="BK45" i="5"/>
  <c r="BK46" i="5"/>
  <c r="BK47" i="5"/>
  <c r="BK48" i="5"/>
  <c r="BK50" i="5"/>
  <c r="BK27" i="5"/>
  <c r="BL31" i="5"/>
  <c r="BL32" i="5"/>
  <c r="BL33" i="5"/>
  <c r="BL35" i="5"/>
  <c r="BL36" i="5"/>
  <c r="BL37" i="5"/>
  <c r="BL38" i="5"/>
  <c r="BL39" i="5"/>
  <c r="BL40" i="5"/>
  <c r="BL41" i="5"/>
  <c r="BL43" i="5"/>
  <c r="BL44" i="5"/>
  <c r="BL45" i="5"/>
  <c r="BL46" i="5"/>
  <c r="BL47" i="5"/>
  <c r="BL48" i="5"/>
  <c r="BL49" i="5"/>
  <c r="BL27" i="5"/>
  <c r="BL28" i="5"/>
  <c r="BL29" i="5"/>
  <c r="BM33" i="5"/>
  <c r="BM27" i="5"/>
  <c r="BM28" i="5"/>
  <c r="BM29" i="5"/>
  <c r="BM30" i="5"/>
  <c r="BM31" i="5"/>
  <c r="BO31" i="5"/>
  <c r="BO32" i="5"/>
  <c r="BO33" i="5"/>
  <c r="BO34" i="5"/>
  <c r="BO35" i="5"/>
  <c r="BO36" i="5"/>
  <c r="BO37" i="5"/>
  <c r="BO38" i="5"/>
  <c r="BO39" i="5"/>
  <c r="BO40" i="5"/>
  <c r="BO41" i="5"/>
  <c r="BO42" i="5"/>
  <c r="BO43" i="5"/>
  <c r="BO44" i="5"/>
  <c r="BO45" i="5"/>
  <c r="BO46" i="5"/>
  <c r="BO47" i="5"/>
  <c r="BO48" i="5"/>
  <c r="BO49" i="5"/>
  <c r="BO50" i="5"/>
  <c r="BO27" i="5"/>
  <c r="BO28" i="5"/>
  <c r="BO29" i="5"/>
  <c r="BP33" i="5"/>
  <c r="BP34" i="5"/>
  <c r="BP35" i="5"/>
  <c r="BP36" i="5"/>
  <c r="BP37" i="5"/>
  <c r="BP40" i="5"/>
  <c r="BP41" i="5"/>
  <c r="BP42" i="5"/>
  <c r="BP43" i="5"/>
  <c r="BP44" i="5"/>
  <c r="BP45" i="5"/>
  <c r="BP48" i="5"/>
  <c r="BP49" i="5"/>
  <c r="BP50" i="5"/>
  <c r="BP27" i="5"/>
  <c r="BP28" i="5"/>
  <c r="BP29" i="5"/>
  <c r="BQ30" i="5"/>
  <c r="BQ31" i="5"/>
  <c r="BQ32" i="5"/>
  <c r="BQ33" i="5"/>
  <c r="BQ34" i="5"/>
  <c r="BQ35" i="5"/>
  <c r="BQ36" i="5"/>
  <c r="BQ38" i="5"/>
  <c r="BQ39" i="5"/>
  <c r="BQ40" i="5"/>
  <c r="BQ41" i="5"/>
  <c r="BQ42" i="5"/>
  <c r="BQ43" i="5"/>
  <c r="BQ44" i="5"/>
  <c r="BQ46" i="5"/>
  <c r="BQ47" i="5"/>
  <c r="BQ48" i="5"/>
  <c r="BQ49" i="5"/>
  <c r="BQ50" i="5"/>
  <c r="BQ27" i="5"/>
  <c r="BQ28" i="5"/>
  <c r="BR27" i="5"/>
  <c r="BR47" i="5"/>
  <c r="BR48" i="5"/>
  <c r="BR49" i="5"/>
  <c r="BR50" i="5"/>
  <c r="BR30" i="5"/>
  <c r="BR31" i="5"/>
  <c r="BR32" i="5"/>
  <c r="BR33" i="5"/>
  <c r="BR34" i="5"/>
  <c r="BR35" i="5"/>
  <c r="BR37" i="5"/>
  <c r="BR38" i="5"/>
  <c r="BR39" i="5"/>
  <c r="BR40" i="5"/>
  <c r="BR41" i="5"/>
  <c r="BR42" i="5"/>
  <c r="BR43" i="5"/>
  <c r="BR45" i="5"/>
  <c r="BR46" i="5"/>
  <c r="BR29" i="5"/>
  <c r="BU35" i="5"/>
  <c r="BU36" i="5"/>
  <c r="BU37" i="5"/>
  <c r="BU38" i="5"/>
  <c r="BU39" i="5"/>
  <c r="BU40" i="5"/>
  <c r="BU41" i="5"/>
  <c r="BU42" i="5"/>
  <c r="BU43" i="5"/>
  <c r="BU44" i="5"/>
  <c r="BU45" i="5"/>
  <c r="BU46" i="5"/>
  <c r="BU47" i="5"/>
  <c r="BU48" i="5"/>
  <c r="BU49" i="5"/>
  <c r="BU50" i="5"/>
  <c r="BT35" i="5"/>
  <c r="BT36" i="5"/>
  <c r="BT37" i="5"/>
  <c r="BT38" i="5"/>
  <c r="BT39" i="5"/>
  <c r="BT40" i="5"/>
  <c r="BT41" i="5"/>
  <c r="BT42" i="5"/>
  <c r="BT43" i="5"/>
  <c r="BT44" i="5"/>
  <c r="BT45" i="5"/>
  <c r="BT46" i="5"/>
  <c r="BT47" i="5"/>
  <c r="BT48" i="5"/>
  <c r="BT49" i="5"/>
  <c r="BT50" i="5"/>
  <c r="BS35" i="5"/>
  <c r="BS36" i="5"/>
  <c r="BS37" i="5"/>
  <c r="BS38" i="5"/>
  <c r="BS39" i="5"/>
  <c r="BS40" i="5"/>
  <c r="BS41" i="5"/>
  <c r="BS42" i="5"/>
  <c r="BS43" i="5"/>
  <c r="BS44" i="5"/>
  <c r="BS45" i="5"/>
  <c r="BS46" i="5"/>
  <c r="BS47" i="5"/>
  <c r="BS48" i="5"/>
  <c r="BS49" i="5"/>
  <c r="BS50" i="5"/>
  <c r="BN36" i="5"/>
  <c r="BN37" i="5"/>
  <c r="BN38" i="5"/>
  <c r="BN39" i="5"/>
  <c r="BN40" i="5"/>
  <c r="BN41" i="5"/>
  <c r="BN42" i="5"/>
  <c r="BN44" i="5"/>
  <c r="BN45" i="5"/>
  <c r="BN46" i="5"/>
  <c r="BN47" i="5"/>
  <c r="BN48" i="5"/>
  <c r="BN49" i="5"/>
  <c r="BN50" i="5"/>
  <c r="BM36" i="5"/>
  <c r="BM37" i="5"/>
  <c r="BM38" i="5"/>
  <c r="BM39" i="5"/>
  <c r="BM41" i="5"/>
  <c r="BM43" i="5"/>
  <c r="BM44" i="5"/>
  <c r="BM45" i="5"/>
  <c r="BM46" i="5"/>
  <c r="BM47" i="5"/>
  <c r="BM49" i="5"/>
  <c r="BM35" i="5"/>
  <c r="BS28" i="5"/>
  <c r="BT28" i="5"/>
  <c r="BU28" i="5"/>
  <c r="BS29" i="5"/>
  <c r="BT29" i="5"/>
  <c r="BU29" i="5"/>
  <c r="BS30" i="5"/>
  <c r="BT30" i="5"/>
  <c r="BU30" i="5"/>
  <c r="BS31" i="5"/>
  <c r="BT31" i="5"/>
  <c r="BU31" i="5"/>
  <c r="BS32" i="5"/>
  <c r="BT32" i="5"/>
  <c r="BU32" i="5"/>
  <c r="BS33" i="5"/>
  <c r="BT33" i="5"/>
  <c r="BU33" i="5"/>
  <c r="BS34" i="5"/>
  <c r="BT34" i="5"/>
  <c r="BU34" i="5"/>
  <c r="BO30" i="5"/>
  <c r="BP32" i="5"/>
  <c r="BN28" i="5"/>
  <c r="BN29" i="5"/>
  <c r="BN30" i="5"/>
  <c r="BN31" i="5"/>
  <c r="BN32" i="5"/>
  <c r="BN33" i="5"/>
  <c r="BN34" i="5"/>
  <c r="BJ28" i="5"/>
  <c r="BK28" i="5"/>
  <c r="BL30" i="5"/>
  <c r="BU27" i="5"/>
  <c r="BT27" i="5"/>
  <c r="BS27" i="5"/>
  <c r="BK84" i="5" l="1"/>
  <c r="BN86" i="5"/>
  <c r="AQ85" i="5"/>
  <c r="BM85" i="5" s="1"/>
  <c r="BM99" i="5"/>
  <c r="AU80" i="5"/>
  <c r="BQ80" i="5" s="1"/>
  <c r="BM101" i="5"/>
  <c r="BR87" i="5"/>
  <c r="BQ88" i="5"/>
  <c r="BM91" i="5"/>
  <c r="BF79" i="5"/>
  <c r="BH81" i="5"/>
  <c r="BJ83" i="5"/>
  <c r="BL93" i="5"/>
  <c r="BF95" i="5"/>
  <c r="BH97" i="5"/>
  <c r="BJ99" i="5"/>
  <c r="AR78" i="5"/>
  <c r="BN78" i="5" s="1"/>
  <c r="BN94" i="5"/>
  <c r="BQ96" i="5"/>
  <c r="AT47" i="5"/>
  <c r="BP47" i="5" s="1"/>
  <c r="AT39" i="5"/>
  <c r="BP39" i="5" s="1"/>
  <c r="AP50" i="5"/>
  <c r="BL50" i="5" s="1"/>
  <c r="AO49" i="5"/>
  <c r="BK49" i="5" s="1"/>
  <c r="AN48" i="5"/>
  <c r="BJ48" i="5" s="1"/>
  <c r="AM47" i="5"/>
  <c r="BI47" i="5" s="1"/>
  <c r="AL46" i="5"/>
  <c r="BH46" i="5" s="1"/>
  <c r="AK45" i="5"/>
  <c r="BG45" i="5" s="1"/>
  <c r="AJ44" i="5"/>
  <c r="BF44" i="5" s="1"/>
  <c r="AI43" i="5"/>
  <c r="BE43" i="5" s="1"/>
  <c r="AP42" i="5"/>
  <c r="BL42" i="5" s="1"/>
  <c r="AO41" i="5"/>
  <c r="BK41" i="5" s="1"/>
  <c r="AN40" i="5"/>
  <c r="BJ40" i="5" s="1"/>
  <c r="AM39" i="5"/>
  <c r="BI39" i="5" s="1"/>
  <c r="AL38" i="5"/>
  <c r="BH38" i="5" s="1"/>
  <c r="AK37" i="5"/>
  <c r="BG37" i="5" s="1"/>
  <c r="AJ36" i="5"/>
  <c r="BF36" i="5" s="1"/>
  <c r="AI35" i="5"/>
  <c r="BE35" i="5" s="1"/>
  <c r="AV44" i="5" l="1"/>
  <c r="BR44" i="5" s="1"/>
  <c r="AQ42" i="5"/>
  <c r="BM42" i="5" s="1"/>
  <c r="AT46" i="5"/>
  <c r="BP46" i="5" s="1"/>
  <c r="AQ48" i="5"/>
  <c r="BM48" i="5" s="1"/>
  <c r="AR35" i="5"/>
  <c r="BN35" i="5" s="1"/>
  <c r="AU37" i="5"/>
  <c r="BQ37" i="5" s="1"/>
  <c r="AV36" i="5"/>
  <c r="BR36" i="5" s="1"/>
  <c r="AT38" i="5"/>
  <c r="BP38" i="5" s="1"/>
  <c r="AQ40" i="5"/>
  <c r="BM40" i="5" s="1"/>
  <c r="AR43" i="5"/>
  <c r="BN43" i="5" s="1"/>
  <c r="AU45" i="5"/>
  <c r="BQ45" i="5" s="1"/>
  <c r="AQ50" i="5"/>
  <c r="BM50" i="5" s="1"/>
  <c r="AP34" i="5"/>
  <c r="BL34" i="5" s="1"/>
  <c r="AQ34" i="5" l="1"/>
  <c r="BM34" i="5" s="1"/>
  <c r="AO33" i="5"/>
  <c r="BK33" i="5" s="1"/>
  <c r="AN32" i="5"/>
  <c r="BJ32" i="5" s="1"/>
  <c r="AT31" i="5"/>
  <c r="BP31" i="5" s="1"/>
  <c r="AQ32" i="5" l="1"/>
  <c r="BM32" i="5" s="1"/>
  <c r="AM31" i="5"/>
  <c r="BI31" i="5" s="1"/>
  <c r="AL30" i="5"/>
  <c r="AK29" i="5"/>
  <c r="BG29" i="5" s="1"/>
  <c r="AJ28" i="5"/>
  <c r="AI27" i="5"/>
  <c r="AR27" i="5" s="1"/>
  <c r="AU29" i="5" l="1"/>
  <c r="BQ29" i="5" s="1"/>
  <c r="BE27" i="5"/>
  <c r="BN27" i="5"/>
  <c r="AV28" i="5"/>
  <c r="BR28" i="5" s="1"/>
  <c r="BF28" i="5"/>
  <c r="AT30" i="5"/>
  <c r="BP30" i="5" s="1"/>
  <c r="BH30" i="5"/>
</calcChain>
</file>

<file path=xl/comments1.xml><?xml version="1.0" encoding="utf-8"?>
<comments xmlns="http://schemas.openxmlformats.org/spreadsheetml/2006/main">
  <authors>
    <author>Kubinek</author>
  </authors>
  <commentList>
    <comment ref="A21" authorId="0">
      <text>
        <r>
          <rPr>
            <b/>
            <sz val="9"/>
            <color indexed="81"/>
            <rFont val="Tahoma"/>
            <family val="2"/>
            <charset val="238"/>
          </rPr>
          <t>Metoda použitá pro výpočet hodnot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1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Obvodu odečtené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21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Plochy odečtené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21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Obvodu odměřené nebo vypočtené pomocí vzorce</t>
        </r>
      </text>
    </comment>
    <comment ref="AG21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Plochy odměřené nebo vypočtené pomocí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R21" authorId="0">
      <text>
        <r>
          <rPr>
            <b/>
            <sz val="9"/>
            <color indexed="81"/>
            <rFont val="Tahoma"/>
            <family val="2"/>
            <charset val="238"/>
          </rPr>
          <t>Hodnoty odchylky Obvodu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Z21" authorId="0">
      <text>
        <r>
          <rPr>
            <b/>
            <sz val="9"/>
            <color indexed="81"/>
            <rFont val="Tahoma"/>
            <family val="2"/>
            <charset val="238"/>
          </rPr>
          <t>Hodnoty odchylky Plochy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2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22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2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Číslo obrázku obrazce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pro výpočet hodnot</t>
        </r>
      </text>
    </comment>
    <comment ref="V22" authorId="0">
      <text>
        <r>
          <rPr>
            <b/>
            <sz val="9"/>
            <color indexed="81"/>
            <rFont val="Tahoma"/>
            <family val="2"/>
            <charset val="238"/>
          </rPr>
          <t>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2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odměřená z obrázku obrazce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22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P22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Q22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2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2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2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2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2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2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2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Q2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2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2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2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23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Z23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23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23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C23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23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23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23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G23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23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23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J23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K23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L23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M23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N23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O23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R2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S2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T23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U23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V23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W23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X23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Y23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Z23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A23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B23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23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D23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23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23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G23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H23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50" authorId="0">
      <text>
        <r>
          <rPr>
            <b/>
            <sz val="9"/>
            <color indexed="81"/>
            <rFont val="Tahoma"/>
            <family val="2"/>
            <charset val="238"/>
          </rPr>
          <t>Metoda použitá pro výpočet hodnot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50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Obvodu odečtené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50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Plochy odečtené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50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Obvodu odměřené nebo vypočtené pomocí vzorce</t>
        </r>
      </text>
    </comment>
    <comment ref="AG50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Plochy odměřené nebo vypočtené pomocí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R50" authorId="0">
      <text>
        <r>
          <rPr>
            <b/>
            <sz val="9"/>
            <color indexed="81"/>
            <rFont val="Tahoma"/>
            <family val="2"/>
            <charset val="238"/>
          </rPr>
          <t>Hodnoty odchylky Obvodu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Z50" authorId="0">
      <text>
        <r>
          <rPr>
            <b/>
            <sz val="9"/>
            <color indexed="81"/>
            <rFont val="Tahoma"/>
            <family val="2"/>
            <charset val="238"/>
          </rPr>
          <t>Hodnoty odchylky Plochy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5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51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</t>
        </r>
      </text>
    </comment>
    <comment ref="C51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5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Číslo obrázku obrazce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pro výpočet hodnot</t>
        </r>
      </text>
    </comment>
    <comment ref="V51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odměřená z obrázku obrazce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51" authorId="0">
      <text>
        <r>
          <rPr>
            <b/>
            <sz val="9"/>
            <color indexed="81"/>
            <rFont val="Tahoma"/>
            <family val="2"/>
            <charset val="238"/>
          </rPr>
          <t>Vstupní hodnoty</t>
        </r>
      </text>
    </comment>
    <comment ref="X51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P51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Q51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5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5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5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5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5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5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5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5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5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5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5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5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5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Q5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5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5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5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5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Z5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5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5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C5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5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5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5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G5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5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5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J5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K5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L5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M5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N5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O5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R5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S5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T52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U52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V52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W52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X52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Y52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Z52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A52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B52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52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D52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52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52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G52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H52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Kubinek</author>
  </authors>
  <commentList>
    <comment ref="A25" authorId="0">
      <text>
        <r>
          <rPr>
            <b/>
            <sz val="9"/>
            <color indexed="81"/>
            <rFont val="Tahoma"/>
            <family val="2"/>
            <charset val="238"/>
          </rPr>
          <t>Metoda použitá pro výpočet hodnot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25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Obvodu odečtené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25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Plochy odečtené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Q25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Obvodu odměřené nebo vypočtené pomocí vzorce</t>
        </r>
      </text>
    </comment>
    <comment ref="AY25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Plochy odměřené nebo vypočtené pomocí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O25" authorId="0">
      <text>
        <r>
          <rPr>
            <b/>
            <sz val="9"/>
            <color indexed="81"/>
            <rFont val="Tahoma"/>
            <family val="2"/>
            <charset val="238"/>
          </rPr>
          <t>Hodnoty odchylky Obvodu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W25" authorId="0">
      <text>
        <r>
          <rPr>
            <b/>
            <sz val="9"/>
            <color indexed="81"/>
            <rFont val="Tahoma"/>
            <family val="2"/>
            <charset val="238"/>
          </rPr>
          <t>Hodnoty odchylky Plochy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6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26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Sloupec obsahuje vstupní hodnoty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6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6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26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Číslo obrázku obrazce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pro výpočet hodnot</t>
        </r>
      </text>
    </comment>
    <comment ref="AE26" authorId="0">
      <text>
        <r>
          <rPr>
            <b/>
            <sz val="9"/>
            <color indexed="81"/>
            <rFont val="Tahoma"/>
            <family val="2"/>
            <charset val="238"/>
          </rPr>
          <t>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26" authorId="0">
      <text>
        <r>
          <rPr>
            <b/>
            <sz val="9"/>
            <color indexed="81"/>
            <rFont val="Tahoma"/>
            <family val="2"/>
            <charset val="238"/>
          </rPr>
          <t>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G26" authorId="0">
      <text>
        <r>
          <rPr>
            <b/>
            <sz val="9"/>
            <color indexed="81"/>
            <rFont val="Tahoma"/>
            <family val="2"/>
            <charset val="238"/>
          </rPr>
          <t>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Vstupní hodnoty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odměřená z obrázku obrazce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J26" authorId="0">
      <text>
        <r>
          <rPr>
            <b/>
            <sz val="9"/>
            <color indexed="81"/>
            <rFont val="Tahoma"/>
            <family val="2"/>
            <charset val="238"/>
          </rPr>
          <t>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K26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L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odměřená z obrázku obrazce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M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odměřená z obrázku obrazce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N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odměřená z obrázku obrazce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O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odměřená z obrázku obrazce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P26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H26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I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J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K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L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M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N26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Q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C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Q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R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S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T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U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V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W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X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Y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Z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A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B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D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G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O2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P2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Q2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R2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S2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T2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U2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V2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W2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X2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Y2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Z2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A2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B2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C2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D2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E2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91" authorId="0">
      <text>
        <r>
          <rPr>
            <b/>
            <sz val="9"/>
            <color indexed="81"/>
            <rFont val="Tahoma"/>
            <family val="2"/>
            <charset val="238"/>
          </rPr>
          <t>Metoda použitá pro výpočet hodnot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91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Obvodu odečtené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91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Plochy odečtené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Q91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Obvodu odměřené nebo vypočtené pomocí vzorce</t>
        </r>
      </text>
    </comment>
    <comment ref="AY91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Plochy odměřené nebo vypočtené pomocí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O91" authorId="0">
      <text>
        <r>
          <rPr>
            <b/>
            <sz val="9"/>
            <color indexed="81"/>
            <rFont val="Tahoma"/>
            <family val="2"/>
            <charset val="238"/>
          </rPr>
          <t>Hodnoty odchylky Obvodu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W91" authorId="0">
      <text>
        <r>
          <rPr>
            <b/>
            <sz val="9"/>
            <color indexed="81"/>
            <rFont val="Tahoma"/>
            <family val="2"/>
            <charset val="238"/>
          </rPr>
          <t>Hodnoty odchylky Plochy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92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92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92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9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92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92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92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9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9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9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9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92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9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Číslo obrázku obrazce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pro výpočet hodnot</t>
        </r>
      </text>
    </comment>
    <comment ref="AE92" authorId="0">
      <text>
        <r>
          <rPr>
            <b/>
            <sz val="9"/>
            <color indexed="81"/>
            <rFont val="Tahoma"/>
            <family val="2"/>
            <charset val="238"/>
          </rPr>
          <t>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92" authorId="0">
      <text>
        <r>
          <rPr>
            <b/>
            <sz val="9"/>
            <color indexed="81"/>
            <rFont val="Tahoma"/>
            <family val="2"/>
            <charset val="238"/>
          </rPr>
          <t>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G92" authorId="0">
      <text>
        <r>
          <rPr>
            <b/>
            <sz val="9"/>
            <color indexed="81"/>
            <rFont val="Tahoma"/>
            <family val="2"/>
            <charset val="238"/>
          </rPr>
          <t>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9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odměřená z obrázku obrazce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92" authorId="0">
      <text>
        <r>
          <rPr>
            <b/>
            <sz val="9"/>
            <color indexed="81"/>
            <rFont val="Tahoma"/>
            <family val="2"/>
            <charset val="238"/>
          </rPr>
          <t>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J92" authorId="0">
      <text>
        <r>
          <rPr>
            <b/>
            <sz val="9"/>
            <color indexed="81"/>
            <rFont val="Tahoma"/>
            <family val="2"/>
            <charset val="238"/>
          </rPr>
          <t>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K92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L9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odměřená z obrázku obrazce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M9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odměřená z obrázku obrazce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N9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odměřená z obrázku obrazce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O9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odměřená z obrázku obrazce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P92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H92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I92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J9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K9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L9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M9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N92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93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9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9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9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Q9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9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9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9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9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9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9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9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9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9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9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9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C9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Q93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R93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S93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T93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U93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V93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W93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X93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Y93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Z93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A93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B93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93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D93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BE93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93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G93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O93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P93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Q93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R93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S93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T93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U93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V93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W93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X93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Y93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Z93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A93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B93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C93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D93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E93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Kubinek</author>
  </authors>
  <commentList>
    <comment ref="A23" authorId="0">
      <text>
        <r>
          <rPr>
            <b/>
            <sz val="9"/>
            <color indexed="81"/>
            <rFont val="Tahoma"/>
            <family val="2"/>
            <charset val="238"/>
          </rPr>
          <t>Metoda použitá pro výpočet hodnot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3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Obvodu odečtené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23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Plochy odečtené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23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Obvodu odměřené nebo vypočtené pomocí vzorce</t>
        </r>
      </text>
    </comment>
    <comment ref="AG23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Plochy odměřené nebo vypočtené pomocí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R23" authorId="0">
      <text>
        <r>
          <rPr>
            <b/>
            <sz val="9"/>
            <color indexed="81"/>
            <rFont val="Tahoma"/>
            <family val="2"/>
            <charset val="238"/>
          </rPr>
          <t>Hodnoty odchylky Obvodu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Z23" authorId="0">
      <text>
        <r>
          <rPr>
            <b/>
            <sz val="9"/>
            <color indexed="81"/>
            <rFont val="Tahoma"/>
            <family val="2"/>
            <charset val="238"/>
          </rPr>
          <t>Hodnoty odchylky Plochy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4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24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2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Číslo obrázku obrazce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pro výpočet hodnot</t>
        </r>
      </text>
    </comment>
    <comment ref="V24" authorId="0">
      <text>
        <r>
          <rPr>
            <b/>
            <sz val="9"/>
            <color indexed="81"/>
            <rFont val="Tahoma"/>
            <family val="2"/>
            <charset val="238"/>
          </rPr>
          <t>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24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odměřená z obrázku obrazce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24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P24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Q24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5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2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2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2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2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2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2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2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Q2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2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2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2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25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Z25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25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25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C25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25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25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25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G25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25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25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J25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K25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L25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M25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N25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O25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R25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S25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T25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U25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V25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W25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X25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Y25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Z25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A25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B25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25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D25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25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25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G25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H25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56" authorId="0">
      <text>
        <r>
          <rPr>
            <b/>
            <sz val="9"/>
            <color indexed="81"/>
            <rFont val="Tahoma"/>
            <family val="2"/>
            <charset val="238"/>
          </rPr>
          <t>Metoda použitá pro výpočet hodnot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56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Obvodu odečtené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56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Plochy odečtené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56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Obvodu odměřené nebo vypočtené pomocí vzorce</t>
        </r>
      </text>
    </comment>
    <comment ref="AG56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Plochy odměřené nebo vypočtené pomocí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R56" authorId="0">
      <text>
        <r>
          <rPr>
            <b/>
            <sz val="9"/>
            <color indexed="81"/>
            <rFont val="Tahoma"/>
            <family val="2"/>
            <charset val="238"/>
          </rPr>
          <t>Hodnoty odchylky Obvodu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Z56" authorId="0">
      <text>
        <r>
          <rPr>
            <b/>
            <sz val="9"/>
            <color indexed="81"/>
            <rFont val="Tahoma"/>
            <family val="2"/>
            <charset val="238"/>
          </rPr>
          <t>Hodnoty odchylky Plochy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5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B57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</t>
        </r>
      </text>
    </comment>
    <comment ref="C57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5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Číslo obrázku obrazce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pro výpočet hodnot</t>
        </r>
      </text>
    </comment>
    <comment ref="V5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odměřená z obrázku obrazce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57" authorId="0">
      <text>
        <r>
          <rPr>
            <b/>
            <sz val="9"/>
            <color indexed="81"/>
            <rFont val="Tahoma"/>
            <family val="2"/>
            <charset val="238"/>
          </rPr>
          <t>Vstupní hodnoty</t>
        </r>
      </text>
    </comment>
    <comment ref="X57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P57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Q5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5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E5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5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5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5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5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5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5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5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5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5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5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5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Q5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5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5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5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58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Z58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58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58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C58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58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58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58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G58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58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58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J58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K58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L58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M58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N58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O58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R58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S58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T58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U58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V58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W58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X58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Y58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Z58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A58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B58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58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D58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58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58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G58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H58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Kubinek</author>
  </authors>
  <commentList>
    <comment ref="A25" authorId="0">
      <text>
        <r>
          <rPr>
            <b/>
            <sz val="9"/>
            <color indexed="81"/>
            <rFont val="Tahoma"/>
            <family val="2"/>
            <charset val="238"/>
          </rPr>
          <t>Metoda použitá pro výpočet hodnot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5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Obvodu odečtené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25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Plochy odečtené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G25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Obvodu odměřené nebo vypočtené pomocí vzorce</t>
        </r>
      </text>
    </comment>
    <comment ref="AO25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Plochy odměřené nebo vypočtené pomocí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25" authorId="0">
      <text>
        <r>
          <rPr>
            <b/>
            <sz val="9"/>
            <color indexed="81"/>
            <rFont val="Tahoma"/>
            <family val="2"/>
            <charset val="238"/>
          </rPr>
          <t>Hodnoty odchylky Obvodu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K25" authorId="0">
      <text>
        <r>
          <rPr>
            <b/>
            <sz val="9"/>
            <color indexed="81"/>
            <rFont val="Tahoma"/>
            <family val="2"/>
            <charset val="238"/>
          </rPr>
          <t>Hodnoty odchylky Plochy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26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26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6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Číslo obrázku obrazce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pro výpočet hodnot</t>
        </r>
      </text>
    </comment>
    <comment ref="Z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odměřená z obrázku obrazce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26" authorId="0">
      <text>
        <r>
          <rPr>
            <b/>
            <sz val="9"/>
            <color indexed="81"/>
            <rFont val="Tahoma"/>
            <family val="2"/>
            <charset val="238"/>
          </rPr>
          <t>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26" authorId="0">
      <text>
        <r>
          <rPr>
            <b/>
            <sz val="9"/>
            <color indexed="81"/>
            <rFont val="Tahoma"/>
            <family val="2"/>
            <charset val="238"/>
          </rPr>
          <t>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C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odměřená z obrázku obrazce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26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odměřená z obrázku obrazce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26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X26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Y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Z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A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B26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Q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G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H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J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K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L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M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N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O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P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Q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R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S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T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U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V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W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2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D2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2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2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G2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H2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I2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J2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K2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L2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M2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N2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O2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P2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Q2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R2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S2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74" authorId="0">
      <text>
        <r>
          <rPr>
            <b/>
            <sz val="9"/>
            <color indexed="81"/>
            <rFont val="Tahoma"/>
            <family val="2"/>
            <charset val="238"/>
          </rPr>
          <t>Metoda použitá pro výpočet hodnot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74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Obvodu odečtené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74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Plochy odečtené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G74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Obvodu odměřené nebo vypočtené pomocí vzorce</t>
        </r>
      </text>
    </comment>
    <comment ref="AO74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Plochy odměřené nebo vypočtené pomocí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74" authorId="0">
      <text>
        <r>
          <rPr>
            <b/>
            <sz val="9"/>
            <color indexed="81"/>
            <rFont val="Tahoma"/>
            <family val="2"/>
            <charset val="238"/>
          </rPr>
          <t>Hodnoty odchylky Obvodu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K74" authorId="0">
      <text>
        <r>
          <rPr>
            <b/>
            <sz val="9"/>
            <color indexed="81"/>
            <rFont val="Tahoma"/>
            <family val="2"/>
            <charset val="238"/>
          </rPr>
          <t>Hodnoty odchylky Plochy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7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Sloupec obsahuje vstupní hodnoty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75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</text>
    </comment>
    <comment ref="D7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75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7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75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7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Číslo obrázku obrazce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pro výpočet hodnot</t>
        </r>
      </text>
    </comment>
    <comment ref="Z75" authorId="0">
      <text>
        <r>
          <rPr>
            <b/>
            <sz val="9"/>
            <color indexed="81"/>
            <rFont val="Tahoma"/>
            <family val="2"/>
            <charset val="238"/>
          </rPr>
          <t>Vstupní hodnoty</t>
        </r>
      </text>
    </comment>
    <comment ref="AA75" authorId="0">
      <text>
        <r>
          <rPr>
            <b/>
            <sz val="9"/>
            <color indexed="81"/>
            <rFont val="Tahoma"/>
            <family val="2"/>
            <charset val="238"/>
          </rPr>
          <t>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75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odměřená z obrázku obrazce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C75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odměřená z obrázku obrazce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75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75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odměřená z obrázku obrazce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75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X75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Y75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Z7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A7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B75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7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7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7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7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7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7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7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7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7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Q7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7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7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7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7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7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7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7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G7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H7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7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J7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K7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L7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M7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N7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O7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P7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Q7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R7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S7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T7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U7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V7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W7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7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D7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7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7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G7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H7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I7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J7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K7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L7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M7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N7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O7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P7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Q7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R7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S7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24" authorId="0">
      <text>
        <r>
          <rPr>
            <b/>
            <sz val="9"/>
            <color indexed="81"/>
            <rFont val="Tahoma"/>
            <family val="2"/>
            <charset val="238"/>
          </rPr>
          <t>Metoda použitá pro výpočet hodnot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24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Obvodu odečtené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124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Plochy odečtené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G124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Obvodu odměřené nebo vypočtené pomocí vzorce</t>
        </r>
      </text>
    </comment>
    <comment ref="AO124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Plochy odměřené nebo vypočtené pomocí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124" authorId="0">
      <text>
        <r>
          <rPr>
            <b/>
            <sz val="9"/>
            <color indexed="81"/>
            <rFont val="Tahoma"/>
            <family val="2"/>
            <charset val="238"/>
          </rPr>
          <t>Hodnoty odchylky Obvodu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K124" authorId="0">
      <text>
        <r>
          <rPr>
            <b/>
            <sz val="9"/>
            <color indexed="81"/>
            <rFont val="Tahoma"/>
            <family val="2"/>
            <charset val="238"/>
          </rPr>
          <t>Hodnoty odchylky Plochy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2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Sloupec obsahuje vstupní hodnoty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2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2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Sloupec obsahuje vstupní hodnoty
</t>
        </r>
      </text>
    </comment>
    <comment ref="D12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25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2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25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12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Číslo obrázku obrazce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pro výpočet hodnot</t>
        </r>
      </text>
    </comment>
    <comment ref="Z125" authorId="0">
      <text>
        <r>
          <rPr>
            <b/>
            <sz val="9"/>
            <color indexed="81"/>
            <rFont val="Tahoma"/>
            <family val="2"/>
            <charset val="238"/>
          </rPr>
          <t>Vstupní hodnoty</t>
        </r>
      </text>
    </comment>
    <comment ref="AA125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odměřená z obrázku obrazce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125" authorId="0">
      <text>
        <r>
          <rPr>
            <b/>
            <sz val="9"/>
            <color indexed="81"/>
            <rFont val="Tahoma"/>
            <family val="2"/>
            <charset val="238"/>
          </rPr>
          <t>Vstupní hodnoty</t>
        </r>
      </text>
    </comment>
    <comment ref="AC125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odměřená z obrázku obrazce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125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125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odměřená z obrázku obrazce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125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X125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Y125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Z12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A12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B125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1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1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1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1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1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1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Q1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1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1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1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1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1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1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1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G1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H1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1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J1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K1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L1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M1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N1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O1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P1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Q1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R1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S1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T1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U1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V1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W1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1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D1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1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1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G1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H1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I1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J1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K1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L1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M1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N1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O1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P1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Q1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R1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S1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76" authorId="0">
      <text>
        <r>
          <rPr>
            <b/>
            <sz val="9"/>
            <color indexed="81"/>
            <rFont val="Tahoma"/>
            <family val="2"/>
            <charset val="238"/>
          </rPr>
          <t>Metoda použitá pro výpočet hodnot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76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Obvodu odečtené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176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Plochy odečtené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G176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Obvodu odměřené nebo vypočtené pomocí vzorce</t>
        </r>
      </text>
    </comment>
    <comment ref="AO176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Plochy odměřené nebo vypočtené pomocí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176" authorId="0">
      <text>
        <r>
          <rPr>
            <b/>
            <sz val="9"/>
            <color indexed="81"/>
            <rFont val="Tahoma"/>
            <family val="2"/>
            <charset val="238"/>
          </rPr>
          <t>Hodnoty odchylky Obvodu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K176" authorId="0">
      <text>
        <r>
          <rPr>
            <b/>
            <sz val="9"/>
            <color indexed="81"/>
            <rFont val="Tahoma"/>
            <family val="2"/>
            <charset val="238"/>
          </rPr>
          <t>Hodnoty odchylky Plochy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7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Sloupec obsahuje vstupní hodnoty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7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7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D17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77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77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77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17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Číslo obrázku obrazce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pro výpočet hodnot</t>
        </r>
      </text>
    </comment>
    <comment ref="Z177" authorId="0">
      <text>
        <r>
          <rPr>
            <b/>
            <sz val="9"/>
            <color indexed="81"/>
            <rFont val="Tahoma"/>
            <family val="2"/>
            <charset val="238"/>
          </rPr>
          <t>Vstupní hodnoty</t>
        </r>
      </text>
    </comment>
    <comment ref="AA17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odměřená z obrázku obrazce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17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odměřená z obrázku obrazce
</t>
        </r>
      </text>
    </comment>
    <comment ref="AC17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odměřená z obrázku obrazce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177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177" authorId="0">
      <text>
        <r>
          <rPr>
            <b/>
            <sz val="9"/>
            <color indexed="81"/>
            <rFont val="Tahoma"/>
            <family val="2"/>
            <charset val="238"/>
          </rPr>
          <t>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177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X177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Y17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Z17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A17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B177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78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17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7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7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17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17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17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17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17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Q17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17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17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17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17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17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17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17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G178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H178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178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J178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K178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L178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M178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N178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O178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P178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Q178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R178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S178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T178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U178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V178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W178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178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D178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178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178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G178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H178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I178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J178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K178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L178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M178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N178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O178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P178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Q178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R178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S178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Kubinek</author>
  </authors>
  <commentList>
    <comment ref="A24" authorId="0">
      <text>
        <r>
          <rPr>
            <b/>
            <sz val="9"/>
            <color indexed="81"/>
            <rFont val="Tahoma"/>
            <family val="2"/>
            <charset val="238"/>
          </rPr>
          <t>Metoda použitá pro výpočet hodnot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4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Obvodu odečtené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4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Plochy odečtené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C24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Obvodu odměřené nebo vypočtené pomocí vzorce</t>
        </r>
      </text>
    </comment>
    <comment ref="AK24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Plochy odměřené nebo vypočtené pomocí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W24" authorId="0">
      <text>
        <r>
          <rPr>
            <b/>
            <sz val="9"/>
            <color indexed="81"/>
            <rFont val="Tahoma"/>
            <family val="2"/>
            <charset val="238"/>
          </rPr>
          <t>Hodnoty odchylky Obvodu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24" authorId="0">
      <text>
        <r>
          <rPr>
            <b/>
            <sz val="9"/>
            <color indexed="81"/>
            <rFont val="Tahoma"/>
            <family val="2"/>
            <charset val="238"/>
          </rPr>
          <t>Hodnoty odchylky Plochy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5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5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25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Sloupec obsahuje vstupní hodnoty
</t>
        </r>
      </text>
    </comment>
    <comment ref="E25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2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Číslo obrázku obrazce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pro výpočet hodnot</t>
        </r>
      </text>
    </comment>
    <comment ref="X25" authorId="0">
      <text>
        <r>
          <rPr>
            <b/>
            <sz val="9"/>
            <color indexed="81"/>
            <rFont val="Tahoma"/>
            <family val="2"/>
            <charset val="238"/>
          </rPr>
          <t>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25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odměřená z obrázku obrazce</t>
        </r>
      </text>
    </comment>
    <comment ref="Z25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25" authorId="0">
      <text>
        <r>
          <rPr>
            <b/>
            <sz val="9"/>
            <color indexed="81"/>
            <rFont val="Tahoma"/>
            <family val="2"/>
            <charset val="238"/>
          </rPr>
          <t>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25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T25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U25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V25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Q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C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D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G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J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K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L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M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N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O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P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Q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R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S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W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X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Y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Z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A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B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D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G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H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I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J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K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L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M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Kubinek</author>
    <author>Míra</author>
  </authors>
  <commentList>
    <comment ref="B7" authorId="0">
      <text>
        <r>
          <rPr>
            <b/>
            <sz val="9"/>
            <color indexed="81"/>
            <rFont val="Tahoma"/>
            <family val="2"/>
            <charset val="238"/>
          </rPr>
          <t>Metoda použitá pro výpočet hodnot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7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různých délek stran vypočtené pomocí vzorce</t>
        </r>
      </text>
    </comment>
    <comment ref="J7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Obvodu vypočtené pomocí vzorce</t>
        </r>
      </text>
    </comment>
    <comment ref="R7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Plochy vypočtené pomocí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7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Obvodu odečtené z programu VIKLAN Jednotky</t>
        </r>
      </text>
    </comment>
    <comment ref="AD7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Obvodu odečtené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L7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Plochy odečtené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U7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Hodnoty odchylky Obvodu mezi odečteným a správným výsledkem v procentech
</t>
        </r>
      </text>
    </comment>
    <comment ref="AX7" authorId="0">
      <text>
        <r>
          <rPr>
            <b/>
            <sz val="9"/>
            <color indexed="81"/>
            <rFont val="Tahoma"/>
            <family val="2"/>
            <charset val="238"/>
          </rPr>
          <t>Hodnoty odchylky Obvodu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7" authorId="0">
      <text>
        <r>
          <rPr>
            <b/>
            <sz val="9"/>
            <color indexed="81"/>
            <rFont val="Tahoma"/>
            <family val="2"/>
            <charset val="238"/>
          </rPr>
          <t>Hodnoty odchylky Plochy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8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8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8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8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8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8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H8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I8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8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B8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C8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U8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AV8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AW8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9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K9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9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9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9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9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9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Q9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9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9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9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9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9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9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X9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9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9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9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G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J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K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L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M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N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O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P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Q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R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S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T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X9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Y9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Z9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A9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B9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9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D9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9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9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G9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H9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I9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J9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K9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L9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M9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N9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  <charset val="238"/>
          </rPr>
          <t>Metoda použitá pro výpočet hodnot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0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různých délek stran vypočtené pomocí vzorce</t>
        </r>
      </text>
    </comment>
    <comment ref="J20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Obvodu vypočtené pomocí vzorce</t>
        </r>
      </text>
    </comment>
    <comment ref="R20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Plochy vypočtené pomocí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20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Obvodu odečtené z programu VIKLAN Jednotky</t>
        </r>
      </text>
    </comment>
    <comment ref="AD20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Obvodu odečtené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L20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Plochy odečtené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U20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Hodnoty odchylky Obvodu mezi odečteným a správným výsledkem v procentech
</t>
        </r>
      </text>
    </comment>
    <comment ref="AX20" authorId="0">
      <text>
        <r>
          <rPr>
            <b/>
            <sz val="9"/>
            <color indexed="81"/>
            <rFont val="Tahoma"/>
            <family val="2"/>
            <charset val="238"/>
          </rPr>
          <t>Hodnoty odchylky Obvodu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20" authorId="0">
      <text>
        <r>
          <rPr>
            <b/>
            <sz val="9"/>
            <color indexed="81"/>
            <rFont val="Tahoma"/>
            <family val="2"/>
            <charset val="238"/>
          </rPr>
          <t>Hodnoty odchylky Plochy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1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21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1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21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1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1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H21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I21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21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B21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C21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U21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AV21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AW21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2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K2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2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2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2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2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Q2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2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2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2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2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2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2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X2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2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2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2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2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2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G2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2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2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J2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K2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L2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M2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N2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O2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P2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Q2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R2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S2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T2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X22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Y22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Z22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A22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B22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22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D22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22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22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G22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H22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I22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J22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K22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L22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M22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N22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3" authorId="0">
      <text>
        <r>
          <rPr>
            <b/>
            <sz val="9"/>
            <color indexed="81"/>
            <rFont val="Tahoma"/>
            <family val="2"/>
            <charset val="238"/>
          </rPr>
          <t>Metoda použitá pro výpočet hodnot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3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různých délek stran vypočtené pomocí vzorce</t>
        </r>
      </text>
    </comment>
    <comment ref="J33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Obvodu vypočtené pomocí vzorce</t>
        </r>
      </text>
    </comment>
    <comment ref="R33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Plochy vypočtené pomocí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33" authorId="1">
      <text>
        <r>
          <rPr>
            <b/>
            <sz val="9"/>
            <color indexed="81"/>
            <rFont val="Tahoma"/>
            <family val="2"/>
            <charset val="238"/>
          </rPr>
          <t>Výsledné hodnoty Obvodu odečtené z programu VIKLAN Jednotky</t>
        </r>
      </text>
    </comment>
    <comment ref="AD33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Obvodu odečtené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L33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Plochy odečtené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U33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Hodnoty odchylky Obvodu mezi odečteným a správným výsledkem v procentech
</t>
        </r>
      </text>
    </comment>
    <comment ref="AX33" authorId="0">
      <text>
        <r>
          <rPr>
            <b/>
            <sz val="9"/>
            <color indexed="81"/>
            <rFont val="Tahoma"/>
            <family val="2"/>
            <charset val="238"/>
          </rPr>
          <t>Hodnoty odchylky Obvodu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33" authorId="0">
      <text>
        <r>
          <rPr>
            <b/>
            <sz val="9"/>
            <color indexed="81"/>
            <rFont val="Tahoma"/>
            <family val="2"/>
            <charset val="238"/>
          </rPr>
          <t>Hodnoty odchylky Plochy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34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34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34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34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4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H34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I34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34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B34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</text>
    </comment>
    <comment ref="AC34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U34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AV34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</text>
    </comment>
    <comment ref="AW34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35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K35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35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35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35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35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35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Q35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35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35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35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35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35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35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X35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35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35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35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3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3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G3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3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3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J3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K3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L3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M3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N3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O3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P3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Q3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R3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S3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T3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X35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Y35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Z35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A35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B35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35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D35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35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35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G35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H35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I35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J35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K35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L35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M35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N35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Kubinek</author>
  </authors>
  <commentList>
    <comment ref="A20" authorId="0">
      <text>
        <r>
          <rPr>
            <b/>
            <sz val="9"/>
            <color indexed="81"/>
            <rFont val="Tahoma"/>
            <family val="2"/>
            <charset val="238"/>
          </rPr>
          <t>Metoda použitá pro výpočet hodnot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20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Obvodu odečtené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20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Plochy odečtené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20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Obvodu odměřené nebo vypočtené pomocí vzorce</t>
        </r>
      </text>
    </comment>
    <comment ref="AI20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Plochy odměřené nebo vypočtené pomocí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T20" authorId="0">
      <text>
        <r>
          <rPr>
            <b/>
            <sz val="9"/>
            <color indexed="81"/>
            <rFont val="Tahoma"/>
            <family val="2"/>
            <charset val="238"/>
          </rPr>
          <t>Hodnoty odchylky Obvodu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B20" authorId="0">
      <text>
        <r>
          <rPr>
            <b/>
            <sz val="9"/>
            <color indexed="81"/>
            <rFont val="Tahoma"/>
            <family val="2"/>
            <charset val="238"/>
          </rPr>
          <t>Hodnoty odchylky Plochy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1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1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2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1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2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Číslo obrázku obrazce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pro výpočet hodnot</t>
        </r>
      </text>
    </comment>
    <comment ref="W21" authorId="0">
      <text>
        <r>
          <rPr>
            <b/>
            <sz val="9"/>
            <color indexed="81"/>
            <rFont val="Tahoma"/>
            <family val="2"/>
            <charset val="238"/>
          </rPr>
          <t>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21" authorId="0">
      <text>
        <r>
          <rPr>
            <b/>
            <sz val="9"/>
            <color indexed="81"/>
            <rFont val="Tahoma"/>
            <family val="2"/>
            <charset val="238"/>
          </rPr>
          <t>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21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odměřená z obrázku obrazce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21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R21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S21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2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2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2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2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2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2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2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Q2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2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2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2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2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2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B2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C2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2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2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2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G2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2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2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J2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K2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L2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M2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N2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O2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P2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Q22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T22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U22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V22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W22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X22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Y22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Z22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A22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B22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22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D22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22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22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G22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H22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I22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J22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52" authorId="0">
      <text>
        <r>
          <rPr>
            <b/>
            <sz val="9"/>
            <color indexed="81"/>
            <rFont val="Tahoma"/>
            <family val="2"/>
            <charset val="238"/>
          </rPr>
          <t>Metoda použitá pro výpočet hodnot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52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Obvodu odečtené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52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Plochy odečtené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52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Obvodu odměřené nebo vypočtené pomocí vzorce</t>
        </r>
      </text>
    </comment>
    <comment ref="AI52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Plochy odměřené nebo vypočtené pomocí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T52" authorId="0">
      <text>
        <r>
          <rPr>
            <b/>
            <sz val="9"/>
            <color indexed="81"/>
            <rFont val="Tahoma"/>
            <family val="2"/>
            <charset val="238"/>
          </rPr>
          <t>Hodnoty odchylky Obvodu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B52" authorId="0">
      <text>
        <r>
          <rPr>
            <b/>
            <sz val="9"/>
            <color indexed="81"/>
            <rFont val="Tahoma"/>
            <family val="2"/>
            <charset val="238"/>
          </rPr>
          <t>Hodnoty odchylky Plochy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53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5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</text>
    </comment>
    <comment ref="C53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</t>
        </r>
      </text>
    </comment>
    <comment ref="D53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5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Číslo obrázku obrazce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pro výpočet hodnot</t>
        </r>
      </text>
    </comment>
    <comment ref="W53" authorId="0">
      <text>
        <r>
          <rPr>
            <b/>
            <sz val="9"/>
            <color indexed="81"/>
            <rFont val="Tahoma"/>
            <family val="2"/>
            <charset val="238"/>
          </rPr>
          <t>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53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odměřená z obrázku obrazce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53" authorId="0">
      <text>
        <r>
          <rPr>
            <b/>
            <sz val="9"/>
            <color indexed="81"/>
            <rFont val="Tahoma"/>
            <family val="2"/>
            <charset val="238"/>
          </rPr>
          <t>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53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R53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S53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54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5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5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5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5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5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5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5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5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5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5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5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Q5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5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5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5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5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54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B54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C54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54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54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54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G54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54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54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J54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K54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L54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M54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N54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O54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P54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Q54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T54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U54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V54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W54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X54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Y54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Z54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A54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B54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54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D54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54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54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G54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H54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I54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J54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Kubinek</author>
  </authors>
  <commentList>
    <comment ref="A24" authorId="0">
      <text>
        <r>
          <rPr>
            <b/>
            <sz val="9"/>
            <color indexed="81"/>
            <rFont val="Tahoma"/>
            <family val="2"/>
            <charset val="238"/>
          </rPr>
          <t>Metoda použitá pro výpočet hodnot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24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Obvodu odečtené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Q24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Plochy odečtené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24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Obvodu odměřené nebo vypočtené pomocí vzorce</t>
        </r>
      </text>
    </comment>
    <comment ref="AQ24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Plochy odměřené nebo vypočtené pomocí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24" authorId="0">
      <text>
        <r>
          <rPr>
            <b/>
            <sz val="9"/>
            <color indexed="81"/>
            <rFont val="Tahoma"/>
            <family val="2"/>
            <charset val="238"/>
          </rPr>
          <t>Hodnoty odchylky Obvodu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M24" authorId="0">
      <text>
        <r>
          <rPr>
            <b/>
            <sz val="9"/>
            <color indexed="81"/>
            <rFont val="Tahoma"/>
            <family val="2"/>
            <charset val="238"/>
          </rPr>
          <t>Hodnoty odchylky Plochy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5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5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25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5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2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5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2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Číslo obrázku obrazce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pro výpočet hodnot</t>
        </r>
      </text>
    </comment>
    <comment ref="AA25" authorId="0">
      <text>
        <r>
          <rPr>
            <b/>
            <sz val="9"/>
            <color indexed="81"/>
            <rFont val="Tahoma"/>
            <family val="2"/>
            <charset val="238"/>
          </rPr>
          <t>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25" authorId="0">
      <text>
        <r>
          <rPr>
            <b/>
            <sz val="9"/>
            <color indexed="81"/>
            <rFont val="Tahoma"/>
            <family val="2"/>
            <charset val="238"/>
          </rPr>
          <t>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C25" authorId="0">
      <text>
        <r>
          <rPr>
            <b/>
            <sz val="9"/>
            <color indexed="81"/>
            <rFont val="Tahoma"/>
            <family val="2"/>
            <charset val="238"/>
          </rPr>
          <t>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25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25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odměřená z obrázku obrazce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25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odměřená z obrázku obrazce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G25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odměřená z obrázku obrazce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25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Z25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A25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B2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2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D25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Q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J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K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L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M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N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O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P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Q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R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S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T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U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V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W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X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Y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G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H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I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J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K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L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M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N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O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P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Q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R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S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T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U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75" authorId="0">
      <text>
        <r>
          <rPr>
            <b/>
            <sz val="9"/>
            <color indexed="81"/>
            <rFont val="Tahoma"/>
            <family val="2"/>
            <charset val="238"/>
          </rPr>
          <t>Metoda použitá pro výpočet hodnot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75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Obvodu odečtené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Q75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Plochy odečtené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75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Obvodu odměřené nebo vypočtené pomocí vzorce</t>
        </r>
      </text>
    </comment>
    <comment ref="AQ75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Plochy odměřené nebo vypočtené pomocí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75" authorId="0">
      <text>
        <r>
          <rPr>
            <b/>
            <sz val="9"/>
            <color indexed="81"/>
            <rFont val="Tahoma"/>
            <family val="2"/>
            <charset val="238"/>
          </rPr>
          <t>Hodnoty odchylky Obvodu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M75" authorId="0">
      <text>
        <r>
          <rPr>
            <b/>
            <sz val="9"/>
            <color indexed="81"/>
            <rFont val="Tahoma"/>
            <family val="2"/>
            <charset val="238"/>
          </rPr>
          <t>Hodnoty odchylky Plochy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7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76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6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76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7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Sloupec obsahuje vstupní hodnoty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7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7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76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7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Číslo obrázku obrazce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pro výpočet hodnot</t>
        </r>
      </text>
    </comment>
    <comment ref="AA7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odměřená z obrázku obrazce</t>
        </r>
      </text>
    </comment>
    <comment ref="AB76" authorId="0">
      <text>
        <r>
          <rPr>
            <b/>
            <sz val="9"/>
            <color indexed="81"/>
            <rFont val="Tahoma"/>
            <family val="2"/>
            <charset val="238"/>
          </rPr>
          <t>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C76" authorId="0">
      <text>
        <r>
          <rPr>
            <b/>
            <sz val="9"/>
            <color indexed="81"/>
            <rFont val="Tahoma"/>
            <family val="2"/>
            <charset val="238"/>
          </rPr>
          <t>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76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76" authorId="0">
      <text>
        <r>
          <rPr>
            <b/>
            <sz val="9"/>
            <color indexed="81"/>
            <rFont val="Tahoma"/>
            <family val="2"/>
            <charset val="238"/>
          </rPr>
          <t>Vstupní hodnoty</t>
        </r>
      </text>
    </comment>
    <comment ref="AF7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odměřená z obrázku obrazce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G7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odměřená z obrázku obrazce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76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Z76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A7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B7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7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D76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7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7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7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7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7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7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7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7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Q7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7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7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7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7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7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7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7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7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7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J7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K7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L7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M7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N7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O7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P7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Q7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R7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S7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T7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U7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V7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W7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X7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Y7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7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7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G7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H7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I7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J7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K7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L7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M7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N7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O7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P7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Q7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R7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S7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T7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U7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25" authorId="0">
      <text>
        <r>
          <rPr>
            <b/>
            <sz val="9"/>
            <color indexed="81"/>
            <rFont val="Tahoma"/>
            <family val="2"/>
            <charset val="238"/>
          </rPr>
          <t>Metoda použitá pro výpočet hodnot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125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Obvodu odečtené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Q125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Plochy odečtené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125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Obvodu odměřené nebo vypočtené pomocí vzorce</t>
        </r>
      </text>
    </comment>
    <comment ref="AQ125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Plochy odměřené nebo vypočtené pomocí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125" authorId="0">
      <text>
        <r>
          <rPr>
            <b/>
            <sz val="9"/>
            <color indexed="81"/>
            <rFont val="Tahoma"/>
            <family val="2"/>
            <charset val="238"/>
          </rPr>
          <t>Hodnoty odchylky Obvodu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M125" authorId="0">
      <text>
        <r>
          <rPr>
            <b/>
            <sz val="9"/>
            <color indexed="81"/>
            <rFont val="Tahoma"/>
            <family val="2"/>
            <charset val="238"/>
          </rPr>
          <t>Hodnoty odchylky Plochy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26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26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26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26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26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1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Číslo obrázku obrazce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pro výpočet hodnot</t>
        </r>
      </text>
    </comment>
    <comment ref="AA1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odměřená z obrázku obrazce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1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odměřená z obrázku obrazce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C126" authorId="0">
      <text>
        <r>
          <rPr>
            <b/>
            <sz val="9"/>
            <color indexed="81"/>
            <rFont val="Tahoma"/>
            <family val="2"/>
            <charset val="238"/>
          </rPr>
          <t>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126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126" authorId="0">
      <text>
        <r>
          <rPr>
            <b/>
            <sz val="9"/>
            <color indexed="81"/>
            <rFont val="Tahoma"/>
            <family val="2"/>
            <charset val="238"/>
          </rPr>
          <t>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126" authorId="0">
      <text>
        <r>
          <rPr>
            <b/>
            <sz val="9"/>
            <color indexed="81"/>
            <rFont val="Tahoma"/>
            <family val="2"/>
            <charset val="238"/>
          </rPr>
          <t>Vstupní hodnoty</t>
        </r>
      </text>
    </comment>
    <comment ref="AG12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odměřená z obrázku obrazce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126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Z126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A12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B1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1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D126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1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1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1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1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1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1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Q1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1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1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1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1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1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1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1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1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1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J1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K1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L1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M1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N1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O1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P1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Q1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R1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S1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T1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U1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V1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W1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X1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Y127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12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12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G12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H12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I12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J12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K12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L12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M12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N12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O12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P12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Q12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R12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S12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T12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U127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74" authorId="0">
      <text>
        <r>
          <rPr>
            <b/>
            <sz val="9"/>
            <color indexed="81"/>
            <rFont val="Tahoma"/>
            <family val="2"/>
            <charset val="238"/>
          </rPr>
          <t>Metoda použitá pro výpočet hodnot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174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Obvodu odečtené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Q174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Plochy odečtené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174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Obvodu odměřené nebo vypočtené pomocí vzorce</t>
        </r>
      </text>
    </comment>
    <comment ref="AQ174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Plochy odměřené nebo vypočtené pomocí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174" authorId="0">
      <text>
        <r>
          <rPr>
            <b/>
            <sz val="9"/>
            <color indexed="81"/>
            <rFont val="Tahoma"/>
            <family val="2"/>
            <charset val="238"/>
          </rPr>
          <t>Hodnoty odchylky Obvodu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M174" authorId="0">
      <text>
        <r>
          <rPr>
            <b/>
            <sz val="9"/>
            <color indexed="81"/>
            <rFont val="Tahoma"/>
            <family val="2"/>
            <charset val="238"/>
          </rPr>
          <t>Hodnoty odchylky Plochy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7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75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75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75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7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7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75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hodnoty</t>
        </r>
      </text>
    </comment>
    <comment ref="H175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17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Číslo obrázku obrazce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pro výpočet hodnot</t>
        </r>
      </text>
    </comment>
    <comment ref="AA175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odměřená z obrázku obrazce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175" authorId="0">
      <text>
        <r>
          <rPr>
            <b/>
            <sz val="9"/>
            <color indexed="81"/>
            <rFont val="Tahoma"/>
            <family val="2"/>
            <charset val="238"/>
          </rPr>
          <t>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C175" authorId="0">
      <text>
        <r>
          <rPr>
            <b/>
            <sz val="9"/>
            <color indexed="81"/>
            <rFont val="Tahoma"/>
            <family val="2"/>
            <charset val="238"/>
          </rPr>
          <t>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175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175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odměřená z obrázku obrazce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175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odměřená z obrázku obrazce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G175" authorId="0">
      <text>
        <r>
          <rPr>
            <b/>
            <sz val="9"/>
            <color indexed="81"/>
            <rFont val="Tahoma"/>
            <family val="2"/>
            <charset val="238"/>
          </rPr>
          <t>Vstupní hodnoty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175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Z175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A175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B17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17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Odchylka mezi odečtenými a správnými výsledky v procentech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D175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17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7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7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17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17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17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17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17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Q17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17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17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17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17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17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17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17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17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17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J17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K17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L17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M17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N17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O17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P17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Q17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R17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S17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T17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U17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V17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AW17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X17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Y176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17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17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G17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H17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I17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J17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K17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L17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M17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N17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O17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P17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Q17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R17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S17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T17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U176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80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80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80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A180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B180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180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180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180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G180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H180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I180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J180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K180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L180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M180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N180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O180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P180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Q180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R180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S180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T180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U180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82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82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82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82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A182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B182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182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182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182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G182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H182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I182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J182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K182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L182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M182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N182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O182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P182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Q182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R182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S182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T182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U182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88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88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88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88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A188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B188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188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188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188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G188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H188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I188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J188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K188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L188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M188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N188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O188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P188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Q188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R188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S188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T188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U188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90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90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0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90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A190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B190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190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190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190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G190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H190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I190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J190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K190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L190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M190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N190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O190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P190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Q190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R190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S190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T190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U190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96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96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6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96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A196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B196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196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196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196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G196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H196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I196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J196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K196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L196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M196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N196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O196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P196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Q196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R196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S196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T196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U196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98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98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8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98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A198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B198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198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198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198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G198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H198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I198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J198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K198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L198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M198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N198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O198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P198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Q198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R198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S198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T198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U198" authorId="0">
      <text>
        <r>
          <rPr>
            <b/>
            <sz val="9"/>
            <color indexed="81"/>
            <rFont val="Tahoma"/>
            <family val="2"/>
            <charset val="238"/>
          </rPr>
          <t>Délka strany, proti které je zadáván úhel, musí být větší než délka přilehlé strany.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Kubinek</author>
    <author>Míra</author>
  </authors>
  <commentList>
    <comment ref="B7" authorId="0">
      <text>
        <r>
          <rPr>
            <b/>
            <sz val="9"/>
            <color indexed="81"/>
            <rFont val="Tahoma"/>
            <family val="2"/>
            <charset val="238"/>
          </rPr>
          <t>Metoda použitá pro výpočet hodnot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7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Obvodu vypočtené pomocí vzorce</t>
        </r>
      </text>
    </comment>
    <comment ref="O7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Plochy vypočtené pomocí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7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Obvodu odečtené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7" authorId="0">
      <text>
        <r>
          <rPr>
            <b/>
            <sz val="9"/>
            <color indexed="81"/>
            <rFont val="Tahoma"/>
            <family val="2"/>
            <charset val="238"/>
          </rPr>
          <t>Výsledné hodnoty Plochy odečtené z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O7" authorId="0">
      <text>
        <r>
          <rPr>
            <b/>
            <sz val="9"/>
            <color indexed="81"/>
            <rFont val="Tahoma"/>
            <family val="2"/>
            <charset val="238"/>
          </rPr>
          <t>Hodnoty odchylky Obvodu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W7" authorId="0">
      <text>
        <r>
          <rPr>
            <b/>
            <sz val="9"/>
            <color indexed="81"/>
            <rFont val="Tahoma"/>
            <family val="2"/>
            <charset val="238"/>
          </rPr>
          <t>Hodnoty odchylky Plochy mezi odečteným a správným výsledkem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8" authorId="0">
      <text>
        <r>
          <rPr>
            <b/>
            <sz val="9"/>
            <color indexed="81"/>
            <rFont val="Tahoma"/>
            <family val="2"/>
            <charset val="238"/>
          </rPr>
          <t>Sloupec obsahuje vstupní vnitřní hodnoty poloměru R1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8" authorId="1">
      <text>
        <r>
          <rPr>
            <b/>
            <sz val="9"/>
            <color indexed="81"/>
            <rFont val="Tahoma"/>
            <family val="2"/>
            <charset val="238"/>
          </rPr>
          <t>Sloupec obsahuje vnější vstupní hodnoty poloměru R2</t>
        </r>
      </text>
    </comment>
    <comment ref="D8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Sloupec obsahuje vstupní hodnoty
</t>
        </r>
      </text>
    </comment>
    <comment ref="F8" authorId="0">
      <text>
        <r>
          <rPr>
            <b/>
            <sz val="9"/>
            <color indexed="81"/>
            <rFont val="Tahoma"/>
            <family val="2"/>
            <charset val="238"/>
          </rPr>
          <t>Výchozí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9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H9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9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9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9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9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9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9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9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9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Q9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9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9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9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</text>
    </comment>
    <comment ref="U9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9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9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získaná použitím vzorce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9" authorId="0">
      <text>
        <r>
          <rPr>
            <b/>
            <sz val="9"/>
            <color indexed="81"/>
            <rFont val="Tahoma"/>
            <family val="2"/>
            <charset val="238"/>
          </rPr>
          <t>Výsledná hodnota v programu VIKLAN Jednotky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C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G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J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K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L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M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N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Výsledná hodnota v programu VIKLAN Jednotky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O9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P9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Q9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R9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S9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T9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U9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V9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W9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X9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Y9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Z9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A9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B9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9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D9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9" authorId="0">
      <text>
        <r>
          <rPr>
            <b/>
            <sz val="9"/>
            <color indexed="81"/>
            <rFont val="Tahoma"/>
            <family val="2"/>
            <charset val="238"/>
          </rPr>
          <t>Odchylka mezi odečtenými a správnými výsledky v procentech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<sst xmlns="http://schemas.openxmlformats.org/spreadsheetml/2006/main" count="3956" uniqueCount="144">
  <si>
    <t>Plocha</t>
  </si>
  <si>
    <t>Obvod</t>
  </si>
  <si>
    <t>kontroloval :</t>
  </si>
  <si>
    <t>Kubínek</t>
  </si>
  <si>
    <t>m</t>
  </si>
  <si>
    <t>ft</t>
  </si>
  <si>
    <t>mm</t>
  </si>
  <si>
    <t>yd</t>
  </si>
  <si>
    <t>in</t>
  </si>
  <si>
    <t>cm</t>
  </si>
  <si>
    <t>mi</t>
  </si>
  <si>
    <t xml:space="preserve">Metoda SSS </t>
  </si>
  <si>
    <t>Strana A</t>
  </si>
  <si>
    <t>Strana B</t>
  </si>
  <si>
    <t>Strana C</t>
  </si>
  <si>
    <t>Jednotky délky</t>
  </si>
  <si>
    <t>Úhel alfa</t>
  </si>
  <si>
    <t>Úhel beta</t>
  </si>
  <si>
    <t>Úhel gama</t>
  </si>
  <si>
    <t>Jednotky úhlu</t>
  </si>
  <si>
    <t>mikrometry</t>
  </si>
  <si>
    <t>°</t>
  </si>
  <si>
    <t>mm2</t>
  </si>
  <si>
    <t>cm2</t>
  </si>
  <si>
    <t>dm2</t>
  </si>
  <si>
    <t>m2</t>
  </si>
  <si>
    <t>sq in</t>
  </si>
  <si>
    <t>sq ft</t>
  </si>
  <si>
    <t>a</t>
  </si>
  <si>
    <t>ha</t>
  </si>
  <si>
    <t>ac</t>
  </si>
  <si>
    <t>rad</t>
  </si>
  <si>
    <t>grad</t>
  </si>
  <si>
    <t>Hodnoty v programu VIKLAN Jednotky</t>
  </si>
  <si>
    <t>Správné výsledky (určené odměřením z obrázku, součtem délek stran a ručním výpočtem plochy, převod jednotek byl realizován pomocí stránky "Jednotky")</t>
  </si>
  <si>
    <t>Odchylka mezi odečtenými a správnými výsledky v procentech</t>
  </si>
  <si>
    <t xml:space="preserve">Metoda SUS </t>
  </si>
  <si>
    <t xml:space="preserve">Metoda USU </t>
  </si>
  <si>
    <t>Metoda S</t>
  </si>
  <si>
    <t>Metoda U</t>
  </si>
  <si>
    <t>Číslo
obrázku</t>
  </si>
  <si>
    <t>Jednotky
délky</t>
  </si>
  <si>
    <r>
      <t xml:space="preserve">Obvod </t>
    </r>
    <r>
      <rPr>
        <b/>
        <i/>
        <sz val="16"/>
        <color theme="1"/>
        <rFont val="Calibri"/>
        <family val="2"/>
        <charset val="238"/>
        <scheme val="minor"/>
      </rPr>
      <t xml:space="preserve"> O=a+b+c</t>
    </r>
  </si>
  <si>
    <r>
      <t xml:space="preserve">Plocha  </t>
    </r>
    <r>
      <rPr>
        <b/>
        <i/>
        <sz val="16"/>
        <color theme="1"/>
        <rFont val="Calibri"/>
        <family val="2"/>
        <charset val="238"/>
        <scheme val="minor"/>
      </rPr>
      <t xml:space="preserve"> S=√s(s-a)(s-b)(s-c),     s=(a+b+c)/2</t>
    </r>
  </si>
  <si>
    <t>dne:</t>
  </si>
  <si>
    <t xml:space="preserve">Metoda SSU </t>
  </si>
  <si>
    <t>Strana alfa</t>
  </si>
  <si>
    <t>Úhlopříčka U</t>
  </si>
  <si>
    <r>
      <t xml:space="preserve">Obvod </t>
    </r>
    <r>
      <rPr>
        <b/>
        <i/>
        <sz val="16"/>
        <color theme="1"/>
        <rFont val="Calibri"/>
        <family val="2"/>
        <charset val="238"/>
        <scheme val="minor"/>
      </rPr>
      <t xml:space="preserve"> O=4*A</t>
    </r>
  </si>
  <si>
    <r>
      <t xml:space="preserve">Plocha  </t>
    </r>
    <r>
      <rPr>
        <b/>
        <i/>
        <sz val="16"/>
        <color theme="1"/>
        <rFont val="Calibri"/>
        <family val="2"/>
        <charset val="238"/>
        <scheme val="minor"/>
      </rPr>
      <t xml:space="preserve"> S=A*A</t>
    </r>
  </si>
  <si>
    <t>Metoda SS</t>
  </si>
  <si>
    <r>
      <t xml:space="preserve">Obvod </t>
    </r>
    <r>
      <rPr>
        <b/>
        <i/>
        <sz val="16"/>
        <color theme="1"/>
        <rFont val="Calibri"/>
        <family val="2"/>
        <charset val="238"/>
        <scheme val="minor"/>
      </rPr>
      <t xml:space="preserve"> O=2*(A+B)</t>
    </r>
  </si>
  <si>
    <r>
      <t xml:space="preserve">Plocha  </t>
    </r>
    <r>
      <rPr>
        <b/>
        <i/>
        <sz val="16"/>
        <color theme="1"/>
        <rFont val="Calibri"/>
        <family val="2"/>
        <charset val="238"/>
        <scheme val="minor"/>
      </rPr>
      <t xml:space="preserve"> S=A*B</t>
    </r>
  </si>
  <si>
    <t>Metoda SU</t>
  </si>
  <si>
    <t>Metoda D</t>
  </si>
  <si>
    <t>Metoda R</t>
  </si>
  <si>
    <t>Průměr D</t>
  </si>
  <si>
    <t>Poloměr  R</t>
  </si>
  <si>
    <t>Poloměr R</t>
  </si>
  <si>
    <r>
      <t xml:space="preserve">Plocha  </t>
    </r>
    <r>
      <rPr>
        <b/>
        <i/>
        <sz val="16"/>
        <color theme="1"/>
        <rFont val="Calibri"/>
        <family val="2"/>
        <charset val="238"/>
        <scheme val="minor"/>
      </rPr>
      <t xml:space="preserve"> S=π∙r^2</t>
    </r>
  </si>
  <si>
    <r>
      <t xml:space="preserve">Obvod </t>
    </r>
    <r>
      <rPr>
        <b/>
        <i/>
        <sz val="16"/>
        <color theme="1"/>
        <rFont val="Calibri"/>
        <family val="2"/>
        <charset val="238"/>
        <scheme val="minor"/>
      </rPr>
      <t xml:space="preserve"> o=2∙π∙r</t>
    </r>
  </si>
  <si>
    <t>Metoda RU</t>
  </si>
  <si>
    <t>Oblouk B</t>
  </si>
  <si>
    <t>Tětiva T</t>
  </si>
  <si>
    <t>Výška V</t>
  </si>
  <si>
    <t>Oblouk O</t>
  </si>
  <si>
    <t>Metoda VT</t>
  </si>
  <si>
    <t>Metoda RT</t>
  </si>
  <si>
    <t>Metoda RV</t>
  </si>
  <si>
    <t xml:space="preserve">Metoda 4xS 1xU </t>
  </si>
  <si>
    <t>Úhel delta</t>
  </si>
  <si>
    <t>Strana D</t>
  </si>
  <si>
    <r>
      <t xml:space="preserve">Obvod </t>
    </r>
    <r>
      <rPr>
        <b/>
        <i/>
        <sz val="16"/>
        <color theme="1"/>
        <rFont val="Calibri"/>
        <family val="2"/>
        <charset val="238"/>
        <scheme val="minor"/>
      </rPr>
      <t xml:space="preserve"> O=a+b+c+d</t>
    </r>
  </si>
  <si>
    <t>Úhlopříčka U1</t>
  </si>
  <si>
    <t>Úhlopříčka U2</t>
  </si>
  <si>
    <t>není řešení</t>
  </si>
  <si>
    <r>
      <t xml:space="preserve">Obvod </t>
    </r>
    <r>
      <rPr>
        <b/>
        <i/>
        <sz val="16"/>
        <color theme="1"/>
        <rFont val="Calibri"/>
        <family val="2"/>
        <charset val="238"/>
        <scheme val="minor"/>
      </rPr>
      <t xml:space="preserve"> =o=2∙r+l</t>
    </r>
  </si>
  <si>
    <r>
      <t xml:space="preserve">Plocha  </t>
    </r>
    <r>
      <rPr>
        <b/>
        <i/>
        <sz val="16"/>
        <color theme="1"/>
        <rFont val="Calibri"/>
        <family val="2"/>
        <charset val="238"/>
        <scheme val="minor"/>
      </rPr>
      <t xml:space="preserve"> S=α∙ r^2/2</t>
    </r>
  </si>
  <si>
    <t xml:space="preserve">Metoda 3xS 2xU </t>
  </si>
  <si>
    <r>
      <t xml:space="preserve">Plocha S=S1+S2, </t>
    </r>
    <r>
      <rPr>
        <b/>
        <i/>
        <sz val="16"/>
        <color theme="1"/>
        <rFont val="Calibri"/>
        <family val="2"/>
        <charset val="238"/>
        <scheme val="minor"/>
      </rPr>
      <t xml:space="preserve"> S1=√s1(s1-a)(s1-b)(s1-u1), s1=(a+b+u1)/2, S2=√s2(s2-c)(s2-d)(s2-u1), s2=(c+d+u1)/2</t>
    </r>
  </si>
  <si>
    <t>Plocha S=S1+S2,  S1=√s1(s1-a)(s1-b)(s1-u1), s1=(a+b+u1)/2, S2=√s2(s2-c)(s2-d)(s2-u1), s2=(c+d+u1)/2</t>
  </si>
  <si>
    <r>
      <t xml:space="preserve">Obvod </t>
    </r>
    <r>
      <rPr>
        <b/>
        <i/>
        <sz val="16"/>
        <color theme="1"/>
        <rFont val="Calibri"/>
        <family val="2"/>
        <charset val="238"/>
        <scheme val="minor"/>
      </rPr>
      <t xml:space="preserve"> O=t+l</t>
    </r>
  </si>
  <si>
    <t>Oblouk L</t>
  </si>
  <si>
    <r>
      <t xml:space="preserve">Plocha  </t>
    </r>
    <r>
      <rPr>
        <b/>
        <i/>
        <sz val="16"/>
        <color theme="1"/>
        <rFont val="Calibri"/>
        <family val="2"/>
        <charset val="238"/>
        <scheme val="minor"/>
      </rPr>
      <t>S= r^2/2(α-  sin α)</t>
    </r>
  </si>
  <si>
    <t>Výsledné hodnoty Obvodu vypočtené pomocí vzorce</t>
  </si>
  <si>
    <t>Výsledné hodnoty Plochy vypočtené pomocí vzorce</t>
  </si>
  <si>
    <t>Výsledné hodnoty Obvodu odečtené z programu VIKLAN Jednotky</t>
  </si>
  <si>
    <t>Výsledné hodnoty Plochy odečtené z programu VIKLAN Jednotky</t>
  </si>
  <si>
    <t>Hodnoty odchylky Obvodu mezi odečteným a správným výsledkem v procentech</t>
  </si>
  <si>
    <t>Hodnoty odchylky Plochy mezi odečteným a správným výsledkem v procentech</t>
  </si>
  <si>
    <t>Miroslav Hošek</t>
  </si>
  <si>
    <t>Metoda S: počet stran, strana</t>
  </si>
  <si>
    <r>
      <t xml:space="preserve">Obvod </t>
    </r>
    <r>
      <rPr>
        <b/>
        <i/>
        <sz val="16"/>
        <color theme="1"/>
        <rFont val="Calibri"/>
        <family val="2"/>
        <charset val="238"/>
        <scheme val="minor"/>
      </rPr>
      <t xml:space="preserve"> O=a ∙počet stran</t>
    </r>
  </si>
  <si>
    <r>
      <t xml:space="preserve">Plocha </t>
    </r>
    <r>
      <rPr>
        <b/>
        <i/>
        <sz val="16"/>
        <color theme="1"/>
        <rFont val="Calibri"/>
        <family val="2"/>
        <charset val="238"/>
        <scheme val="minor"/>
      </rPr>
      <t xml:space="preserve">S=0,5∙počet stran∙Rop^2∙SINα,     Rop=a/(2∙sin⁡〖α/2〗),        α= 2π/(počet stran)  </t>
    </r>
  </si>
  <si>
    <t>Počet stěn</t>
  </si>
  <si>
    <t>Strana</t>
  </si>
  <si>
    <t>µm</t>
  </si>
  <si>
    <r>
      <t>cm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</si>
  <si>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t>dm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</si>
  <si>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t>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</si>
  <si>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t>mm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</si>
  <si>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Metoda Rop: počet stran, poloměr kr. opsaná</t>
  </si>
  <si>
    <t>Poloměr kr. opsaná</t>
  </si>
  <si>
    <t>Metoda Rvp: počet stran, poloměr kr. vepsané</t>
  </si>
  <si>
    <t>Poloměr kr. vepsané</t>
  </si>
  <si>
    <t>Výseč mezikruží</t>
  </si>
  <si>
    <t>Metoda R1R2U: Poloměr, poloměr, úhel</t>
  </si>
  <si>
    <r>
      <t xml:space="preserve">Obvod </t>
    </r>
    <r>
      <rPr>
        <b/>
        <i/>
        <sz val="16"/>
        <color theme="1"/>
        <rFont val="Calibri"/>
        <family val="2"/>
        <charset val="238"/>
        <scheme val="minor"/>
      </rPr>
      <t xml:space="preserve"> o=2∙(R</t>
    </r>
    <r>
      <rPr>
        <b/>
        <i/>
        <vertAlign val="subscript"/>
        <sz val="16"/>
        <color theme="1"/>
        <rFont val="Calibri"/>
        <family val="2"/>
        <charset val="238"/>
        <scheme val="minor"/>
      </rPr>
      <t>vnější</t>
    </r>
    <r>
      <rPr>
        <b/>
        <i/>
        <sz val="16"/>
        <color theme="1"/>
        <rFont val="Calibri"/>
        <family val="2"/>
        <charset val="238"/>
        <scheme val="minor"/>
      </rPr>
      <t xml:space="preserve"> - R</t>
    </r>
    <r>
      <rPr>
        <b/>
        <i/>
        <vertAlign val="subscript"/>
        <sz val="16"/>
        <color theme="1"/>
        <rFont val="Calibri"/>
        <family val="2"/>
        <charset val="238"/>
        <scheme val="minor"/>
      </rPr>
      <t>vnitřní</t>
    </r>
    <r>
      <rPr>
        <b/>
        <i/>
        <sz val="16"/>
        <color theme="1"/>
        <rFont val="Calibri"/>
        <family val="2"/>
        <charset val="238"/>
        <scheme val="minor"/>
      </rPr>
      <t>) + α∙R</t>
    </r>
    <r>
      <rPr>
        <b/>
        <i/>
        <vertAlign val="subscript"/>
        <sz val="16"/>
        <color theme="1"/>
        <rFont val="Calibri"/>
        <family val="2"/>
        <charset val="238"/>
        <scheme val="minor"/>
      </rPr>
      <t>vnější</t>
    </r>
    <r>
      <rPr>
        <b/>
        <i/>
        <sz val="16"/>
        <color theme="1"/>
        <rFont val="Calibri"/>
        <family val="2"/>
        <charset val="238"/>
        <scheme val="minor"/>
      </rPr>
      <t xml:space="preserve"> + α∙R</t>
    </r>
    <r>
      <rPr>
        <b/>
        <i/>
        <vertAlign val="subscript"/>
        <sz val="16"/>
        <color theme="1"/>
        <rFont val="Calibri"/>
        <family val="2"/>
        <charset val="238"/>
        <scheme val="minor"/>
      </rPr>
      <t>vnitřní</t>
    </r>
  </si>
  <si>
    <r>
      <t xml:space="preserve">Plocha   </t>
    </r>
    <r>
      <rPr>
        <b/>
        <i/>
        <sz val="16"/>
        <color theme="1"/>
        <rFont val="Calibri"/>
        <family val="2"/>
        <charset val="238"/>
        <scheme val="minor"/>
      </rPr>
      <t>S= (α∙R</t>
    </r>
    <r>
      <rPr>
        <b/>
        <i/>
        <vertAlign val="subscript"/>
        <sz val="16"/>
        <color theme="1"/>
        <rFont val="Calibri"/>
        <family val="2"/>
        <charset val="238"/>
        <scheme val="minor"/>
      </rPr>
      <t>vnější</t>
    </r>
    <r>
      <rPr>
        <b/>
        <i/>
        <sz val="16"/>
        <color theme="1"/>
        <rFont val="Calibri"/>
        <family val="2"/>
        <charset val="238"/>
        <scheme val="minor"/>
      </rPr>
      <t>^2)/2-(α∙R</t>
    </r>
    <r>
      <rPr>
        <b/>
        <i/>
        <vertAlign val="subscript"/>
        <sz val="16"/>
        <color theme="1"/>
        <rFont val="Calibri"/>
        <family val="2"/>
        <charset val="238"/>
        <scheme val="minor"/>
      </rPr>
      <t>vnitřní</t>
    </r>
    <r>
      <rPr>
        <b/>
        <i/>
        <sz val="16"/>
        <color theme="1"/>
        <rFont val="Calibri"/>
        <family val="2"/>
        <charset val="238"/>
        <scheme val="minor"/>
      </rPr>
      <t>^2)/2</t>
    </r>
  </si>
  <si>
    <t>Poloměr R1 vnitřní</t>
  </si>
  <si>
    <t>Poloměr R2 vnější</t>
  </si>
  <si>
    <t>Kontroloval:</t>
  </si>
  <si>
    <t>Dne:</t>
  </si>
  <si>
    <t>Délky různých stran</t>
  </si>
  <si>
    <t>Odchylky mezi odečteným a správným výsledkem v procentech</t>
  </si>
  <si>
    <t>Výsledné hodnoty odečtené z programu VIKLAN Jednotky</t>
  </si>
  <si>
    <t>Výsledné hodnoty vypočtené pomocí vzorce</t>
  </si>
  <si>
    <t>Vlastnosti trojúhelníku</t>
  </si>
  <si>
    <t>Vypočtené hodnoty v programu VIKLAN Jednotky</t>
  </si>
  <si>
    <t>Případ 1</t>
  </si>
  <si>
    <t>Případ 2</t>
  </si>
  <si>
    <t>Případ 3</t>
  </si>
  <si>
    <t>Případ 4</t>
  </si>
  <si>
    <t>Případ 5</t>
  </si>
  <si>
    <t>Případ 6</t>
  </si>
  <si>
    <t>Případ 7</t>
  </si>
  <si>
    <t>Případ 8</t>
  </si>
  <si>
    <t>Případ 9</t>
  </si>
  <si>
    <t>Případ 10</t>
  </si>
  <si>
    <t>Změřené hodnoty v kreslícím programu (délky výšek, D kružnice opsané a vepsané)</t>
  </si>
  <si>
    <t>Změřené hodnoty v kreslícím programu (délky těžnic, souřadnice těžiště)</t>
  </si>
  <si>
    <t>Šváb</t>
  </si>
  <si>
    <t>Vlastnosti kruhové úseče</t>
  </si>
  <si>
    <t>Změřené hodnoty v kreslícím programu</t>
  </si>
  <si>
    <t>Vlastnosti kruhové výseče</t>
  </si>
  <si>
    <t>Jan Šváb</t>
  </si>
  <si>
    <t>Vlastnosti výseče mezikruží</t>
  </si>
  <si>
    <t xml:space="preserve"> Jan Šváb</t>
  </si>
  <si>
    <t xml:space="preserve"> 4.10.2013</t>
  </si>
  <si>
    <t>Vlastnosti čtyřúhelníku</t>
  </si>
  <si>
    <t>Případ 11</t>
  </si>
  <si>
    <t>Případ 12</t>
  </si>
  <si>
    <t>Případ 13</t>
  </si>
  <si>
    <t>Případ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</si>
</sst>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0.000000000000"/>
    <numFmt numFmtId="165" formatCode="0.00000000000000"/>
    <numFmt numFmtId="166" formatCode="0.0000000000000"/>
    <numFmt numFmtId="167" formatCode="0.0000000000000000000"/>
    <numFmt numFmtId="168" formatCode="0.000000000000000000"/>
    <numFmt numFmtId="169" formatCode="0.000"/>
    <numFmt numFmtId="170" formatCode="0.00000000000000000000"/>
    <numFmt numFmtId="171" formatCode="0.00000000000"/>
    <numFmt numFmtId="172" formatCode="0.000000000000000000000"/>
    <numFmt numFmtId="173" formatCode="0.0000000000000000"/>
    <numFmt numFmtId="174" formatCode="0.0"/>
    <numFmt numFmtId="175" formatCode="0.000000000000000"/>
    <numFmt numFmtId="176" formatCode="0.00000000000000000000000"/>
    <numFmt numFmtId="177" formatCode="0.0000000000"/>
    <numFmt numFmtId="178" formatCode="0.00000000000000E+00"/>
    <numFmt numFmtId="179" formatCode="0.0000000000000000000000"/>
    <numFmt numFmtId="180" formatCode="0.0000000"/>
    <numFmt numFmtId="181" formatCode="0.000000000000000000000000"/>
    <numFmt numFmtId="182" formatCode="0.00000000000000000000000000"/>
    <numFmt numFmtId="183" formatCode="0.0000000000000000000000000000"/>
    <numFmt numFmtId="184" formatCode="0.0000000000000000000000000"/>
    <numFmt numFmtId="185" formatCode="0.00000000000000000000000000000"/>
    <numFmt numFmtId="186" formatCode="0.000000"/>
    <numFmt numFmtId="187" formatCode="0.00000"/>
    <numFmt numFmtId="188" formatCode="0.00000000000000000"/>
    <numFmt numFmtId="189" formatCode="0.000000000"/>
    <numFmt numFmtId="190" formatCode="0.0000"/>
    <numFmt numFmtId="191" formatCode="0.00000000"/>
    <numFmt numFmtId="192" formatCode="0.000000000000000000000000000"/>
    <numFmt numFmtId="193" formatCode="0.0000000000%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i/>
      <vertAlign val="subscript"/>
      <sz val="16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</fills>
  <borders count="1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6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0" borderId="0" xfId="0" applyFill="1" applyBorder="1"/>
    <xf numFmtId="0" fontId="0" fillId="0" borderId="0" xfId="0" applyFill="1"/>
    <xf numFmtId="0" fontId="4" fillId="0" borderId="0" xfId="0" applyFont="1" applyFill="1" applyBorder="1"/>
    <xf numFmtId="0" fontId="0" fillId="2" borderId="25" xfId="0" applyFill="1" applyBorder="1"/>
    <xf numFmtId="0" fontId="0" fillId="3" borderId="26" xfId="0" applyFill="1" applyBorder="1"/>
    <xf numFmtId="0" fontId="0" fillId="3" borderId="5" xfId="0" applyFill="1" applyBorder="1"/>
    <xf numFmtId="0" fontId="0" fillId="3" borderId="4" xfId="0" applyFill="1" applyBorder="1"/>
    <xf numFmtId="0" fontId="0" fillId="3" borderId="11" xfId="0" applyFill="1" applyBorder="1"/>
    <xf numFmtId="167" fontId="0" fillId="3" borderId="26" xfId="0" applyNumberFormat="1" applyFill="1" applyBorder="1"/>
    <xf numFmtId="0" fontId="0" fillId="3" borderId="24" xfId="0" applyFill="1" applyBorder="1"/>
    <xf numFmtId="0" fontId="0" fillId="3" borderId="27" xfId="0" applyFill="1" applyBorder="1"/>
    <xf numFmtId="0" fontId="0" fillId="3" borderId="16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7" xfId="0" applyFill="1" applyBorder="1"/>
    <xf numFmtId="0" fontId="0" fillId="3" borderId="14" xfId="0" applyFill="1" applyBorder="1"/>
    <xf numFmtId="0" fontId="0" fillId="3" borderId="28" xfId="0" applyFill="1" applyBorder="1"/>
    <xf numFmtId="171" fontId="0" fillId="3" borderId="26" xfId="0" applyNumberFormat="1" applyFill="1" applyBorder="1"/>
    <xf numFmtId="166" fontId="0" fillId="3" borderId="26" xfId="0" applyNumberFormat="1" applyFill="1" applyBorder="1"/>
    <xf numFmtId="171" fontId="0" fillId="3" borderId="1" xfId="0" applyNumberFormat="1" applyFill="1" applyBorder="1"/>
    <xf numFmtId="165" fontId="0" fillId="3" borderId="1" xfId="0" applyNumberFormat="1" applyFill="1" applyBorder="1"/>
    <xf numFmtId="173" fontId="0" fillId="3" borderId="1" xfId="0" applyNumberFormat="1" applyFill="1" applyBorder="1"/>
    <xf numFmtId="169" fontId="0" fillId="3" borderId="1" xfId="0" applyNumberFormat="1" applyFill="1" applyBorder="1"/>
    <xf numFmtId="174" fontId="0" fillId="3" borderId="8" xfId="0" applyNumberFormat="1" applyFill="1" applyBorder="1"/>
    <xf numFmtId="1" fontId="0" fillId="3" borderId="8" xfId="0" applyNumberFormat="1" applyFill="1" applyBorder="1"/>
    <xf numFmtId="1" fontId="0" fillId="3" borderId="1" xfId="0" applyNumberFormat="1" applyFill="1" applyBorder="1"/>
    <xf numFmtId="167" fontId="0" fillId="3" borderId="1" xfId="0" applyNumberFormat="1" applyFill="1" applyBorder="1"/>
    <xf numFmtId="166" fontId="0" fillId="3" borderId="1" xfId="0" applyNumberFormat="1" applyFill="1" applyBorder="1"/>
    <xf numFmtId="175" fontId="0" fillId="3" borderId="1" xfId="0" applyNumberFormat="1" applyFill="1" applyBorder="1"/>
    <xf numFmtId="170" fontId="0" fillId="3" borderId="1" xfId="0" applyNumberFormat="1" applyFill="1" applyBorder="1"/>
    <xf numFmtId="0" fontId="0" fillId="3" borderId="3" xfId="0" applyFill="1" applyBorder="1"/>
    <xf numFmtId="0" fontId="0" fillId="3" borderId="29" xfId="0" applyFill="1" applyBorder="1"/>
    <xf numFmtId="167" fontId="0" fillId="3" borderId="4" xfId="0" applyNumberFormat="1" applyFill="1" applyBorder="1"/>
    <xf numFmtId="177" fontId="0" fillId="3" borderId="4" xfId="0" applyNumberFormat="1" applyFill="1" applyBorder="1"/>
    <xf numFmtId="176" fontId="0" fillId="3" borderId="4" xfId="0" applyNumberFormat="1" applyFill="1" applyBorder="1"/>
    <xf numFmtId="11" fontId="0" fillId="3" borderId="4" xfId="0" applyNumberFormat="1" applyFill="1" applyBorder="1"/>
    <xf numFmtId="178" fontId="0" fillId="3" borderId="4" xfId="0" applyNumberFormat="1" applyFill="1" applyBorder="1"/>
    <xf numFmtId="172" fontId="0" fillId="3" borderId="32" xfId="0" applyNumberFormat="1" applyFill="1" applyBorder="1"/>
    <xf numFmtId="0" fontId="0" fillId="3" borderId="25" xfId="0" applyFill="1" applyBorder="1"/>
    <xf numFmtId="170" fontId="0" fillId="3" borderId="25" xfId="0" applyNumberFormat="1" applyFill="1" applyBorder="1"/>
    <xf numFmtId="176" fontId="0" fillId="3" borderId="25" xfId="0" applyNumberFormat="1" applyFill="1" applyBorder="1"/>
    <xf numFmtId="178" fontId="0" fillId="3" borderId="31" xfId="0" applyNumberFormat="1" applyFill="1" applyBorder="1"/>
    <xf numFmtId="0" fontId="0" fillId="4" borderId="1" xfId="0" applyFill="1" applyBorder="1"/>
    <xf numFmtId="0" fontId="0" fillId="4" borderId="6" xfId="0" applyFill="1" applyBorder="1"/>
    <xf numFmtId="0" fontId="0" fillId="4" borderId="4" xfId="0" applyFill="1" applyBorder="1"/>
    <xf numFmtId="167" fontId="0" fillId="2" borderId="1" xfId="0" applyNumberFormat="1" applyFill="1" applyBorder="1"/>
    <xf numFmtId="170" fontId="0" fillId="2" borderId="1" xfId="0" applyNumberFormat="1" applyFill="1" applyBorder="1"/>
    <xf numFmtId="179" fontId="0" fillId="2" borderId="1" xfId="0" applyNumberFormat="1" applyFill="1" applyBorder="1"/>
    <xf numFmtId="171" fontId="0" fillId="2" borderId="1" xfId="0" applyNumberFormat="1" applyFill="1" applyBorder="1"/>
    <xf numFmtId="164" fontId="0" fillId="2" borderId="1" xfId="0" applyNumberFormat="1" applyFill="1" applyBorder="1"/>
    <xf numFmtId="166" fontId="0" fillId="2" borderId="1" xfId="0" applyNumberFormat="1" applyFill="1" applyBorder="1"/>
    <xf numFmtId="0" fontId="0" fillId="2" borderId="4" xfId="0" applyFill="1" applyBorder="1"/>
    <xf numFmtId="0" fontId="0" fillId="2" borderId="3" xfId="0" applyFill="1" applyBorder="1"/>
    <xf numFmtId="0" fontId="0" fillId="2" borderId="26" xfId="0" applyFill="1" applyBorder="1"/>
    <xf numFmtId="172" fontId="0" fillId="2" borderId="1" xfId="0" applyNumberFormat="1" applyFill="1" applyBorder="1"/>
    <xf numFmtId="1" fontId="0" fillId="2" borderId="1" xfId="0" applyNumberFormat="1" applyFill="1" applyBorder="1"/>
    <xf numFmtId="166" fontId="0" fillId="2" borderId="26" xfId="0" applyNumberFormat="1" applyFill="1" applyBorder="1"/>
    <xf numFmtId="0" fontId="0" fillId="2" borderId="12" xfId="0" applyFill="1" applyBorder="1"/>
    <xf numFmtId="164" fontId="0" fillId="2" borderId="4" xfId="0" applyNumberFormat="1" applyFill="1" applyBorder="1"/>
    <xf numFmtId="166" fontId="0" fillId="2" borderId="4" xfId="0" applyNumberFormat="1" applyFill="1" applyBorder="1"/>
    <xf numFmtId="167" fontId="0" fillId="2" borderId="4" xfId="0" applyNumberFormat="1" applyFill="1" applyBorder="1"/>
    <xf numFmtId="176" fontId="0" fillId="2" borderId="4" xfId="0" applyNumberFormat="1" applyFill="1" applyBorder="1"/>
    <xf numFmtId="180" fontId="0" fillId="2" borderId="4" xfId="0" applyNumberFormat="1" applyFill="1" applyBorder="1"/>
    <xf numFmtId="179" fontId="0" fillId="2" borderId="4" xfId="0" applyNumberFormat="1" applyFill="1" applyBorder="1"/>
    <xf numFmtId="181" fontId="0" fillId="2" borderId="4" xfId="0" applyNumberFormat="1" applyFill="1" applyBorder="1"/>
    <xf numFmtId="182" fontId="0" fillId="2" borderId="4" xfId="0" applyNumberFormat="1" applyFill="1" applyBorder="1"/>
    <xf numFmtId="183" fontId="0" fillId="2" borderId="4" xfId="0" applyNumberFormat="1" applyFill="1" applyBorder="1"/>
    <xf numFmtId="184" fontId="0" fillId="2" borderId="4" xfId="0" applyNumberFormat="1" applyFill="1" applyBorder="1"/>
    <xf numFmtId="185" fontId="0" fillId="2" borderId="11" xfId="0" applyNumberFormat="1" applyFill="1" applyBorder="1"/>
    <xf numFmtId="170" fontId="0" fillId="4" borderId="1" xfId="0" applyNumberFormat="1" applyFill="1" applyBorder="1"/>
    <xf numFmtId="186" fontId="0" fillId="3" borderId="8" xfId="0" applyNumberFormat="1" applyFill="1" applyBorder="1"/>
    <xf numFmtId="186" fontId="0" fillId="3" borderId="9" xfId="0" applyNumberFormat="1" applyFill="1" applyBorder="1"/>
    <xf numFmtId="186" fontId="0" fillId="3" borderId="1" xfId="0" applyNumberFormat="1" applyFill="1" applyBorder="1"/>
    <xf numFmtId="11" fontId="0" fillId="2" borderId="1" xfId="0" applyNumberFormat="1" applyFill="1" applyBorder="1"/>
    <xf numFmtId="180" fontId="0" fillId="2" borderId="1" xfId="0" applyNumberFormat="1" applyFill="1" applyBorder="1"/>
    <xf numFmtId="181" fontId="0" fillId="2" borderId="1" xfId="0" applyNumberFormat="1" applyFill="1" applyBorder="1"/>
    <xf numFmtId="167" fontId="0" fillId="4" borderId="1" xfId="0" applyNumberFormat="1" applyFill="1" applyBorder="1"/>
    <xf numFmtId="182" fontId="0" fillId="4" borderId="1" xfId="0" applyNumberFormat="1" applyFill="1" applyBorder="1"/>
    <xf numFmtId="188" fontId="0" fillId="4" borderId="1" xfId="0" applyNumberFormat="1" applyFill="1" applyBorder="1"/>
    <xf numFmtId="168" fontId="0" fillId="4" borderId="1" xfId="0" applyNumberFormat="1" applyFill="1" applyBorder="1"/>
    <xf numFmtId="0" fontId="0" fillId="4" borderId="26" xfId="0" applyFill="1" applyBorder="1"/>
    <xf numFmtId="170" fontId="0" fillId="4" borderId="26" xfId="0" applyNumberFormat="1" applyFill="1" applyBorder="1"/>
    <xf numFmtId="188" fontId="0" fillId="4" borderId="26" xfId="0" applyNumberFormat="1" applyFill="1" applyBorder="1"/>
    <xf numFmtId="168" fontId="0" fillId="4" borderId="26" xfId="0" applyNumberFormat="1" applyFill="1" applyBorder="1"/>
    <xf numFmtId="167" fontId="0" fillId="4" borderId="26" xfId="0" applyNumberFormat="1" applyFill="1" applyBorder="1"/>
    <xf numFmtId="182" fontId="0" fillId="4" borderId="26" xfId="0" applyNumberFormat="1" applyFill="1" applyBorder="1"/>
    <xf numFmtId="170" fontId="0" fillId="4" borderId="6" xfId="0" applyNumberFormat="1" applyFill="1" applyBorder="1"/>
    <xf numFmtId="188" fontId="0" fillId="4" borderId="6" xfId="0" applyNumberFormat="1" applyFill="1" applyBorder="1"/>
    <xf numFmtId="168" fontId="0" fillId="4" borderId="6" xfId="0" applyNumberFormat="1" applyFill="1" applyBorder="1"/>
    <xf numFmtId="167" fontId="0" fillId="4" borderId="6" xfId="0" applyNumberFormat="1" applyFill="1" applyBorder="1"/>
    <xf numFmtId="182" fontId="0" fillId="4" borderId="6" xfId="0" applyNumberFormat="1" applyFill="1" applyBorder="1"/>
    <xf numFmtId="167" fontId="0" fillId="4" borderId="7" xfId="0" applyNumberFormat="1" applyFill="1" applyBorder="1"/>
    <xf numFmtId="167" fontId="0" fillId="4" borderId="9" xfId="0" applyNumberFormat="1" applyFill="1" applyBorder="1"/>
    <xf numFmtId="170" fontId="0" fillId="4" borderId="4" xfId="0" applyNumberFormat="1" applyFill="1" applyBorder="1"/>
    <xf numFmtId="188" fontId="0" fillId="4" borderId="4" xfId="0" applyNumberFormat="1" applyFill="1" applyBorder="1"/>
    <xf numFmtId="168" fontId="0" fillId="4" borderId="4" xfId="0" applyNumberFormat="1" applyFill="1" applyBorder="1"/>
    <xf numFmtId="167" fontId="0" fillId="4" borderId="4" xfId="0" applyNumberFormat="1" applyFill="1" applyBorder="1"/>
    <xf numFmtId="182" fontId="0" fillId="4" borderId="4" xfId="0" applyNumberFormat="1" applyFill="1" applyBorder="1"/>
    <xf numFmtId="167" fontId="0" fillId="4" borderId="11" xfId="0" applyNumberFormat="1" applyFill="1" applyBorder="1"/>
    <xf numFmtId="0" fontId="1" fillId="2" borderId="42" xfId="0" applyFont="1" applyFill="1" applyBorder="1"/>
    <xf numFmtId="0" fontId="1" fillId="2" borderId="43" xfId="0" applyFont="1" applyFill="1" applyBorder="1"/>
    <xf numFmtId="0" fontId="1" fillId="2" borderId="44" xfId="0" applyFont="1" applyFill="1" applyBorder="1"/>
    <xf numFmtId="0" fontId="1" fillId="3" borderId="45" xfId="0" applyFont="1" applyFill="1" applyBorder="1"/>
    <xf numFmtId="0" fontId="1" fillId="3" borderId="22" xfId="0" applyFont="1" applyFill="1" applyBorder="1"/>
    <xf numFmtId="0" fontId="1" fillId="3" borderId="46" xfId="0" applyFont="1" applyFill="1" applyBorder="1"/>
    <xf numFmtId="0" fontId="1" fillId="3" borderId="42" xfId="0" applyFont="1" applyFill="1" applyBorder="1"/>
    <xf numFmtId="0" fontId="1" fillId="3" borderId="43" xfId="0" applyFont="1" applyFill="1" applyBorder="1"/>
    <xf numFmtId="0" fontId="1" fillId="3" borderId="44" xfId="0" applyFont="1" applyFill="1" applyBorder="1"/>
    <xf numFmtId="0" fontId="0" fillId="2" borderId="32" xfId="0" applyFill="1" applyBorder="1"/>
    <xf numFmtId="0" fontId="0" fillId="2" borderId="31" xfId="0" applyFill="1" applyBorder="1"/>
    <xf numFmtId="0" fontId="0" fillId="2" borderId="5" xfId="0" applyFill="1" applyBorder="1"/>
    <xf numFmtId="0" fontId="0" fillId="2" borderId="6" xfId="0" applyFill="1" applyBorder="1"/>
    <xf numFmtId="167" fontId="0" fillId="2" borderId="6" xfId="0" applyNumberFormat="1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" fontId="0" fillId="2" borderId="8" xfId="0" applyNumberFormat="1" applyFill="1" applyBorder="1"/>
    <xf numFmtId="0" fontId="0" fillId="2" borderId="10" xfId="0" applyFill="1" applyBorder="1"/>
    <xf numFmtId="0" fontId="0" fillId="2" borderId="11" xfId="0" applyFill="1" applyBorder="1"/>
    <xf numFmtId="170" fontId="0" fillId="2" borderId="6" xfId="0" applyNumberFormat="1" applyFill="1" applyBorder="1"/>
    <xf numFmtId="179" fontId="0" fillId="2" borderId="6" xfId="0" applyNumberFormat="1" applyFill="1" applyBorder="1"/>
    <xf numFmtId="170" fontId="0" fillId="2" borderId="7" xfId="0" applyNumberFormat="1" applyFill="1" applyBorder="1"/>
    <xf numFmtId="170" fontId="0" fillId="2" borderId="9" xfId="0" applyNumberFormat="1" applyFill="1" applyBorder="1"/>
    <xf numFmtId="187" fontId="0" fillId="2" borderId="8" xfId="0" applyNumberFormat="1" applyFill="1" applyBorder="1"/>
    <xf numFmtId="176" fontId="0" fillId="2" borderId="9" xfId="0" applyNumberFormat="1" applyFill="1" applyBorder="1"/>
    <xf numFmtId="170" fontId="0" fillId="2" borderId="10" xfId="0" applyNumberFormat="1" applyFill="1" applyBorder="1"/>
    <xf numFmtId="0" fontId="1" fillId="4" borderId="50" xfId="0" applyFont="1" applyFill="1" applyBorder="1"/>
    <xf numFmtId="0" fontId="1" fillId="4" borderId="51" xfId="0" applyFont="1" applyFill="1" applyBorder="1"/>
    <xf numFmtId="0" fontId="1" fillId="4" borderId="52" xfId="0" applyFont="1" applyFill="1" applyBorder="1"/>
    <xf numFmtId="188" fontId="0" fillId="4" borderId="5" xfId="0" applyNumberFormat="1" applyFill="1" applyBorder="1"/>
    <xf numFmtId="188" fontId="0" fillId="4" borderId="8" xfId="0" applyNumberFormat="1" applyFill="1" applyBorder="1"/>
    <xf numFmtId="188" fontId="0" fillId="4" borderId="10" xfId="0" applyNumberFormat="1" applyFill="1" applyBorder="1"/>
    <xf numFmtId="188" fontId="0" fillId="4" borderId="27" xfId="0" applyNumberFormat="1" applyFill="1" applyBorder="1"/>
    <xf numFmtId="167" fontId="0" fillId="4" borderId="16" xfId="0" applyNumberFormat="1" applyFill="1" applyBorder="1"/>
    <xf numFmtId="167" fontId="0" fillId="4" borderId="5" xfId="0" applyNumberFormat="1" applyFill="1" applyBorder="1"/>
    <xf numFmtId="167" fontId="0" fillId="4" borderId="8" xfId="0" applyNumberFormat="1" applyFill="1" applyBorder="1"/>
    <xf numFmtId="167" fontId="0" fillId="4" borderId="10" xfId="0" applyNumberFormat="1" applyFill="1" applyBorder="1"/>
    <xf numFmtId="167" fontId="0" fillId="4" borderId="27" xfId="0" applyNumberFormat="1" applyFill="1" applyBorder="1"/>
    <xf numFmtId="0" fontId="0" fillId="3" borderId="17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0" borderId="0" xfId="0" applyAlignment="1">
      <alignment horizontal="right"/>
    </xf>
    <xf numFmtId="167" fontId="0" fillId="0" borderId="0" xfId="0" applyNumberFormat="1" applyFill="1" applyBorder="1"/>
    <xf numFmtId="164" fontId="0" fillId="0" borderId="0" xfId="0" applyNumberFormat="1" applyFill="1" applyBorder="1"/>
    <xf numFmtId="176" fontId="0" fillId="0" borderId="0" xfId="0" applyNumberFormat="1" applyFill="1" applyBorder="1"/>
    <xf numFmtId="180" fontId="0" fillId="0" borderId="0" xfId="0" applyNumberFormat="1" applyFill="1" applyBorder="1"/>
    <xf numFmtId="170" fontId="0" fillId="0" borderId="0" xfId="0" applyNumberFormat="1" applyFill="1" applyBorder="1"/>
    <xf numFmtId="179" fontId="0" fillId="0" borderId="0" xfId="0" applyNumberFormat="1" applyFill="1" applyBorder="1"/>
    <xf numFmtId="181" fontId="0" fillId="0" borderId="0" xfId="0" applyNumberFormat="1" applyFill="1" applyBorder="1"/>
    <xf numFmtId="182" fontId="0" fillId="0" borderId="0" xfId="0" applyNumberFormat="1" applyFill="1" applyBorder="1"/>
    <xf numFmtId="183" fontId="0" fillId="0" borderId="0" xfId="0" applyNumberFormat="1" applyFill="1" applyBorder="1"/>
    <xf numFmtId="184" fontId="0" fillId="0" borderId="0" xfId="0" applyNumberFormat="1" applyFill="1" applyBorder="1"/>
    <xf numFmtId="185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77" fontId="0" fillId="0" borderId="0" xfId="0" applyNumberFormat="1" applyFill="1" applyBorder="1"/>
    <xf numFmtId="11" fontId="0" fillId="0" borderId="0" xfId="0" applyNumberFormat="1" applyFill="1" applyBorder="1"/>
    <xf numFmtId="178" fontId="0" fillId="0" borderId="0" xfId="0" applyNumberFormat="1" applyFill="1" applyBorder="1"/>
    <xf numFmtId="188" fontId="0" fillId="0" borderId="0" xfId="0" applyNumberFormat="1" applyFill="1" applyBorder="1"/>
    <xf numFmtId="168" fontId="0" fillId="0" borderId="0" xfId="0" applyNumberFormat="1" applyFill="1" applyBorder="1"/>
    <xf numFmtId="189" fontId="0" fillId="3" borderId="26" xfId="0" applyNumberFormat="1" applyFill="1" applyBorder="1"/>
    <xf numFmtId="1" fontId="0" fillId="2" borderId="9" xfId="0" applyNumberFormat="1" applyFill="1" applyBorder="1"/>
    <xf numFmtId="0" fontId="0" fillId="2" borderId="53" xfId="0" applyFill="1" applyBorder="1"/>
    <xf numFmtId="0" fontId="0" fillId="2" borderId="54" xfId="0" applyFill="1" applyBorder="1"/>
    <xf numFmtId="0" fontId="0" fillId="2" borderId="55" xfId="0" applyFill="1" applyBorder="1"/>
    <xf numFmtId="164" fontId="0" fillId="2" borderId="5" xfId="0" applyNumberFormat="1" applyFill="1" applyBorder="1"/>
    <xf numFmtId="166" fontId="0" fillId="2" borderId="6" xfId="0" applyNumberFormat="1" applyFill="1" applyBorder="1"/>
    <xf numFmtId="171" fontId="0" fillId="2" borderId="7" xfId="0" applyNumberFormat="1" applyFill="1" applyBorder="1"/>
    <xf numFmtId="166" fontId="0" fillId="2" borderId="27" xfId="0" applyNumberFormat="1" applyFill="1" applyBorder="1"/>
    <xf numFmtId="166" fontId="0" fillId="2" borderId="16" xfId="0" applyNumberFormat="1" applyFill="1" applyBorder="1"/>
    <xf numFmtId="164" fontId="0" fillId="2" borderId="27" xfId="0" applyNumberFormat="1" applyFill="1" applyBorder="1"/>
    <xf numFmtId="171" fontId="0" fillId="2" borderId="16" xfId="0" applyNumberFormat="1" applyFill="1" applyBorder="1"/>
    <xf numFmtId="164" fontId="0" fillId="2" borderId="16" xfId="0" applyNumberFormat="1" applyFill="1" applyBorder="1"/>
    <xf numFmtId="164" fontId="0" fillId="2" borderId="45" xfId="0" applyNumberFormat="1" applyFill="1" applyBorder="1"/>
    <xf numFmtId="0" fontId="0" fillId="2" borderId="22" xfId="0" applyFill="1" applyBorder="1"/>
    <xf numFmtId="166" fontId="0" fillId="2" borderId="22" xfId="0" applyNumberFormat="1" applyFill="1" applyBorder="1"/>
    <xf numFmtId="171" fontId="0" fillId="2" borderId="23" xfId="0" applyNumberFormat="1" applyFill="1" applyBorder="1"/>
    <xf numFmtId="166" fontId="0" fillId="2" borderId="7" xfId="0" applyNumberFormat="1" applyFill="1" applyBorder="1"/>
    <xf numFmtId="166" fontId="0" fillId="2" borderId="23" xfId="0" applyNumberFormat="1" applyFill="1" applyBorder="1"/>
    <xf numFmtId="164" fontId="0" fillId="2" borderId="7" xfId="0" applyNumberFormat="1" applyFill="1" applyBorder="1"/>
    <xf numFmtId="164" fontId="0" fillId="2" borderId="23" xfId="0" applyNumberFormat="1" applyFill="1" applyBorder="1"/>
    <xf numFmtId="0" fontId="0" fillId="3" borderId="7" xfId="0" applyFill="1" applyBorder="1"/>
    <xf numFmtId="1" fontId="0" fillId="3" borderId="9" xfId="0" applyNumberFormat="1" applyFill="1" applyBorder="1"/>
    <xf numFmtId="187" fontId="0" fillId="3" borderId="1" xfId="0" applyNumberFormat="1" applyFill="1" applyBorder="1"/>
    <xf numFmtId="190" fontId="0" fillId="3" borderId="27" xfId="0" applyNumberFormat="1" applyFill="1" applyBorder="1"/>
    <xf numFmtId="189" fontId="0" fillId="3" borderId="25" xfId="0" applyNumberFormat="1" applyFill="1" applyBorder="1"/>
    <xf numFmtId="164" fontId="0" fillId="3" borderId="4" xfId="0" applyNumberFormat="1" applyFill="1" applyBorder="1"/>
    <xf numFmtId="165" fontId="0" fillId="3" borderId="4" xfId="0" applyNumberFormat="1" applyFill="1" applyBorder="1"/>
    <xf numFmtId="173" fontId="0" fillId="3" borderId="4" xfId="0" applyNumberFormat="1" applyFill="1" applyBorder="1"/>
    <xf numFmtId="168" fontId="0" fillId="3" borderId="4" xfId="0" applyNumberFormat="1" applyFill="1" applyBorder="1"/>
    <xf numFmtId="182" fontId="0" fillId="3" borderId="31" xfId="0" applyNumberFormat="1" applyFill="1" applyBorder="1"/>
    <xf numFmtId="166" fontId="0" fillId="3" borderId="6" xfId="0" applyNumberFormat="1" applyFill="1" applyBorder="1"/>
    <xf numFmtId="166" fontId="0" fillId="3" borderId="7" xfId="0" applyNumberFormat="1" applyFill="1" applyBorder="1"/>
    <xf numFmtId="166" fontId="0" fillId="3" borderId="16" xfId="0" applyNumberFormat="1" applyFill="1" applyBorder="1"/>
    <xf numFmtId="166" fontId="0" fillId="3" borderId="22" xfId="0" applyNumberFormat="1" applyFill="1" applyBorder="1"/>
    <xf numFmtId="166" fontId="0" fillId="3" borderId="23" xfId="0" applyNumberFormat="1" applyFill="1" applyBorder="1"/>
    <xf numFmtId="164" fontId="0" fillId="3" borderId="7" xfId="0" applyNumberFormat="1" applyFill="1" applyBorder="1"/>
    <xf numFmtId="164" fontId="0" fillId="3" borderId="16" xfId="0" applyNumberFormat="1" applyFill="1" applyBorder="1"/>
    <xf numFmtId="164" fontId="0" fillId="3" borderId="23" xfId="0" applyNumberFormat="1" applyFill="1" applyBorder="1"/>
    <xf numFmtId="0" fontId="4" fillId="0" borderId="0" xfId="0" applyFont="1"/>
    <xf numFmtId="170" fontId="0" fillId="3" borderId="4" xfId="0" applyNumberFormat="1" applyFill="1" applyBorder="1"/>
    <xf numFmtId="1" fontId="0" fillId="3" borderId="24" xfId="0" applyNumberFormat="1" applyFill="1" applyBorder="1"/>
    <xf numFmtId="177" fontId="0" fillId="3" borderId="12" xfId="0" applyNumberFormat="1" applyFill="1" applyBorder="1"/>
    <xf numFmtId="179" fontId="0" fillId="3" borderId="4" xfId="0" applyNumberFormat="1" applyFill="1" applyBorder="1"/>
    <xf numFmtId="164" fontId="0" fillId="2" borderId="30" xfId="0" applyNumberFormat="1" applyFill="1" applyBorder="1"/>
    <xf numFmtId="164" fontId="0" fillId="2" borderId="32" xfId="0" applyNumberFormat="1" applyFill="1" applyBorder="1"/>
    <xf numFmtId="166" fontId="0" fillId="2" borderId="46" xfId="0" applyNumberFormat="1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28" xfId="0" applyFill="1" applyBorder="1"/>
    <xf numFmtId="188" fontId="0" fillId="4" borderId="2" xfId="0" applyNumberFormat="1" applyFill="1" applyBorder="1"/>
    <xf numFmtId="188" fontId="0" fillId="4" borderId="3" xfId="0" applyNumberFormat="1" applyFill="1" applyBorder="1"/>
    <xf numFmtId="188" fontId="0" fillId="4" borderId="12" xfId="0" applyNumberFormat="1" applyFill="1" applyBorder="1"/>
    <xf numFmtId="170" fontId="0" fillId="4" borderId="5" xfId="0" applyNumberFormat="1" applyFill="1" applyBorder="1"/>
    <xf numFmtId="170" fontId="0" fillId="4" borderId="8" xfId="0" applyNumberFormat="1" applyFill="1" applyBorder="1"/>
    <xf numFmtId="170" fontId="0" fillId="4" borderId="10" xfId="0" applyNumberFormat="1" applyFill="1" applyBorder="1"/>
    <xf numFmtId="166" fontId="0" fillId="2" borderId="5" xfId="0" applyNumberFormat="1" applyFill="1" applyBorder="1"/>
    <xf numFmtId="0" fontId="1" fillId="2" borderId="50" xfId="0" applyFont="1" applyFill="1" applyBorder="1"/>
    <xf numFmtId="0" fontId="1" fillId="2" borderId="51" xfId="0" applyFont="1" applyFill="1" applyBorder="1"/>
    <xf numFmtId="0" fontId="1" fillId="2" borderId="52" xfId="0" applyFont="1" applyFill="1" applyBorder="1"/>
    <xf numFmtId="0" fontId="0" fillId="2" borderId="30" xfId="0" applyFill="1" applyBorder="1"/>
    <xf numFmtId="1" fontId="0" fillId="2" borderId="25" xfId="0" applyNumberFormat="1" applyFill="1" applyBorder="1"/>
    <xf numFmtId="0" fontId="0" fillId="3" borderId="56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3" borderId="57" xfId="0" applyFill="1" applyBorder="1" applyAlignment="1">
      <alignment horizontal="center"/>
    </xf>
    <xf numFmtId="188" fontId="0" fillId="4" borderId="24" xfId="0" applyNumberFormat="1" applyFill="1" applyBorder="1"/>
    <xf numFmtId="170" fontId="0" fillId="4" borderId="7" xfId="0" applyNumberFormat="1" applyFill="1" applyBorder="1"/>
    <xf numFmtId="170" fontId="0" fillId="4" borderId="9" xfId="0" applyNumberFormat="1" applyFill="1" applyBorder="1"/>
    <xf numFmtId="170" fontId="0" fillId="4" borderId="11" xfId="0" applyNumberFormat="1" applyFill="1" applyBorder="1"/>
    <xf numFmtId="186" fontId="0" fillId="3" borderId="3" xfId="0" applyNumberFormat="1" applyFill="1" applyBorder="1"/>
    <xf numFmtId="170" fontId="0" fillId="4" borderId="30" xfId="0" applyNumberFormat="1" applyFill="1" applyBorder="1"/>
    <xf numFmtId="170" fontId="0" fillId="4" borderId="25" xfId="0" applyNumberFormat="1" applyFill="1" applyBorder="1"/>
    <xf numFmtId="170" fontId="0" fillId="4" borderId="31" xfId="0" applyNumberFormat="1" applyFill="1" applyBorder="1"/>
    <xf numFmtId="170" fontId="0" fillId="4" borderId="32" xfId="0" applyNumberFormat="1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28" xfId="0" applyFill="1" applyBorder="1"/>
    <xf numFmtId="0" fontId="0" fillId="4" borderId="17" xfId="0" applyFill="1" applyBorder="1"/>
    <xf numFmtId="166" fontId="0" fillId="2" borderId="25" xfId="0" applyNumberFormat="1" applyFill="1" applyBorder="1"/>
    <xf numFmtId="164" fontId="0" fillId="2" borderId="25" xfId="0" applyNumberFormat="1" applyFill="1" applyBorder="1"/>
    <xf numFmtId="166" fontId="0" fillId="2" borderId="31" xfId="0" applyNumberFormat="1" applyFill="1" applyBorder="1"/>
    <xf numFmtId="166" fontId="0" fillId="2" borderId="32" xfId="0" applyNumberFormat="1" applyFill="1" applyBorder="1"/>
    <xf numFmtId="0" fontId="0" fillId="2" borderId="17" xfId="0" applyFill="1" applyBorder="1"/>
    <xf numFmtId="0" fontId="0" fillId="2" borderId="24" xfId="0" applyFill="1" applyBorder="1"/>
    <xf numFmtId="166" fontId="0" fillId="2" borderId="3" xfId="0" applyNumberFormat="1" applyFill="1" applyBorder="1"/>
    <xf numFmtId="164" fontId="0" fillId="2" borderId="3" xfId="0" applyNumberFormat="1" applyFill="1" applyBorder="1"/>
    <xf numFmtId="164" fontId="0" fillId="2" borderId="12" xfId="0" applyNumberFormat="1" applyFill="1" applyBorder="1"/>
    <xf numFmtId="170" fontId="0" fillId="4" borderId="58" xfId="0" applyNumberFormat="1" applyFill="1" applyBorder="1"/>
    <xf numFmtId="170" fontId="0" fillId="4" borderId="3" xfId="0" applyNumberFormat="1" applyFill="1" applyBorder="1"/>
    <xf numFmtId="170" fontId="0" fillId="4" borderId="12" xfId="0" applyNumberFormat="1" applyFill="1" applyBorder="1"/>
    <xf numFmtId="170" fontId="0" fillId="4" borderId="24" xfId="0" applyNumberFormat="1" applyFill="1" applyBorder="1"/>
    <xf numFmtId="0" fontId="0" fillId="2" borderId="46" xfId="0" applyFill="1" applyBorder="1"/>
    <xf numFmtId="0" fontId="0" fillId="2" borderId="2" xfId="0" applyFill="1" applyBorder="1"/>
    <xf numFmtId="0" fontId="0" fillId="2" borderId="59" xfId="0" applyFill="1" applyBorder="1"/>
    <xf numFmtId="166" fontId="0" fillId="2" borderId="2" xfId="0" applyNumberFormat="1" applyFill="1" applyBorder="1"/>
    <xf numFmtId="166" fontId="0" fillId="2" borderId="24" xfId="0" applyNumberFormat="1" applyFill="1" applyBorder="1"/>
    <xf numFmtId="166" fontId="0" fillId="2" borderId="59" xfId="0" applyNumberFormat="1" applyFill="1" applyBorder="1"/>
    <xf numFmtId="0" fontId="0" fillId="3" borderId="6" xfId="0" applyFill="1" applyBorder="1"/>
    <xf numFmtId="0" fontId="0" fillId="3" borderId="45" xfId="0" applyFill="1" applyBorder="1"/>
    <xf numFmtId="0" fontId="0" fillId="3" borderId="2" xfId="0" applyFill="1" applyBorder="1"/>
    <xf numFmtId="171" fontId="0" fillId="3" borderId="6" xfId="0" applyNumberFormat="1" applyFill="1" applyBorder="1"/>
    <xf numFmtId="172" fontId="0" fillId="3" borderId="7" xfId="0" applyNumberFormat="1" applyFill="1" applyBorder="1"/>
    <xf numFmtId="189" fontId="0" fillId="3" borderId="9" xfId="0" applyNumberFormat="1" applyFill="1" applyBorder="1"/>
    <xf numFmtId="176" fontId="0" fillId="3" borderId="9" xfId="0" applyNumberFormat="1" applyFill="1" applyBorder="1"/>
    <xf numFmtId="177" fontId="0" fillId="3" borderId="59" xfId="0" applyNumberFormat="1" applyFill="1" applyBorder="1"/>
    <xf numFmtId="182" fontId="0" fillId="3" borderId="11" xfId="0" applyNumberFormat="1" applyFill="1" applyBorder="1"/>
    <xf numFmtId="0" fontId="0" fillId="4" borderId="19" xfId="0" applyFill="1" applyBorder="1"/>
    <xf numFmtId="0" fontId="0" fillId="4" borderId="20" xfId="0" applyFill="1" applyBorder="1"/>
    <xf numFmtId="0" fontId="0" fillId="4" borderId="49" xfId="0" applyFill="1" applyBorder="1"/>
    <xf numFmtId="0" fontId="0" fillId="4" borderId="15" xfId="0" applyFill="1" applyBorder="1"/>
    <xf numFmtId="0" fontId="0" fillId="4" borderId="60" xfId="0" applyFill="1" applyBorder="1"/>
    <xf numFmtId="0" fontId="0" fillId="4" borderId="54" xfId="0" applyFill="1" applyBorder="1"/>
    <xf numFmtId="0" fontId="0" fillId="4" borderId="55" xfId="0" applyFill="1" applyBorder="1"/>
    <xf numFmtId="0" fontId="0" fillId="4" borderId="53" xfId="0" applyFill="1" applyBorder="1"/>
    <xf numFmtId="170" fontId="0" fillId="4" borderId="27" xfId="0" applyNumberFormat="1" applyFill="1" applyBorder="1"/>
    <xf numFmtId="170" fontId="0" fillId="4" borderId="16" xfId="0" applyNumberFormat="1" applyFill="1" applyBorder="1"/>
    <xf numFmtId="165" fontId="0" fillId="3" borderId="26" xfId="0" applyNumberFormat="1" applyFill="1" applyBorder="1"/>
    <xf numFmtId="165" fontId="0" fillId="2" borderId="26" xfId="0" applyNumberFormat="1" applyFill="1" applyBorder="1"/>
    <xf numFmtId="0" fontId="0" fillId="3" borderId="12" xfId="0" applyFill="1" applyBorder="1"/>
    <xf numFmtId="0" fontId="0" fillId="3" borderId="13" xfId="0" applyFill="1" applyBorder="1"/>
    <xf numFmtId="170" fontId="0" fillId="4" borderId="2" xfId="0" applyNumberFormat="1" applyFill="1" applyBorder="1"/>
    <xf numFmtId="0" fontId="0" fillId="4" borderId="34" xfId="0" applyFill="1" applyBorder="1" applyAlignment="1"/>
    <xf numFmtId="0" fontId="0" fillId="3" borderId="56" xfId="0" applyFill="1" applyBorder="1"/>
    <xf numFmtId="0" fontId="0" fillId="3" borderId="57" xfId="0" applyFill="1" applyBorder="1"/>
    <xf numFmtId="1" fontId="0" fillId="2" borderId="26" xfId="0" applyNumberFormat="1" applyFill="1" applyBorder="1"/>
    <xf numFmtId="1" fontId="0" fillId="3" borderId="26" xfId="0" applyNumberFormat="1" applyFill="1" applyBorder="1"/>
    <xf numFmtId="171" fontId="0" fillId="2" borderId="30" xfId="0" applyNumberFormat="1" applyFill="1" applyBorder="1"/>
    <xf numFmtId="171" fontId="0" fillId="2" borderId="32" xfId="0" applyNumberFormat="1" applyFill="1" applyBorder="1"/>
    <xf numFmtId="171" fontId="0" fillId="2" borderId="46" xfId="0" applyNumberFormat="1" applyFill="1" applyBorder="1"/>
    <xf numFmtId="166" fontId="0" fillId="2" borderId="30" xfId="0" applyNumberFormat="1" applyFill="1" applyBorder="1"/>
    <xf numFmtId="166" fontId="0" fillId="4" borderId="1" xfId="0" applyNumberFormat="1" applyFill="1" applyBorder="1"/>
    <xf numFmtId="167" fontId="0" fillId="4" borderId="30" xfId="0" applyNumberFormat="1" applyFill="1" applyBorder="1"/>
    <xf numFmtId="167" fontId="0" fillId="4" borderId="25" xfId="0" applyNumberFormat="1" applyFill="1" applyBorder="1"/>
    <xf numFmtId="166" fontId="0" fillId="4" borderId="25" xfId="0" applyNumberFormat="1" applyFill="1" applyBorder="1"/>
    <xf numFmtId="167" fontId="0" fillId="4" borderId="31" xfId="0" applyNumberFormat="1" applyFill="1" applyBorder="1"/>
    <xf numFmtId="166" fontId="0" fillId="4" borderId="8" xfId="0" applyNumberFormat="1" applyFill="1" applyBorder="1"/>
    <xf numFmtId="166" fontId="0" fillId="4" borderId="9" xfId="0" applyNumberFormat="1" applyFill="1" applyBorder="1"/>
    <xf numFmtId="0" fontId="5" fillId="0" borderId="0" xfId="0" applyFont="1"/>
    <xf numFmtId="191" fontId="0" fillId="3" borderId="26" xfId="0" applyNumberFormat="1" applyFill="1" applyBorder="1"/>
    <xf numFmtId="189" fontId="0" fillId="3" borderId="1" xfId="0" applyNumberFormat="1" applyFill="1" applyBorder="1"/>
    <xf numFmtId="187" fontId="0" fillId="3" borderId="4" xfId="0" applyNumberFormat="1" applyFill="1" applyBorder="1"/>
    <xf numFmtId="190" fontId="0" fillId="3" borderId="26" xfId="0" applyNumberFormat="1" applyFill="1" applyBorder="1"/>
    <xf numFmtId="186" fontId="0" fillId="3" borderId="26" xfId="0" applyNumberFormat="1" applyFill="1" applyBorder="1"/>
    <xf numFmtId="167" fontId="0" fillId="3" borderId="32" xfId="0" applyNumberFormat="1" applyFill="1" applyBorder="1"/>
    <xf numFmtId="190" fontId="0" fillId="3" borderId="1" xfId="0" applyNumberFormat="1" applyFill="1" applyBorder="1"/>
    <xf numFmtId="2" fontId="0" fillId="3" borderId="26" xfId="0" applyNumberFormat="1" applyFill="1" applyBorder="1"/>
    <xf numFmtId="191" fontId="0" fillId="3" borderId="1" xfId="0" applyNumberFormat="1" applyFill="1" applyBorder="1"/>
    <xf numFmtId="0" fontId="0" fillId="2" borderId="27" xfId="0" applyFill="1" applyBorder="1"/>
    <xf numFmtId="191" fontId="0" fillId="2" borderId="6" xfId="0" applyNumberFormat="1" applyFill="1" applyBorder="1"/>
    <xf numFmtId="190" fontId="0" fillId="2" borderId="6" xfId="0" applyNumberFormat="1" applyFill="1" applyBorder="1"/>
    <xf numFmtId="186" fontId="0" fillId="2" borderId="6" xfId="0" applyNumberFormat="1" applyFill="1" applyBorder="1"/>
    <xf numFmtId="167" fontId="0" fillId="2" borderId="7" xfId="0" applyNumberFormat="1" applyFill="1" applyBorder="1"/>
    <xf numFmtId="186" fontId="0" fillId="2" borderId="1" xfId="0" applyNumberFormat="1" applyFill="1" applyBorder="1"/>
    <xf numFmtId="189" fontId="0" fillId="2" borderId="1" xfId="0" applyNumberFormat="1" applyFill="1" applyBorder="1"/>
    <xf numFmtId="189" fontId="0" fillId="2" borderId="9" xfId="0" applyNumberFormat="1" applyFill="1" applyBorder="1"/>
    <xf numFmtId="189" fontId="0" fillId="3" borderId="4" xfId="0" applyNumberFormat="1" applyFill="1" applyBorder="1"/>
    <xf numFmtId="186" fontId="0" fillId="3" borderId="4" xfId="0" applyNumberFormat="1" applyFill="1" applyBorder="1"/>
    <xf numFmtId="172" fontId="0" fillId="3" borderId="4" xfId="0" applyNumberFormat="1" applyFill="1" applyBorder="1"/>
    <xf numFmtId="180" fontId="0" fillId="3" borderId="26" xfId="0" applyNumberFormat="1" applyFill="1" applyBorder="1"/>
    <xf numFmtId="186" fontId="0" fillId="3" borderId="25" xfId="0" applyNumberFormat="1" applyFill="1" applyBorder="1"/>
    <xf numFmtId="177" fontId="0" fillId="3" borderId="1" xfId="0" applyNumberFormat="1" applyFill="1" applyBorder="1"/>
    <xf numFmtId="180" fontId="0" fillId="3" borderId="25" xfId="0" applyNumberFormat="1" applyFill="1" applyBorder="1"/>
    <xf numFmtId="2" fontId="0" fillId="2" borderId="1" xfId="0" applyNumberFormat="1" applyFill="1" applyBorder="1"/>
    <xf numFmtId="191" fontId="0" fillId="2" borderId="1" xfId="0" applyNumberFormat="1" applyFill="1" applyBorder="1"/>
    <xf numFmtId="177" fontId="0" fillId="2" borderId="1" xfId="0" applyNumberFormat="1" applyFill="1" applyBorder="1"/>
    <xf numFmtId="179" fontId="0" fillId="2" borderId="9" xfId="0" applyNumberFormat="1" applyFill="1" applyBorder="1"/>
    <xf numFmtId="189" fontId="0" fillId="2" borderId="4" xfId="0" applyNumberFormat="1" applyFill="1" applyBorder="1"/>
    <xf numFmtId="173" fontId="0" fillId="2" borderId="4" xfId="0" applyNumberFormat="1" applyFill="1" applyBorder="1"/>
    <xf numFmtId="182" fontId="0" fillId="2" borderId="11" xfId="0" applyNumberFormat="1" applyFill="1" applyBorder="1"/>
    <xf numFmtId="165" fontId="0" fillId="2" borderId="4" xfId="0" applyNumberFormat="1" applyFill="1" applyBorder="1"/>
    <xf numFmtId="170" fontId="0" fillId="2" borderId="4" xfId="0" applyNumberFormat="1" applyFill="1" applyBorder="1"/>
    <xf numFmtId="186" fontId="0" fillId="2" borderId="10" xfId="0" applyNumberFormat="1" applyFill="1" applyBorder="1"/>
    <xf numFmtId="191" fontId="0" fillId="2" borderId="4" xfId="0" applyNumberFormat="1" applyFill="1" applyBorder="1"/>
    <xf numFmtId="177" fontId="0" fillId="2" borderId="4" xfId="0" applyNumberFormat="1" applyFill="1" applyBorder="1"/>
    <xf numFmtId="11" fontId="0" fillId="3" borderId="12" xfId="0" applyNumberFormat="1" applyFill="1" applyBorder="1"/>
    <xf numFmtId="2" fontId="0" fillId="2" borderId="26" xfId="0" applyNumberFormat="1" applyFill="1" applyBorder="1"/>
    <xf numFmtId="2" fontId="0" fillId="3" borderId="27" xfId="0" applyNumberFormat="1" applyFill="1" applyBorder="1"/>
    <xf numFmtId="174" fontId="0" fillId="3" borderId="1" xfId="0" applyNumberFormat="1" applyFill="1" applyBorder="1"/>
    <xf numFmtId="11" fontId="0" fillId="3" borderId="1" xfId="0" applyNumberFormat="1" applyFill="1" applyBorder="1"/>
    <xf numFmtId="180" fontId="0" fillId="3" borderId="1" xfId="0" applyNumberFormat="1" applyFill="1" applyBorder="1"/>
    <xf numFmtId="170" fontId="0" fillId="3" borderId="32" xfId="0" applyNumberFormat="1" applyFill="1" applyBorder="1"/>
    <xf numFmtId="167" fontId="0" fillId="3" borderId="25" xfId="0" applyNumberFormat="1" applyFill="1" applyBorder="1"/>
    <xf numFmtId="189" fontId="0" fillId="2" borderId="6" xfId="0" applyNumberFormat="1" applyFill="1" applyBorder="1"/>
    <xf numFmtId="165" fontId="0" fillId="2" borderId="1" xfId="0" applyNumberFormat="1" applyFill="1" applyBorder="1"/>
    <xf numFmtId="190" fontId="0" fillId="2" borderId="1" xfId="0" applyNumberFormat="1" applyFill="1" applyBorder="1"/>
    <xf numFmtId="187" fontId="0" fillId="2" borderId="1" xfId="0" applyNumberFormat="1" applyFill="1" applyBorder="1"/>
    <xf numFmtId="169" fontId="0" fillId="2" borderId="1" xfId="0" applyNumberFormat="1" applyFill="1" applyBorder="1"/>
    <xf numFmtId="174" fontId="0" fillId="2" borderId="1" xfId="0" applyNumberFormat="1" applyFill="1" applyBorder="1"/>
    <xf numFmtId="186" fontId="0" fillId="2" borderId="4" xfId="0" applyNumberFormat="1" applyFill="1" applyBorder="1"/>
    <xf numFmtId="191" fontId="0" fillId="2" borderId="10" xfId="0" applyNumberFormat="1" applyFill="1" applyBorder="1"/>
    <xf numFmtId="172" fontId="0" fillId="2" borderId="4" xfId="0" applyNumberFormat="1" applyFill="1" applyBorder="1"/>
    <xf numFmtId="170" fontId="0" fillId="4" borderId="13" xfId="0" applyNumberFormat="1" applyFill="1" applyBorder="1"/>
    <xf numFmtId="170" fontId="0" fillId="4" borderId="14" xfId="0" applyNumberFormat="1" applyFill="1" applyBorder="1"/>
    <xf numFmtId="170" fontId="0" fillId="4" borderId="28" xfId="0" applyNumberFormat="1" applyFill="1" applyBorder="1"/>
    <xf numFmtId="191" fontId="0" fillId="3" borderId="4" xfId="0" applyNumberFormat="1" applyFill="1" applyBorder="1"/>
    <xf numFmtId="169" fontId="0" fillId="3" borderId="26" xfId="0" applyNumberFormat="1" applyFill="1" applyBorder="1"/>
    <xf numFmtId="187" fontId="0" fillId="3" borderId="26" xfId="0" applyNumberFormat="1" applyFill="1" applyBorder="1"/>
    <xf numFmtId="164" fontId="0" fillId="3" borderId="1" xfId="0" applyNumberFormat="1" applyFill="1" applyBorder="1"/>
    <xf numFmtId="189" fontId="0" fillId="3" borderId="32" xfId="0" applyNumberFormat="1" applyFill="1" applyBorder="1"/>
    <xf numFmtId="191" fontId="0" fillId="3" borderId="25" xfId="0" applyNumberFormat="1" applyFill="1" applyBorder="1"/>
    <xf numFmtId="179" fontId="0" fillId="3" borderId="25" xfId="0" applyNumberFormat="1" applyFill="1" applyBorder="1"/>
    <xf numFmtId="189" fontId="0" fillId="2" borderId="7" xfId="0" applyNumberFormat="1" applyFill="1" applyBorder="1"/>
    <xf numFmtId="187" fontId="0" fillId="2" borderId="6" xfId="0" applyNumberFormat="1" applyFill="1" applyBorder="1"/>
    <xf numFmtId="187" fontId="0" fillId="2" borderId="4" xfId="0" applyNumberFormat="1" applyFill="1" applyBorder="1"/>
    <xf numFmtId="169" fontId="0" fillId="2" borderId="6" xfId="0" applyNumberFormat="1" applyFill="1" applyBorder="1"/>
    <xf numFmtId="169" fontId="0" fillId="2" borderId="4" xfId="0" applyNumberFormat="1" applyFill="1" applyBorder="1"/>
    <xf numFmtId="164" fontId="0" fillId="2" borderId="26" xfId="0" applyNumberFormat="1" applyFill="1" applyBorder="1"/>
    <xf numFmtId="180" fontId="0" fillId="2" borderId="9" xfId="0" applyNumberFormat="1" applyFill="1" applyBorder="1"/>
    <xf numFmtId="188" fontId="0" fillId="2" borderId="1" xfId="0" applyNumberFormat="1" applyFill="1" applyBorder="1"/>
    <xf numFmtId="187" fontId="0" fillId="2" borderId="9" xfId="0" applyNumberFormat="1" applyFill="1" applyBorder="1"/>
    <xf numFmtId="2" fontId="0" fillId="2" borderId="4" xfId="0" applyNumberFormat="1" applyFill="1" applyBorder="1"/>
    <xf numFmtId="2" fontId="0" fillId="2" borderId="8" xfId="0" applyNumberFormat="1" applyFill="1" applyBorder="1"/>
    <xf numFmtId="190" fontId="0" fillId="2" borderId="10" xfId="0" applyNumberFormat="1" applyFill="1" applyBorder="1"/>
    <xf numFmtId="168" fontId="0" fillId="2" borderId="4" xfId="0" applyNumberFormat="1" applyFill="1" applyBorder="1"/>
    <xf numFmtId="192" fontId="0" fillId="2" borderId="11" xfId="0" applyNumberFormat="1" applyFill="1" applyBorder="1"/>
    <xf numFmtId="0" fontId="0" fillId="2" borderId="61" xfId="0" applyFill="1" applyBorder="1"/>
    <xf numFmtId="0" fontId="0" fillId="2" borderId="29" xfId="0" applyFill="1" applyBorder="1"/>
    <xf numFmtId="0" fontId="0" fillId="2" borderId="57" xfId="0" applyFill="1" applyBorder="1"/>
    <xf numFmtId="1" fontId="0" fillId="2" borderId="7" xfId="0" applyNumberFormat="1" applyFill="1" applyBorder="1"/>
    <xf numFmtId="1" fontId="0" fillId="3" borderId="7" xfId="0" applyNumberFormat="1" applyFill="1" applyBorder="1"/>
    <xf numFmtId="184" fontId="0" fillId="3" borderId="31" xfId="0" applyNumberFormat="1" applyFill="1" applyBorder="1"/>
    <xf numFmtId="177" fontId="0" fillId="3" borderId="26" xfId="0" applyNumberFormat="1" applyFill="1" applyBorder="1"/>
    <xf numFmtId="172" fontId="0" fillId="3" borderId="25" xfId="0" applyNumberFormat="1" applyFill="1" applyBorder="1"/>
    <xf numFmtId="186" fontId="0" fillId="2" borderId="16" xfId="0" applyNumberFormat="1" applyFill="1" applyBorder="1"/>
    <xf numFmtId="186" fontId="0" fillId="2" borderId="9" xfId="0" applyNumberFormat="1" applyFill="1" applyBorder="1"/>
    <xf numFmtId="172" fontId="0" fillId="2" borderId="9" xfId="0" applyNumberFormat="1" applyFill="1" applyBorder="1"/>
    <xf numFmtId="184" fontId="0" fillId="2" borderId="11" xfId="0" applyNumberFormat="1" applyFill="1" applyBorder="1"/>
    <xf numFmtId="186" fontId="0" fillId="2" borderId="26" xfId="0" applyNumberFormat="1" applyFill="1" applyBorder="1"/>
    <xf numFmtId="190" fontId="0" fillId="2" borderId="26" xfId="0" applyNumberFormat="1" applyFill="1" applyBorder="1"/>
    <xf numFmtId="180" fontId="0" fillId="2" borderId="6" xfId="0" applyNumberFormat="1" applyFill="1" applyBorder="1"/>
    <xf numFmtId="191" fontId="0" fillId="2" borderId="9" xfId="0" applyNumberFormat="1" applyFill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2" fontId="0" fillId="3" borderId="1" xfId="0" applyNumberFormat="1" applyFill="1" applyBorder="1"/>
    <xf numFmtId="165" fontId="0" fillId="3" borderId="31" xfId="0" applyNumberFormat="1" applyFill="1" applyBorder="1"/>
    <xf numFmtId="167" fontId="0" fillId="2" borderId="9" xfId="0" applyNumberFormat="1" applyFill="1" applyBorder="1"/>
    <xf numFmtId="0" fontId="0" fillId="3" borderId="31" xfId="0" applyFill="1" applyBorder="1"/>
    <xf numFmtId="166" fontId="0" fillId="3" borderId="4" xfId="0" applyNumberFormat="1" applyFill="1" applyBorder="1"/>
    <xf numFmtId="169" fontId="0" fillId="2" borderId="24" xfId="0" applyNumberFormat="1" applyFill="1" applyBorder="1"/>
    <xf numFmtId="190" fontId="0" fillId="3" borderId="24" xfId="0" applyNumberFormat="1" applyFill="1" applyBorder="1"/>
    <xf numFmtId="190" fontId="0" fillId="3" borderId="3" xfId="0" applyNumberFormat="1" applyFill="1" applyBorder="1"/>
    <xf numFmtId="190" fontId="0" fillId="3" borderId="25" xfId="0" applyNumberFormat="1" applyFill="1" applyBorder="1"/>
    <xf numFmtId="190" fontId="0" fillId="3" borderId="4" xfId="0" applyNumberFormat="1" applyFill="1" applyBorder="1"/>
    <xf numFmtId="190" fontId="0" fillId="2" borderId="3" xfId="0" applyNumberFormat="1" applyFill="1" applyBorder="1"/>
    <xf numFmtId="190" fontId="0" fillId="2" borderId="25" xfId="0" applyNumberFormat="1" applyFill="1" applyBorder="1"/>
    <xf numFmtId="190" fontId="0" fillId="2" borderId="4" xfId="0" applyNumberFormat="1" applyFill="1" applyBorder="1"/>
    <xf numFmtId="187" fontId="0" fillId="3" borderId="27" xfId="0" applyNumberFormat="1" applyFill="1" applyBorder="1"/>
    <xf numFmtId="187" fontId="0" fillId="3" borderId="24" xfId="0" applyNumberFormat="1" applyFill="1" applyBorder="1"/>
    <xf numFmtId="2" fontId="0" fillId="2" borderId="3" xfId="0" applyNumberFormat="1" applyFill="1" applyBorder="1"/>
    <xf numFmtId="2" fontId="0" fillId="2" borderId="25" xfId="0" applyNumberFormat="1" applyFill="1" applyBorder="1"/>
    <xf numFmtId="2" fontId="0" fillId="2" borderId="31" xfId="0" applyNumberFormat="1" applyFill="1" applyBorder="1"/>
    <xf numFmtId="169" fontId="0" fillId="2" borderId="3" xfId="0" applyNumberFormat="1" applyFill="1" applyBorder="1"/>
    <xf numFmtId="169" fontId="0" fillId="2" borderId="25" xfId="0" applyNumberFormat="1" applyFill="1" applyBorder="1"/>
    <xf numFmtId="171" fontId="0" fillId="3" borderId="4" xfId="0" applyNumberFormat="1" applyFill="1" applyBorder="1"/>
    <xf numFmtId="175" fontId="0" fillId="3" borderId="4" xfId="0" applyNumberFormat="1" applyFill="1" applyBorder="1"/>
    <xf numFmtId="188" fontId="0" fillId="3" borderId="4" xfId="0" applyNumberFormat="1" applyFill="1" applyBorder="1"/>
    <xf numFmtId="188" fontId="0" fillId="4" borderId="7" xfId="0" applyNumberFormat="1" applyFill="1" applyBorder="1"/>
    <xf numFmtId="188" fontId="0" fillId="4" borderId="9" xfId="0" applyNumberFormat="1" applyFill="1" applyBorder="1"/>
    <xf numFmtId="188" fontId="0" fillId="4" borderId="11" xfId="0" applyNumberFormat="1" applyFill="1" applyBorder="1"/>
    <xf numFmtId="168" fontId="0" fillId="2" borderId="6" xfId="0" applyNumberFormat="1" applyFill="1" applyBorder="1"/>
    <xf numFmtId="188" fontId="0" fillId="4" borderId="30" xfId="0" applyNumberFormat="1" applyFill="1" applyBorder="1"/>
    <xf numFmtId="188" fontId="0" fillId="4" borderId="25" xfId="0" applyNumberFormat="1" applyFill="1" applyBorder="1"/>
    <xf numFmtId="188" fontId="0" fillId="4" borderId="31" xfId="0" applyNumberFormat="1" applyFill="1" applyBorder="1"/>
    <xf numFmtId="0" fontId="0" fillId="4" borderId="25" xfId="0" applyFill="1" applyBorder="1"/>
    <xf numFmtId="168" fontId="0" fillId="2" borderId="9" xfId="0" applyNumberFormat="1" applyFill="1" applyBorder="1"/>
    <xf numFmtId="0" fontId="0" fillId="3" borderId="0" xfId="0" applyFill="1" applyBorder="1"/>
    <xf numFmtId="0" fontId="0" fillId="2" borderId="56" xfId="0" applyFill="1" applyBorder="1"/>
    <xf numFmtId="171" fontId="0" fillId="2" borderId="9" xfId="0" applyNumberFormat="1" applyFill="1" applyBorder="1"/>
    <xf numFmtId="166" fontId="0" fillId="2" borderId="13" xfId="0" applyNumberFormat="1" applyFill="1" applyBorder="1"/>
    <xf numFmtId="166" fontId="0" fillId="2" borderId="14" xfId="0" applyNumberFormat="1" applyFill="1" applyBorder="1"/>
    <xf numFmtId="166" fontId="0" fillId="2" borderId="17" xfId="0" applyNumberFormat="1" applyFill="1" applyBorder="1"/>
    <xf numFmtId="0" fontId="0" fillId="3" borderId="15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9" xfId="0" applyFill="1" applyBorder="1" applyAlignment="1">
      <alignment horizontal="center"/>
    </xf>
    <xf numFmtId="190" fontId="0" fillId="3" borderId="7" xfId="0" applyNumberFormat="1" applyFill="1" applyBorder="1"/>
    <xf numFmtId="187" fontId="0" fillId="3" borderId="9" xfId="0" applyNumberFormat="1" applyFill="1" applyBorder="1"/>
    <xf numFmtId="190" fontId="0" fillId="3" borderId="13" xfId="0" applyNumberFormat="1" applyFill="1" applyBorder="1"/>
    <xf numFmtId="169" fontId="0" fillId="3" borderId="14" xfId="0" applyNumberFormat="1" applyFill="1" applyBorder="1"/>
    <xf numFmtId="190" fontId="0" fillId="3" borderId="17" xfId="0" applyNumberFormat="1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187" fontId="0" fillId="3" borderId="32" xfId="0" applyNumberFormat="1" applyFill="1" applyBorder="1"/>
    <xf numFmtId="189" fontId="0" fillId="2" borderId="10" xfId="0" applyNumberFormat="1" applyFill="1" applyBorder="1"/>
    <xf numFmtId="176" fontId="0" fillId="2" borderId="1" xfId="0" applyNumberFormat="1" applyFill="1" applyBorder="1"/>
    <xf numFmtId="182" fontId="0" fillId="2" borderId="1" xfId="0" applyNumberFormat="1" applyFill="1" applyBorder="1"/>
    <xf numFmtId="183" fontId="0" fillId="2" borderId="1" xfId="0" applyNumberFormat="1" applyFill="1" applyBorder="1"/>
    <xf numFmtId="183" fontId="0" fillId="2" borderId="9" xfId="0" applyNumberFormat="1" applyFill="1" applyBorder="1"/>
    <xf numFmtId="190" fontId="0" fillId="2" borderId="17" xfId="0" applyNumberFormat="1" applyFill="1" applyBorder="1"/>
    <xf numFmtId="187" fontId="0" fillId="2" borderId="32" xfId="0" applyNumberFormat="1" applyFill="1" applyBorder="1"/>
    <xf numFmtId="169" fontId="0" fillId="2" borderId="14" xfId="0" applyNumberFormat="1" applyFill="1" applyBorder="1"/>
    <xf numFmtId="190" fontId="0" fillId="2" borderId="14" xfId="0" applyNumberFormat="1" applyFill="1" applyBorder="1"/>
    <xf numFmtId="190" fontId="0" fillId="2" borderId="28" xfId="0" applyNumberFormat="1" applyFill="1" applyBorder="1"/>
    <xf numFmtId="187" fontId="0" fillId="2" borderId="25" xfId="0" applyNumberFormat="1" applyFill="1" applyBorder="1"/>
    <xf numFmtId="187" fontId="0" fillId="2" borderId="31" xfId="0" applyNumberFormat="1" applyFill="1" applyBorder="1"/>
    <xf numFmtId="169" fontId="0" fillId="3" borderId="13" xfId="0" applyNumberFormat="1" applyFill="1" applyBorder="1"/>
    <xf numFmtId="190" fontId="0" fillId="3" borderId="14" xfId="0" applyNumberFormat="1" applyFill="1" applyBorder="1"/>
    <xf numFmtId="190" fontId="0" fillId="3" borderId="28" xfId="0" applyNumberFormat="1" applyFill="1" applyBorder="1"/>
    <xf numFmtId="187" fontId="0" fillId="3" borderId="25" xfId="0" applyNumberFormat="1" applyFill="1" applyBorder="1"/>
    <xf numFmtId="0" fontId="0" fillId="3" borderId="13" xfId="0" applyFill="1" applyBorder="1" applyAlignment="1">
      <alignment horizontal="center"/>
    </xf>
    <xf numFmtId="174" fontId="0" fillId="2" borderId="8" xfId="0" applyNumberFormat="1" applyFill="1" applyBorder="1"/>
    <xf numFmtId="169" fontId="0" fillId="2" borderId="9" xfId="0" applyNumberFormat="1" applyFill="1" applyBorder="1"/>
    <xf numFmtId="169" fontId="0" fillId="2" borderId="11" xfId="0" applyNumberFormat="1" applyFill="1" applyBorder="1"/>
    <xf numFmtId="2" fontId="0" fillId="3" borderId="31" xfId="0" applyNumberFormat="1" applyFill="1" applyBorder="1"/>
    <xf numFmtId="187" fontId="0" fillId="3" borderId="11" xfId="0" applyNumberFormat="1" applyFill="1" applyBorder="1"/>
    <xf numFmtId="170" fontId="0" fillId="4" borderId="51" xfId="0" applyNumberFormat="1" applyFill="1" applyBorder="1"/>
    <xf numFmtId="170" fontId="0" fillId="4" borderId="50" xfId="0" applyNumberFormat="1" applyFill="1" applyBorder="1"/>
    <xf numFmtId="170" fontId="0" fillId="4" borderId="52" xfId="0" applyNumberFormat="1" applyFill="1" applyBorder="1"/>
    <xf numFmtId="188" fontId="0" fillId="4" borderId="13" xfId="0" applyNumberFormat="1" applyFill="1" applyBorder="1"/>
    <xf numFmtId="188" fontId="0" fillId="4" borderId="14" xfId="0" applyNumberFormat="1" applyFill="1" applyBorder="1"/>
    <xf numFmtId="188" fontId="0" fillId="4" borderId="28" xfId="0" applyNumberFormat="1" applyFill="1" applyBorder="1"/>
    <xf numFmtId="169" fontId="0" fillId="3" borderId="25" xfId="0" applyNumberFormat="1" applyFill="1" applyBorder="1"/>
    <xf numFmtId="183" fontId="0" fillId="3" borderId="31" xfId="0" applyNumberFormat="1" applyFill="1" applyBorder="1"/>
    <xf numFmtId="187" fontId="0" fillId="3" borderId="3" xfId="0" applyNumberFormat="1" applyFill="1" applyBorder="1"/>
    <xf numFmtId="187" fontId="0" fillId="3" borderId="12" xfId="0" applyNumberFormat="1" applyFill="1" applyBorder="1"/>
    <xf numFmtId="180" fontId="0" fillId="3" borderId="4" xfId="0" applyNumberFormat="1" applyFill="1" applyBorder="1"/>
    <xf numFmtId="190" fontId="0" fillId="3" borderId="61" xfId="0" applyNumberFormat="1" applyFill="1" applyBorder="1"/>
    <xf numFmtId="190" fontId="0" fillId="3" borderId="29" xfId="0" applyNumberFormat="1" applyFill="1" applyBorder="1"/>
    <xf numFmtId="187" fontId="0" fillId="2" borderId="24" xfId="0" applyNumberFormat="1" applyFill="1" applyBorder="1"/>
    <xf numFmtId="187" fontId="0" fillId="2" borderId="3" xfId="0" applyNumberFormat="1" applyFill="1" applyBorder="1"/>
    <xf numFmtId="187" fontId="0" fillId="2" borderId="12" xfId="0" applyNumberFormat="1" applyFill="1" applyBorder="1"/>
    <xf numFmtId="170" fontId="0" fillId="4" borderId="64" xfId="0" applyNumberFormat="1" applyFill="1" applyBorder="1"/>
    <xf numFmtId="170" fontId="0" fillId="4" borderId="65" xfId="0" applyNumberFormat="1" applyFill="1" applyBorder="1"/>
    <xf numFmtId="170" fontId="0" fillId="4" borderId="66" xfId="0" applyNumberFormat="1" applyFill="1" applyBorder="1"/>
    <xf numFmtId="167" fontId="0" fillId="4" borderId="62" xfId="0" applyNumberFormat="1" applyFill="1" applyBorder="1"/>
    <xf numFmtId="167" fontId="0" fillId="4" borderId="63" xfId="0" applyNumberFormat="1" applyFill="1" applyBorder="1"/>
    <xf numFmtId="167" fontId="0" fillId="4" borderId="67" xfId="0" applyNumberFormat="1" applyFill="1" applyBorder="1"/>
    <xf numFmtId="1" fontId="0" fillId="3" borderId="13" xfId="0" applyNumberFormat="1" applyFill="1" applyBorder="1"/>
    <xf numFmtId="1" fontId="0" fillId="3" borderId="14" xfId="0" applyNumberFormat="1" applyFill="1" applyBorder="1"/>
    <xf numFmtId="1" fontId="0" fillId="3" borderId="17" xfId="0" applyNumberFormat="1" applyFill="1" applyBorder="1"/>
    <xf numFmtId="187" fontId="0" fillId="3" borderId="7" xfId="0" applyNumberFormat="1" applyFill="1" applyBorder="1"/>
    <xf numFmtId="0" fontId="0" fillId="3" borderId="62" xfId="0" applyFill="1" applyBorder="1"/>
    <xf numFmtId="0" fontId="0" fillId="3" borderId="63" xfId="0" applyFill="1" applyBorder="1"/>
    <xf numFmtId="0" fontId="0" fillId="3" borderId="67" xfId="0" applyFill="1" applyBorder="1"/>
    <xf numFmtId="187" fontId="0" fillId="2" borderId="7" xfId="0" applyNumberFormat="1" applyFill="1" applyBorder="1"/>
    <xf numFmtId="1" fontId="0" fillId="2" borderId="13" xfId="0" applyNumberFormat="1" applyFill="1" applyBorder="1"/>
    <xf numFmtId="1" fontId="0" fillId="2" borderId="14" xfId="0" applyNumberFormat="1" applyFill="1" applyBorder="1"/>
    <xf numFmtId="1" fontId="0" fillId="2" borderId="17" xfId="0" applyNumberFormat="1" applyFill="1" applyBorder="1"/>
    <xf numFmtId="183" fontId="0" fillId="2" borderId="11" xfId="0" applyNumberFormat="1" applyFill="1" applyBorder="1"/>
    <xf numFmtId="189" fontId="0" fillId="0" borderId="0" xfId="0" applyNumberFormat="1" applyFill="1" applyBorder="1"/>
    <xf numFmtId="172" fontId="0" fillId="0" borderId="0" xfId="0" applyNumberFormat="1" applyFill="1" applyBorder="1"/>
    <xf numFmtId="186" fontId="0" fillId="0" borderId="0" xfId="0" applyNumberFormat="1" applyFill="1" applyBorder="1"/>
    <xf numFmtId="191" fontId="0" fillId="0" borderId="0" xfId="0" applyNumberFormat="1" applyFill="1" applyBorder="1"/>
    <xf numFmtId="192" fontId="0" fillId="0" borderId="0" xfId="0" applyNumberFormat="1" applyFill="1" applyBorder="1"/>
    <xf numFmtId="14" fontId="0" fillId="0" borderId="0" xfId="0" applyNumberFormat="1" applyAlignment="1">
      <alignment horizontal="left"/>
    </xf>
    <xf numFmtId="165" fontId="0" fillId="2" borderId="3" xfId="0" applyNumberFormat="1" applyFill="1" applyBorder="1"/>
    <xf numFmtId="0" fontId="0" fillId="3" borderId="61" xfId="0" applyFill="1" applyBorder="1"/>
    <xf numFmtId="0" fontId="0" fillId="2" borderId="63" xfId="0" applyFill="1" applyBorder="1"/>
    <xf numFmtId="0" fontId="0" fillId="2" borderId="18" xfId="0" applyFill="1" applyBorder="1"/>
    <xf numFmtId="169" fontId="0" fillId="2" borderId="63" xfId="0" applyNumberFormat="1" applyFill="1" applyBorder="1"/>
    <xf numFmtId="0" fontId="0" fillId="2" borderId="62" xfId="0" applyFill="1" applyBorder="1"/>
    <xf numFmtId="189" fontId="0" fillId="2" borderId="63" xfId="0" applyNumberFormat="1" applyFill="1" applyBorder="1"/>
    <xf numFmtId="186" fontId="0" fillId="2" borderId="63" xfId="0" applyNumberFormat="1" applyFill="1" applyBorder="1"/>
    <xf numFmtId="0" fontId="0" fillId="3" borderId="18" xfId="0" applyFill="1" applyBorder="1" applyAlignment="1">
      <alignment horizontal="center"/>
    </xf>
    <xf numFmtId="0" fontId="0" fillId="3" borderId="68" xfId="0" applyFill="1" applyBorder="1"/>
    <xf numFmtId="0" fontId="0" fillId="3" borderId="18" xfId="0" applyFill="1" applyBorder="1"/>
    <xf numFmtId="190" fontId="0" fillId="3" borderId="69" xfId="0" applyNumberFormat="1" applyFill="1" applyBorder="1"/>
    <xf numFmtId="190" fontId="0" fillId="3" borderId="68" xfId="0" applyNumberFormat="1" applyFill="1" applyBorder="1"/>
    <xf numFmtId="190" fontId="0" fillId="3" borderId="63" xfId="0" applyNumberFormat="1" applyFill="1" applyBorder="1"/>
    <xf numFmtId="0" fontId="0" fillId="4" borderId="18" xfId="0" applyFill="1" applyBorder="1"/>
    <xf numFmtId="170" fontId="0" fillId="4" borderId="63" xfId="0" applyNumberFormat="1" applyFill="1" applyBorder="1"/>
    <xf numFmtId="188" fontId="0" fillId="4" borderId="63" xfId="0" applyNumberFormat="1" applyFill="1" applyBorder="1"/>
    <xf numFmtId="184" fontId="0" fillId="2" borderId="1" xfId="0" applyNumberFormat="1" applyFill="1" applyBorder="1"/>
    <xf numFmtId="172" fontId="0" fillId="3" borderId="1" xfId="0" applyNumberFormat="1" applyFill="1" applyBorder="1"/>
    <xf numFmtId="179" fontId="0" fillId="3" borderId="1" xfId="0" applyNumberFormat="1" applyFill="1" applyBorder="1"/>
    <xf numFmtId="188" fontId="0" fillId="3" borderId="1" xfId="0" applyNumberFormat="1" applyFill="1" applyBorder="1"/>
    <xf numFmtId="190" fontId="0" fillId="3" borderId="6" xfId="0" applyNumberFormat="1" applyFill="1" applyBorder="1"/>
    <xf numFmtId="2" fontId="0" fillId="2" borderId="63" xfId="0" applyNumberFormat="1" applyFill="1" applyBorder="1"/>
    <xf numFmtId="2" fontId="0" fillId="2" borderId="6" xfId="0" applyNumberFormat="1" applyFill="1" applyBorder="1"/>
    <xf numFmtId="191" fontId="0" fillId="3" borderId="6" xfId="0" applyNumberFormat="1" applyFill="1" applyBorder="1"/>
    <xf numFmtId="187" fontId="0" fillId="3" borderId="6" xfId="0" applyNumberFormat="1" applyFill="1" applyBorder="1"/>
    <xf numFmtId="186" fontId="0" fillId="3" borderId="1" xfId="0" applyNumberFormat="1" applyFont="1" applyFill="1" applyBorder="1"/>
    <xf numFmtId="174" fontId="0" fillId="3" borderId="4" xfId="0" applyNumberFormat="1" applyFill="1" applyBorder="1"/>
    <xf numFmtId="1" fontId="0" fillId="3" borderId="4" xfId="0" applyNumberFormat="1" applyFill="1" applyBorder="1"/>
    <xf numFmtId="1" fontId="0" fillId="2" borderId="6" xfId="0" applyNumberFormat="1" applyFill="1" applyBorder="1"/>
    <xf numFmtId="1" fontId="0" fillId="2" borderId="4" xfId="0" applyNumberFormat="1" applyFill="1" applyBorder="1"/>
    <xf numFmtId="174" fontId="0" fillId="2" borderId="4" xfId="0" applyNumberFormat="1" applyFill="1" applyBorder="1"/>
    <xf numFmtId="0" fontId="0" fillId="3" borderId="1" xfId="0" applyFill="1" applyBorder="1" applyAlignment="1">
      <alignment horizontal="right"/>
    </xf>
    <xf numFmtId="189" fontId="0" fillId="3" borderId="1" xfId="0" applyNumberFormat="1" applyFill="1" applyBorder="1" applyAlignment="1">
      <alignment horizontal="right"/>
    </xf>
    <xf numFmtId="180" fontId="0" fillId="3" borderId="1" xfId="0" applyNumberFormat="1" applyFill="1" applyBorder="1" applyAlignment="1">
      <alignment horizontal="right"/>
    </xf>
    <xf numFmtId="191" fontId="0" fillId="3" borderId="1" xfId="0" applyNumberFormat="1" applyFill="1" applyBorder="1" applyAlignment="1">
      <alignment horizontal="right"/>
    </xf>
    <xf numFmtId="174" fontId="0" fillId="3" borderId="1" xfId="0" applyNumberFormat="1" applyFill="1" applyBorder="1" applyAlignment="1">
      <alignment horizontal="right"/>
    </xf>
    <xf numFmtId="186" fontId="0" fillId="3" borderId="1" xfId="0" applyNumberFormat="1" applyFill="1" applyBorder="1" applyAlignment="1">
      <alignment horizontal="right"/>
    </xf>
    <xf numFmtId="1" fontId="0" fillId="3" borderId="1" xfId="0" applyNumberForma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189" fontId="0" fillId="3" borderId="4" xfId="0" applyNumberFormat="1" applyFill="1" applyBorder="1" applyAlignment="1">
      <alignment horizontal="right"/>
    </xf>
    <xf numFmtId="191" fontId="0" fillId="3" borderId="4" xfId="0" applyNumberFormat="1" applyFill="1" applyBorder="1" applyAlignment="1">
      <alignment horizontal="right"/>
    </xf>
    <xf numFmtId="0" fontId="1" fillId="3" borderId="50" xfId="0" applyFont="1" applyFill="1" applyBorder="1"/>
    <xf numFmtId="0" fontId="1" fillId="3" borderId="51" xfId="0" applyFont="1" applyFill="1" applyBorder="1"/>
    <xf numFmtId="0" fontId="1" fillId="3" borderId="52" xfId="0" applyFont="1" applyFill="1" applyBorder="1"/>
    <xf numFmtId="0" fontId="1" fillId="3" borderId="64" xfId="0" applyFont="1" applyFill="1" applyBorder="1"/>
    <xf numFmtId="0" fontId="1" fillId="3" borderId="65" xfId="0" applyFont="1" applyFill="1" applyBorder="1"/>
    <xf numFmtId="0" fontId="1" fillId="3" borderId="70" xfId="0" applyFont="1" applyFill="1" applyBorder="1"/>
    <xf numFmtId="1" fontId="0" fillId="3" borderId="6" xfId="0" applyNumberFormat="1" applyFill="1" applyBorder="1"/>
    <xf numFmtId="177" fontId="0" fillId="3" borderId="6" xfId="0" applyNumberFormat="1" applyFill="1" applyBorder="1"/>
    <xf numFmtId="190" fontId="0" fillId="2" borderId="63" xfId="0" applyNumberFormat="1" applyFill="1" applyBorder="1"/>
    <xf numFmtId="1" fontId="0" fillId="2" borderId="63" xfId="0" applyNumberFormat="1" applyFill="1" applyBorder="1"/>
    <xf numFmtId="174" fontId="0" fillId="2" borderId="63" xfId="0" applyNumberFormat="1" applyFill="1" applyBorder="1"/>
    <xf numFmtId="186" fontId="0" fillId="3" borderId="63" xfId="0" applyNumberFormat="1" applyFill="1" applyBorder="1"/>
    <xf numFmtId="0" fontId="0" fillId="3" borderId="63" xfId="0" applyFill="1" applyBorder="1" applyAlignment="1">
      <alignment horizontal="right"/>
    </xf>
    <xf numFmtId="189" fontId="0" fillId="3" borderId="63" xfId="0" applyNumberFormat="1" applyFill="1" applyBorder="1" applyAlignment="1">
      <alignment horizontal="right"/>
    </xf>
    <xf numFmtId="191" fontId="0" fillId="3" borderId="63" xfId="0" applyNumberFormat="1" applyFill="1" applyBorder="1" applyAlignment="1">
      <alignment horizontal="right"/>
    </xf>
    <xf numFmtId="1" fontId="0" fillId="3" borderId="63" xfId="0" applyNumberFormat="1" applyFill="1" applyBorder="1"/>
    <xf numFmtId="174" fontId="0" fillId="3" borderId="63" xfId="0" applyNumberFormat="1" applyFill="1" applyBorder="1"/>
    <xf numFmtId="166" fontId="0" fillId="2" borderId="68" xfId="0" applyNumberFormat="1" applyFill="1" applyBorder="1"/>
    <xf numFmtId="169" fontId="0" fillId="2" borderId="2" xfId="0" applyNumberFormat="1" applyFill="1" applyBorder="1"/>
    <xf numFmtId="190" fontId="0" fillId="2" borderId="69" xfId="0" applyNumberFormat="1" applyFill="1" applyBorder="1"/>
    <xf numFmtId="2" fontId="0" fillId="2" borderId="2" xfId="0" applyNumberFormat="1" applyFill="1" applyBorder="1"/>
    <xf numFmtId="2" fontId="0" fillId="2" borderId="12" xfId="0" applyNumberFormat="1" applyFill="1" applyBorder="1"/>
    <xf numFmtId="169" fontId="0" fillId="2" borderId="30" xfId="0" applyNumberFormat="1" applyFill="1" applyBorder="1"/>
    <xf numFmtId="190" fontId="0" fillId="2" borderId="68" xfId="0" applyNumberFormat="1" applyFill="1" applyBorder="1"/>
    <xf numFmtId="2" fontId="0" fillId="2" borderId="30" xfId="0" applyNumberFormat="1" applyFill="1" applyBorder="1"/>
    <xf numFmtId="1" fontId="0" fillId="2" borderId="3" xfId="0" applyNumberFormat="1" applyFill="1" applyBorder="1"/>
    <xf numFmtId="0" fontId="0" fillId="2" borderId="69" xfId="0" applyFill="1" applyBorder="1"/>
    <xf numFmtId="189" fontId="0" fillId="2" borderId="30" xfId="0" applyNumberFormat="1" applyFill="1" applyBorder="1"/>
    <xf numFmtId="189" fontId="0" fillId="2" borderId="25" xfId="0" applyNumberFormat="1" applyFill="1" applyBorder="1"/>
    <xf numFmtId="170" fontId="0" fillId="2" borderId="25" xfId="0" applyNumberFormat="1" applyFill="1" applyBorder="1"/>
    <xf numFmtId="182" fontId="0" fillId="2" borderId="25" xfId="0" applyNumberFormat="1" applyFill="1" applyBorder="1"/>
    <xf numFmtId="180" fontId="0" fillId="2" borderId="25" xfId="0" applyNumberFormat="1" applyFill="1" applyBorder="1"/>
    <xf numFmtId="191" fontId="0" fillId="2" borderId="25" xfId="0" applyNumberFormat="1" applyFill="1" applyBorder="1"/>
    <xf numFmtId="186" fontId="0" fillId="2" borderId="68" xfId="0" applyNumberFormat="1" applyFill="1" applyBorder="1"/>
    <xf numFmtId="186" fontId="0" fillId="2" borderId="31" xfId="0" applyNumberFormat="1" applyFill="1" applyBorder="1"/>
    <xf numFmtId="0" fontId="0" fillId="3" borderId="69" xfId="0" applyFill="1" applyBorder="1"/>
    <xf numFmtId="0" fontId="0" fillId="3" borderId="30" xfId="0" applyFill="1" applyBorder="1"/>
    <xf numFmtId="190" fontId="0" fillId="3" borderId="2" xfId="0" applyNumberFormat="1" applyFill="1" applyBorder="1"/>
    <xf numFmtId="190" fontId="0" fillId="3" borderId="30" xfId="0" applyNumberFormat="1" applyFill="1" applyBorder="1"/>
    <xf numFmtId="187" fontId="0" fillId="3" borderId="2" xfId="0" applyNumberFormat="1" applyFill="1" applyBorder="1"/>
    <xf numFmtId="189" fontId="0" fillId="3" borderId="30" xfId="0" applyNumberFormat="1" applyFill="1" applyBorder="1"/>
    <xf numFmtId="182" fontId="0" fillId="3" borderId="25" xfId="0" applyNumberFormat="1" applyFill="1" applyBorder="1"/>
    <xf numFmtId="171" fontId="0" fillId="3" borderId="25" xfId="0" applyNumberFormat="1" applyFill="1" applyBorder="1"/>
    <xf numFmtId="1" fontId="0" fillId="3" borderId="25" xfId="0" applyNumberFormat="1" applyFill="1" applyBorder="1"/>
    <xf numFmtId="186" fontId="0" fillId="3" borderId="68" xfId="0" applyNumberFormat="1" applyFill="1" applyBorder="1"/>
    <xf numFmtId="186" fontId="0" fillId="3" borderId="31" xfId="0" applyNumberFormat="1" applyFill="1" applyBorder="1"/>
    <xf numFmtId="170" fontId="0" fillId="4" borderId="69" xfId="0" applyNumberFormat="1" applyFill="1" applyBorder="1"/>
    <xf numFmtId="170" fontId="0" fillId="4" borderId="68" xfId="0" applyNumberFormat="1" applyFill="1" applyBorder="1"/>
    <xf numFmtId="188" fontId="0" fillId="4" borderId="69" xfId="0" applyNumberFormat="1" applyFill="1" applyBorder="1"/>
    <xf numFmtId="0" fontId="0" fillId="0" borderId="0" xfId="0" applyAlignment="1"/>
    <xf numFmtId="0" fontId="5" fillId="0" borderId="0" xfId="0" applyFont="1" applyAlignment="1">
      <alignment horizontal="right"/>
    </xf>
    <xf numFmtId="0" fontId="0" fillId="2" borderId="68" xfId="0" applyFill="1" applyBorder="1"/>
    <xf numFmtId="190" fontId="0" fillId="2" borderId="2" xfId="0" applyNumberFormat="1" applyFill="1" applyBorder="1"/>
    <xf numFmtId="169" fontId="0" fillId="3" borderId="4" xfId="0" applyNumberFormat="1" applyFill="1" applyBorder="1"/>
    <xf numFmtId="2" fontId="0" fillId="3" borderId="3" xfId="0" applyNumberFormat="1" applyFill="1" applyBorder="1"/>
    <xf numFmtId="2" fontId="0" fillId="3" borderId="25" xfId="0" applyNumberFormat="1" applyFill="1" applyBorder="1"/>
    <xf numFmtId="164" fontId="0" fillId="2" borderId="63" xfId="0" applyNumberFormat="1" applyFill="1" applyBorder="1"/>
    <xf numFmtId="187" fontId="0" fillId="2" borderId="63" xfId="0" applyNumberFormat="1" applyFill="1" applyBorder="1"/>
    <xf numFmtId="191" fontId="0" fillId="2" borderId="63" xfId="0" applyNumberFormat="1" applyFill="1" applyBorder="1"/>
    <xf numFmtId="187" fontId="0" fillId="3" borderId="63" xfId="0" applyNumberFormat="1" applyFill="1" applyBorder="1"/>
    <xf numFmtId="169" fontId="0" fillId="3" borderId="63" xfId="0" applyNumberFormat="1" applyFill="1" applyBorder="1"/>
    <xf numFmtId="180" fontId="0" fillId="3" borderId="63" xfId="0" applyNumberFormat="1" applyFill="1" applyBorder="1"/>
    <xf numFmtId="190" fontId="0" fillId="2" borderId="30" xfId="0" applyNumberFormat="1" applyFill="1" applyBorder="1"/>
    <xf numFmtId="0" fontId="1" fillId="2" borderId="58" xfId="0" applyFont="1" applyFill="1" applyBorder="1"/>
    <xf numFmtId="173" fontId="0" fillId="2" borderId="1" xfId="0" applyNumberFormat="1" applyFill="1" applyBorder="1"/>
    <xf numFmtId="167" fontId="0" fillId="3" borderId="31" xfId="0" applyNumberFormat="1" applyFill="1" applyBorder="1"/>
    <xf numFmtId="167" fontId="0" fillId="4" borderId="19" xfId="0" applyNumberFormat="1" applyFill="1" applyBorder="1"/>
    <xf numFmtId="167" fontId="0" fillId="4" borderId="20" xfId="0" applyNumberFormat="1" applyFill="1" applyBorder="1"/>
    <xf numFmtId="167" fontId="0" fillId="4" borderId="49" xfId="0" applyNumberFormat="1" applyFill="1" applyBorder="1"/>
    <xf numFmtId="168" fontId="0" fillId="4" borderId="5" xfId="0" applyNumberFormat="1" applyFill="1" applyBorder="1"/>
    <xf numFmtId="168" fontId="0" fillId="4" borderId="8" xfId="0" applyNumberFormat="1" applyFill="1" applyBorder="1"/>
    <xf numFmtId="168" fontId="0" fillId="4" borderId="10" xfId="0" applyNumberFormat="1" applyFill="1" applyBorder="1"/>
    <xf numFmtId="168" fontId="0" fillId="4" borderId="7" xfId="0" applyNumberFormat="1" applyFill="1" applyBorder="1"/>
    <xf numFmtId="168" fontId="0" fillId="4" borderId="9" xfId="0" applyNumberFormat="1" applyFill="1" applyBorder="1"/>
    <xf numFmtId="168" fontId="0" fillId="4" borderId="11" xfId="0" applyNumberFormat="1" applyFill="1" applyBorder="1"/>
    <xf numFmtId="0" fontId="0" fillId="5" borderId="0" xfId="0" applyFill="1"/>
    <xf numFmtId="0" fontId="4" fillId="5" borderId="0" xfId="0" applyFont="1" applyFill="1" applyBorder="1"/>
    <xf numFmtId="0" fontId="0" fillId="5" borderId="0" xfId="0" applyFill="1" applyBorder="1"/>
    <xf numFmtId="0" fontId="5" fillId="5" borderId="0" xfId="0" applyFont="1" applyFill="1" applyBorder="1"/>
    <xf numFmtId="0" fontId="5" fillId="5" borderId="0" xfId="0" applyFont="1" applyFill="1"/>
    <xf numFmtId="0" fontId="5" fillId="5" borderId="0" xfId="0" applyFont="1" applyFill="1" applyAlignment="1">
      <alignment horizontal="center"/>
    </xf>
    <xf numFmtId="0" fontId="5" fillId="5" borderId="0" xfId="0" applyFont="1" applyFill="1" applyAlignment="1">
      <alignment horizontal="left"/>
    </xf>
    <xf numFmtId="0" fontId="4" fillId="5" borderId="0" xfId="0" applyFont="1" applyFill="1"/>
    <xf numFmtId="0" fontId="4" fillId="5" borderId="0" xfId="0" applyFont="1" applyFill="1" applyAlignment="1">
      <alignment horizontal="center"/>
    </xf>
    <xf numFmtId="0" fontId="4" fillId="5" borderId="0" xfId="0" applyFont="1" applyFill="1" applyAlignment="1">
      <alignment horizontal="left"/>
    </xf>
    <xf numFmtId="0" fontId="4" fillId="5" borderId="0" xfId="0" applyFont="1" applyFill="1" applyBorder="1" applyAlignment="1">
      <alignment horizontal="center"/>
    </xf>
    <xf numFmtId="0" fontId="0" fillId="5" borderId="0" xfId="0" applyFill="1" applyAlignment="1">
      <alignment horizontal="right"/>
    </xf>
    <xf numFmtId="14" fontId="0" fillId="5" borderId="0" xfId="0" applyNumberFormat="1" applyFill="1"/>
    <xf numFmtId="167" fontId="0" fillId="5" borderId="0" xfId="0" applyNumberFormat="1" applyFill="1" applyBorder="1"/>
    <xf numFmtId="164" fontId="0" fillId="5" borderId="0" xfId="0" applyNumberFormat="1" applyFill="1" applyBorder="1"/>
    <xf numFmtId="176" fontId="0" fillId="5" borderId="0" xfId="0" applyNumberFormat="1" applyFill="1" applyBorder="1"/>
    <xf numFmtId="180" fontId="0" fillId="5" borderId="0" xfId="0" applyNumberFormat="1" applyFill="1" applyBorder="1"/>
    <xf numFmtId="170" fontId="0" fillId="5" borderId="0" xfId="0" applyNumberFormat="1" applyFill="1" applyBorder="1"/>
    <xf numFmtId="179" fontId="0" fillId="5" borderId="0" xfId="0" applyNumberFormat="1" applyFill="1" applyBorder="1"/>
    <xf numFmtId="181" fontId="0" fillId="5" borderId="0" xfId="0" applyNumberFormat="1" applyFill="1" applyBorder="1"/>
    <xf numFmtId="182" fontId="0" fillId="5" borderId="0" xfId="0" applyNumberFormat="1" applyFill="1" applyBorder="1"/>
    <xf numFmtId="183" fontId="0" fillId="5" borderId="0" xfId="0" applyNumberFormat="1" applyFill="1" applyBorder="1"/>
    <xf numFmtId="184" fontId="0" fillId="5" borderId="0" xfId="0" applyNumberFormat="1" applyFill="1" applyBorder="1"/>
    <xf numFmtId="185" fontId="0" fillId="5" borderId="0" xfId="0" applyNumberFormat="1" applyFill="1" applyBorder="1"/>
    <xf numFmtId="0" fontId="0" fillId="5" borderId="0" xfId="0" applyFill="1" applyBorder="1" applyAlignment="1">
      <alignment horizontal="center"/>
    </xf>
    <xf numFmtId="177" fontId="0" fillId="5" borderId="0" xfId="0" applyNumberFormat="1" applyFill="1" applyBorder="1"/>
    <xf numFmtId="0" fontId="4" fillId="5" borderId="0" xfId="0" applyFont="1" applyFill="1" applyBorder="1" applyAlignment="1">
      <alignment horizontal="left"/>
    </xf>
    <xf numFmtId="0" fontId="4" fillId="5" borderId="0" xfId="0" applyFont="1" applyFill="1" applyAlignment="1">
      <alignment horizontal="right"/>
    </xf>
    <xf numFmtId="170" fontId="0" fillId="4" borderId="61" xfId="0" applyNumberFormat="1" applyFill="1" applyBorder="1"/>
    <xf numFmtId="170" fontId="0" fillId="4" borderId="29" xfId="0" applyNumberFormat="1" applyFill="1" applyBorder="1"/>
    <xf numFmtId="170" fontId="0" fillId="4" borderId="57" xfId="0" applyNumberFormat="1" applyFill="1" applyBorder="1"/>
    <xf numFmtId="14" fontId="0" fillId="5" borderId="0" xfId="0" applyNumberFormat="1" applyFill="1" applyAlignment="1">
      <alignment horizontal="left"/>
    </xf>
    <xf numFmtId="170" fontId="0" fillId="4" borderId="19" xfId="0" applyNumberFormat="1" applyFill="1" applyBorder="1"/>
    <xf numFmtId="170" fontId="0" fillId="4" borderId="20" xfId="0" applyNumberFormat="1" applyFill="1" applyBorder="1"/>
    <xf numFmtId="170" fontId="0" fillId="4" borderId="49" xfId="0" applyNumberFormat="1" applyFill="1" applyBorder="1"/>
    <xf numFmtId="0" fontId="4" fillId="0" borderId="0" xfId="0" applyFont="1" applyFill="1" applyAlignment="1">
      <alignment horizontal="center"/>
    </xf>
    <xf numFmtId="189" fontId="0" fillId="5" borderId="0" xfId="0" applyNumberFormat="1" applyFill="1" applyBorder="1"/>
    <xf numFmtId="172" fontId="0" fillId="5" borderId="0" xfId="0" applyNumberFormat="1" applyFill="1" applyBorder="1"/>
    <xf numFmtId="186" fontId="0" fillId="5" borderId="0" xfId="0" applyNumberFormat="1" applyFill="1" applyBorder="1"/>
    <xf numFmtId="191" fontId="0" fillId="5" borderId="0" xfId="0" applyNumberFormat="1" applyFill="1" applyBorder="1"/>
    <xf numFmtId="192" fontId="0" fillId="5" borderId="0" xfId="0" applyNumberFormat="1" applyFill="1" applyBorder="1"/>
    <xf numFmtId="0" fontId="5" fillId="5" borderId="0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left"/>
    </xf>
    <xf numFmtId="0" fontId="5" fillId="5" borderId="0" xfId="0" applyFont="1" applyFill="1" applyBorder="1" applyAlignment="1">
      <alignment horizontal="right"/>
    </xf>
    <xf numFmtId="1" fontId="5" fillId="5" borderId="0" xfId="0" applyNumberFormat="1" applyFont="1" applyFill="1" applyBorder="1"/>
    <xf numFmtId="187" fontId="0" fillId="2" borderId="30" xfId="0" applyNumberFormat="1" applyFill="1" applyBorder="1"/>
    <xf numFmtId="187" fontId="0" fillId="2" borderId="69" xfId="0" applyNumberFormat="1" applyFill="1" applyBorder="1"/>
    <xf numFmtId="187" fontId="0" fillId="2" borderId="68" xfId="0" applyNumberFormat="1" applyFill="1" applyBorder="1"/>
    <xf numFmtId="187" fontId="0" fillId="3" borderId="16" xfId="0" applyNumberFormat="1" applyFill="1" applyBorder="1"/>
    <xf numFmtId="2" fontId="0" fillId="3" borderId="4" xfId="0" applyNumberFormat="1" applyFill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3" borderId="36" xfId="0" applyFont="1" applyFill="1" applyBorder="1"/>
    <xf numFmtId="0" fontId="9" fillId="3" borderId="38" xfId="0" applyFont="1" applyFill="1" applyBorder="1"/>
    <xf numFmtId="0" fontId="1" fillId="3" borderId="39" xfId="0" applyFont="1" applyFill="1" applyBorder="1"/>
    <xf numFmtId="0" fontId="9" fillId="2" borderId="44" xfId="0" applyFont="1" applyFill="1" applyBorder="1"/>
    <xf numFmtId="0" fontId="1" fillId="4" borderId="87" xfId="0" applyFont="1" applyFill="1" applyBorder="1"/>
    <xf numFmtId="0" fontId="1" fillId="4" borderId="88" xfId="0" applyFont="1" applyFill="1" applyBorder="1"/>
    <xf numFmtId="193" fontId="0" fillId="4" borderId="51" xfId="0" applyNumberFormat="1" applyFill="1" applyBorder="1"/>
    <xf numFmtId="193" fontId="0" fillId="4" borderId="87" xfId="0" applyNumberFormat="1" applyFill="1" applyBorder="1"/>
    <xf numFmtId="193" fontId="0" fillId="4" borderId="50" xfId="0" applyNumberFormat="1" applyFill="1" applyBorder="1"/>
    <xf numFmtId="193" fontId="0" fillId="4" borderId="88" xfId="0" applyNumberFormat="1" applyFill="1" applyBorder="1"/>
    <xf numFmtId="193" fontId="0" fillId="4" borderId="1" xfId="0" applyNumberFormat="1" applyFill="1" applyBorder="1"/>
    <xf numFmtId="193" fontId="0" fillId="4" borderId="25" xfId="0" applyNumberFormat="1" applyFill="1" applyBorder="1"/>
    <xf numFmtId="193" fontId="0" fillId="4" borderId="8" xfId="0" applyNumberFormat="1" applyFill="1" applyBorder="1"/>
    <xf numFmtId="193" fontId="0" fillId="4" borderId="92" xfId="0" applyNumberFormat="1" applyFill="1" applyBorder="1"/>
    <xf numFmtId="193" fontId="0" fillId="4" borderId="97" xfId="0" applyNumberFormat="1" applyFill="1" applyBorder="1"/>
    <xf numFmtId="193" fontId="0" fillId="4" borderId="102" xfId="0" applyNumberFormat="1" applyFill="1" applyBorder="1"/>
    <xf numFmtId="193" fontId="0" fillId="4" borderId="100" xfId="0" applyNumberFormat="1" applyFill="1" applyBorder="1"/>
    <xf numFmtId="193" fontId="0" fillId="4" borderId="103" xfId="0" applyNumberFormat="1" applyFill="1" applyBorder="1"/>
    <xf numFmtId="0" fontId="0" fillId="2" borderId="34" xfId="0" applyFill="1" applyBorder="1"/>
    <xf numFmtId="1" fontId="0" fillId="2" borderId="90" xfId="0" applyNumberFormat="1" applyFill="1" applyBorder="1"/>
    <xf numFmtId="0" fontId="11" fillId="2" borderId="109" xfId="0" applyFont="1" applyFill="1" applyBorder="1"/>
    <xf numFmtId="1" fontId="0" fillId="2" borderId="18" xfId="0" applyNumberFormat="1" applyFill="1" applyBorder="1"/>
    <xf numFmtId="0" fontId="0" fillId="2" borderId="109" xfId="0" applyFill="1" applyBorder="1"/>
    <xf numFmtId="0" fontId="0" fillId="2" borderId="60" xfId="0" applyFill="1" applyBorder="1"/>
    <xf numFmtId="2" fontId="0" fillId="2" borderId="14" xfId="0" applyNumberFormat="1" applyFill="1" applyBorder="1"/>
    <xf numFmtId="0" fontId="11" fillId="2" borderId="55" xfId="0" applyFont="1" applyFill="1" applyBorder="1"/>
    <xf numFmtId="0" fontId="11" fillId="2" borderId="99" xfId="0" applyFont="1" applyFill="1" applyBorder="1"/>
    <xf numFmtId="1" fontId="0" fillId="2" borderId="94" xfId="0" applyNumberFormat="1" applyFill="1" applyBorder="1"/>
    <xf numFmtId="0" fontId="0" fillId="2" borderId="99" xfId="0" applyFill="1" applyBorder="1"/>
    <xf numFmtId="0" fontId="4" fillId="0" borderId="0" xfId="0" applyFont="1" applyAlignment="1">
      <alignment horizontal="center" vertical="center"/>
    </xf>
    <xf numFmtId="0" fontId="0" fillId="3" borderId="65" xfId="0" applyNumberFormat="1" applyFill="1" applyBorder="1"/>
    <xf numFmtId="0" fontId="0" fillId="3" borderId="33" xfId="0" applyNumberFormat="1" applyFill="1" applyBorder="1"/>
    <xf numFmtId="0" fontId="0" fillId="3" borderId="0" xfId="0" applyNumberFormat="1" applyFill="1" applyBorder="1"/>
    <xf numFmtId="0" fontId="0" fillId="2" borderId="50" xfId="0" applyNumberFormat="1" applyFill="1" applyBorder="1"/>
    <xf numFmtId="0" fontId="0" fillId="2" borderId="51" xfId="0" applyNumberFormat="1" applyFill="1" applyBorder="1"/>
    <xf numFmtId="0" fontId="0" fillId="2" borderId="52" xfId="0" applyNumberFormat="1" applyFill="1" applyBorder="1"/>
    <xf numFmtId="0" fontId="0" fillId="3" borderId="20" xfId="0" applyNumberFormat="1" applyFill="1" applyBorder="1"/>
    <xf numFmtId="0" fontId="0" fillId="3" borderId="1" xfId="0" applyNumberFormat="1" applyFill="1" applyBorder="1"/>
    <xf numFmtId="0" fontId="0" fillId="3" borderId="54" xfId="0" applyNumberFormat="1" applyFill="1" applyBorder="1"/>
    <xf numFmtId="0" fontId="0" fillId="2" borderId="8" xfId="0" applyNumberFormat="1" applyFill="1" applyBorder="1"/>
    <xf numFmtId="0" fontId="0" fillId="2" borderId="1" xfId="0" applyNumberFormat="1" applyFill="1" applyBorder="1"/>
    <xf numFmtId="0" fontId="0" fillId="2" borderId="9" xfId="0" applyNumberFormat="1" applyFill="1" applyBorder="1"/>
    <xf numFmtId="0" fontId="0" fillId="3" borderId="96" xfId="0" applyNumberFormat="1" applyFill="1" applyBorder="1"/>
    <xf numFmtId="0" fontId="0" fillId="3" borderId="97" xfId="0" applyNumberFormat="1" applyFill="1" applyBorder="1"/>
    <xf numFmtId="0" fontId="0" fillId="3" borderId="99" xfId="0" applyNumberFormat="1" applyFill="1" applyBorder="1"/>
    <xf numFmtId="0" fontId="0" fillId="2" borderId="100" xfId="0" applyNumberFormat="1" applyFill="1" applyBorder="1"/>
    <xf numFmtId="0" fontId="0" fillId="2" borderId="97" xfId="0" applyNumberFormat="1" applyFill="1" applyBorder="1"/>
    <xf numFmtId="0" fontId="0" fillId="2" borderId="101" xfId="0" applyNumberFormat="1" applyFill="1" applyBorder="1"/>
    <xf numFmtId="0" fontId="0" fillId="2" borderId="89" xfId="0" applyFill="1" applyBorder="1" applyAlignment="1">
      <alignment horizontal="center"/>
    </xf>
    <xf numFmtId="0" fontId="0" fillId="2" borderId="91" xfId="0" applyFill="1" applyBorder="1" applyAlignment="1">
      <alignment horizontal="center"/>
    </xf>
    <xf numFmtId="0" fontId="0" fillId="2" borderId="108" xfId="0" applyFill="1" applyBorder="1" applyAlignment="1">
      <alignment horizontal="center"/>
    </xf>
    <xf numFmtId="0" fontId="0" fillId="2" borderId="82" xfId="0" applyFill="1" applyBorder="1" applyAlignment="1">
      <alignment horizontal="center"/>
    </xf>
    <xf numFmtId="0" fontId="0" fillId="2" borderId="85" xfId="0" applyFill="1" applyBorder="1" applyAlignment="1">
      <alignment horizontal="center"/>
    </xf>
    <xf numFmtId="0" fontId="0" fillId="2" borderId="110" xfId="0" applyFill="1" applyBorder="1" applyAlignment="1">
      <alignment horizontal="center"/>
    </xf>
    <xf numFmtId="0" fontId="0" fillId="2" borderId="93" xfId="0" applyFill="1" applyBorder="1" applyAlignment="1">
      <alignment horizontal="center"/>
    </xf>
    <xf numFmtId="193" fontId="0" fillId="4" borderId="62" xfId="0" applyNumberFormat="1" applyFill="1" applyBorder="1"/>
    <xf numFmtId="193" fontId="0" fillId="4" borderId="27" xfId="0" applyNumberFormat="1" applyFill="1" applyBorder="1"/>
    <xf numFmtId="193" fontId="0" fillId="4" borderId="5" xfId="0" applyNumberFormat="1" applyFill="1" applyBorder="1"/>
    <xf numFmtId="193" fontId="0" fillId="4" borderId="10" xfId="0" applyNumberFormat="1" applyFill="1" applyBorder="1"/>
    <xf numFmtId="0" fontId="0" fillId="2" borderId="6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67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01" xfId="0" applyFill="1" applyBorder="1" applyAlignment="1">
      <alignment horizontal="center"/>
    </xf>
    <xf numFmtId="0" fontId="0" fillId="3" borderId="50" xfId="0" applyNumberFormat="1" applyFill="1" applyBorder="1"/>
    <xf numFmtId="0" fontId="0" fillId="2" borderId="58" xfId="0" applyNumberFormat="1" applyFill="1" applyBorder="1"/>
    <xf numFmtId="0" fontId="0" fillId="3" borderId="8" xfId="0" applyNumberFormat="1" applyFill="1" applyBorder="1"/>
    <xf numFmtId="0" fontId="0" fillId="2" borderId="3" xfId="0" applyNumberFormat="1" applyFill="1" applyBorder="1"/>
    <xf numFmtId="0" fontId="0" fillId="3" borderId="63" xfId="0" applyNumberFormat="1" applyFill="1" applyBorder="1"/>
    <xf numFmtId="0" fontId="0" fillId="3" borderId="62" xfId="0" applyNumberFormat="1" applyFill="1" applyBorder="1"/>
    <xf numFmtId="0" fontId="0" fillId="2" borderId="63" xfId="0" applyNumberFormat="1" applyFill="1" applyBorder="1"/>
    <xf numFmtId="0" fontId="0" fillId="3" borderId="6" xfId="0" applyNumberFormat="1" applyFill="1" applyBorder="1"/>
    <xf numFmtId="0" fontId="0" fillId="3" borderId="5" xfId="0" applyNumberFormat="1" applyFill="1" applyBorder="1"/>
    <xf numFmtId="0" fontId="0" fillId="2" borderId="6" xfId="0" applyNumberFormat="1" applyFill="1" applyBorder="1"/>
    <xf numFmtId="0" fontId="0" fillId="3" borderId="4" xfId="0" applyNumberFormat="1" applyFill="1" applyBorder="1"/>
    <xf numFmtId="0" fontId="0" fillId="3" borderId="10" xfId="0" applyNumberFormat="1" applyFill="1" applyBorder="1"/>
    <xf numFmtId="0" fontId="0" fillId="2" borderId="4" xfId="0" applyNumberFormat="1" applyFill="1" applyBorder="1"/>
    <xf numFmtId="0" fontId="0" fillId="3" borderId="26" xfId="0" applyNumberFormat="1" applyFill="1" applyBorder="1"/>
    <xf numFmtId="0" fontId="0" fillId="3" borderId="27" xfId="0" applyNumberFormat="1" applyFill="1" applyBorder="1"/>
    <xf numFmtId="0" fontId="0" fillId="2" borderId="26" xfId="0" applyNumberFormat="1" applyFill="1" applyBorder="1"/>
    <xf numFmtId="0" fontId="0" fillId="3" borderId="100" xfId="0" applyNumberFormat="1" applyFill="1" applyBorder="1"/>
    <xf numFmtId="0" fontId="0" fillId="2" borderId="98" xfId="0" applyNumberFormat="1" applyFill="1" applyBorder="1"/>
    <xf numFmtId="0" fontId="0" fillId="2" borderId="90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94" xfId="0" applyFill="1" applyBorder="1" applyAlignment="1">
      <alignment horizontal="center"/>
    </xf>
    <xf numFmtId="0" fontId="0" fillId="3" borderId="89" xfId="0" applyNumberFormat="1" applyFill="1" applyBorder="1"/>
    <xf numFmtId="0" fontId="0" fillId="3" borderId="91" xfId="0" applyNumberFormat="1" applyFill="1" applyBorder="1"/>
    <xf numFmtId="0" fontId="0" fillId="3" borderId="108" xfId="0" applyNumberFormat="1" applyFill="1" applyBorder="1"/>
    <xf numFmtId="0" fontId="0" fillId="3" borderId="82" xfId="0" applyNumberFormat="1" applyFill="1" applyBorder="1"/>
    <xf numFmtId="0" fontId="0" fillId="3" borderId="85" xfId="0" applyNumberFormat="1" applyFill="1" applyBorder="1"/>
    <xf numFmtId="0" fontId="0" fillId="3" borderId="110" xfId="0" applyNumberFormat="1" applyFill="1" applyBorder="1"/>
    <xf numFmtId="0" fontId="0" fillId="3" borderId="93" xfId="0" applyNumberFormat="1" applyFill="1" applyBorder="1"/>
    <xf numFmtId="0" fontId="9" fillId="3" borderId="37" xfId="0" applyFont="1" applyFill="1" applyBorder="1"/>
    <xf numFmtId="0" fontId="1" fillId="2" borderId="36" xfId="0" applyFont="1" applyFill="1" applyBorder="1"/>
    <xf numFmtId="0" fontId="0" fillId="2" borderId="34" xfId="0" applyNumberFormat="1" applyFill="1" applyBorder="1"/>
    <xf numFmtId="0" fontId="0" fillId="2" borderId="54" xfId="0" applyNumberFormat="1" applyFill="1" applyBorder="1"/>
    <xf numFmtId="0" fontId="0" fillId="2" borderId="109" xfId="0" applyNumberFormat="1" applyFill="1" applyBorder="1"/>
    <xf numFmtId="0" fontId="0" fillId="2" borderId="60" xfId="0" applyNumberFormat="1" applyFill="1" applyBorder="1"/>
    <xf numFmtId="0" fontId="0" fillId="2" borderId="55" xfId="0" applyNumberFormat="1" applyFill="1" applyBorder="1"/>
    <xf numFmtId="0" fontId="0" fillId="2" borderId="53" xfId="0" applyNumberFormat="1" applyFill="1" applyBorder="1"/>
    <xf numFmtId="0" fontId="0" fillId="2" borderId="99" xfId="0" applyNumberFormat="1" applyFill="1" applyBorder="1"/>
    <xf numFmtId="0" fontId="0" fillId="2" borderId="33" xfId="0" applyNumberFormat="1" applyFill="1" applyBorder="1"/>
    <xf numFmtId="0" fontId="0" fillId="2" borderId="20" xfId="0" applyNumberFormat="1" applyFill="1" applyBorder="1"/>
    <xf numFmtId="0" fontId="0" fillId="2" borderId="21" xfId="0" applyNumberFormat="1" applyFill="1" applyBorder="1"/>
    <xf numFmtId="0" fontId="0" fillId="2" borderId="19" xfId="0" applyNumberFormat="1" applyFill="1" applyBorder="1"/>
    <xf numFmtId="0" fontId="0" fillId="2" borderId="49" xfId="0" applyNumberFormat="1" applyFill="1" applyBorder="1"/>
    <xf numFmtId="0" fontId="0" fillId="2" borderId="15" xfId="0" applyNumberFormat="1" applyFill="1" applyBorder="1"/>
    <xf numFmtId="0" fontId="0" fillId="2" borderId="96" xfId="0" applyNumberFormat="1" applyFill="1" applyBorder="1"/>
    <xf numFmtId="0" fontId="0" fillId="3" borderId="109" xfId="0" applyNumberFormat="1" applyFill="1" applyBorder="1"/>
    <xf numFmtId="0" fontId="0" fillId="3" borderId="60" xfId="0" applyNumberFormat="1" applyFill="1" applyBorder="1"/>
    <xf numFmtId="0" fontId="0" fillId="3" borderId="55" xfId="0" applyNumberFormat="1" applyFill="1" applyBorder="1"/>
    <xf numFmtId="0" fontId="0" fillId="3" borderId="53" xfId="0" applyNumberFormat="1" applyFill="1" applyBorder="1"/>
    <xf numFmtId="0" fontId="0" fillId="3" borderId="114" xfId="0" applyNumberFormat="1" applyFill="1" applyBorder="1"/>
    <xf numFmtId="0" fontId="0" fillId="3" borderId="92" xfId="0" applyNumberFormat="1" applyFill="1" applyBorder="1"/>
    <xf numFmtId="0" fontId="0" fillId="3" borderId="115" xfId="0" applyNumberFormat="1" applyFill="1" applyBorder="1"/>
    <xf numFmtId="0" fontId="0" fillId="3" borderId="116" xfId="0" applyNumberFormat="1" applyFill="1" applyBorder="1"/>
    <xf numFmtId="0" fontId="0" fillId="3" borderId="117" xfId="0" applyNumberFormat="1" applyFill="1" applyBorder="1"/>
    <xf numFmtId="0" fontId="0" fillId="3" borderId="118" xfId="0" applyNumberFormat="1" applyFill="1" applyBorder="1"/>
    <xf numFmtId="0" fontId="0" fillId="3" borderId="103" xfId="0" applyNumberFormat="1" applyFill="1" applyBorder="1"/>
    <xf numFmtId="0" fontId="1" fillId="4" borderId="34" xfId="0" applyFont="1" applyFill="1" applyBorder="1"/>
    <xf numFmtId="193" fontId="0" fillId="4" borderId="34" xfId="0" applyNumberFormat="1" applyFill="1" applyBorder="1"/>
    <xf numFmtId="193" fontId="0" fillId="4" borderId="54" xfId="0" applyNumberFormat="1" applyFill="1" applyBorder="1"/>
    <xf numFmtId="193" fontId="0" fillId="4" borderId="109" xfId="0" applyNumberFormat="1" applyFill="1" applyBorder="1"/>
    <xf numFmtId="193" fontId="0" fillId="4" borderId="60" xfId="0" applyNumberFormat="1" applyFill="1" applyBorder="1"/>
    <xf numFmtId="193" fontId="0" fillId="4" borderId="55" xfId="0" applyNumberFormat="1" applyFill="1" applyBorder="1"/>
    <xf numFmtId="193" fontId="0" fillId="4" borderId="53" xfId="0" applyNumberFormat="1" applyFill="1" applyBorder="1"/>
    <xf numFmtId="193" fontId="0" fillId="4" borderId="99" xfId="0" applyNumberFormat="1" applyFill="1" applyBorder="1"/>
    <xf numFmtId="193" fontId="0" fillId="4" borderId="115" xfId="0" applyNumberFormat="1" applyFill="1" applyBorder="1"/>
    <xf numFmtId="193" fontId="0" fillId="4" borderId="116" xfId="0" applyNumberFormat="1" applyFill="1" applyBorder="1"/>
    <xf numFmtId="193" fontId="0" fillId="4" borderId="117" xfId="0" applyNumberFormat="1" applyFill="1" applyBorder="1"/>
    <xf numFmtId="193" fontId="0" fillId="4" borderId="118" xfId="0" applyNumberFormat="1" applyFill="1" applyBorder="1"/>
    <xf numFmtId="0" fontId="0" fillId="3" borderId="51" xfId="0" applyNumberFormat="1" applyFill="1" applyBorder="1"/>
    <xf numFmtId="193" fontId="0" fillId="4" borderId="63" xfId="0" applyNumberFormat="1" applyFill="1" applyBorder="1"/>
    <xf numFmtId="193" fontId="0" fillId="4" borderId="6" xfId="0" applyNumberFormat="1" applyFill="1" applyBorder="1"/>
    <xf numFmtId="193" fontId="0" fillId="4" borderId="4" xfId="0" applyNumberFormat="1" applyFill="1" applyBorder="1"/>
    <xf numFmtId="193" fontId="0" fillId="4" borderId="26" xfId="0" applyNumberFormat="1" applyFill="1" applyBorder="1"/>
    <xf numFmtId="0" fontId="9" fillId="2" borderId="37" xfId="0" applyFont="1" applyFill="1" applyBorder="1"/>
    <xf numFmtId="0" fontId="1" fillId="2" borderId="37" xfId="0" applyFont="1" applyFill="1" applyBorder="1"/>
    <xf numFmtId="0" fontId="1" fillId="3" borderId="84" xfId="0" applyFont="1" applyFill="1" applyBorder="1"/>
    <xf numFmtId="0" fontId="1" fillId="2" borderId="119" xfId="0" applyFont="1" applyFill="1" applyBorder="1"/>
    <xf numFmtId="0" fontId="0" fillId="2" borderId="88" xfId="0" applyNumberFormat="1" applyFill="1" applyBorder="1"/>
    <xf numFmtId="0" fontId="0" fillId="2" borderId="92" xfId="0" applyNumberFormat="1" applyFill="1" applyBorder="1"/>
    <xf numFmtId="0" fontId="0" fillId="2" borderId="115" xfId="0" applyNumberFormat="1" applyFill="1" applyBorder="1"/>
    <xf numFmtId="0" fontId="0" fillId="2" borderId="116" xfId="0" applyNumberFormat="1" applyFill="1" applyBorder="1"/>
    <xf numFmtId="0" fontId="0" fillId="2" borderId="117" xfId="0" applyNumberFormat="1" applyFill="1" applyBorder="1"/>
    <xf numFmtId="0" fontId="0" fillId="2" borderId="118" xfId="0" applyNumberFormat="1" applyFill="1" applyBorder="1"/>
    <xf numFmtId="0" fontId="0" fillId="2" borderId="103" xfId="0" applyNumberFormat="1" applyFill="1" applyBorder="1"/>
    <xf numFmtId="0" fontId="1" fillId="2" borderId="120" xfId="0" applyFont="1" applyFill="1" applyBorder="1"/>
    <xf numFmtId="0" fontId="1" fillId="2" borderId="121" xfId="0" applyFont="1" applyFill="1" applyBorder="1"/>
    <xf numFmtId="0" fontId="0" fillId="2" borderId="122" xfId="0" applyNumberFormat="1" applyFill="1" applyBorder="1"/>
    <xf numFmtId="0" fontId="0" fillId="2" borderId="107" xfId="0" applyNumberFormat="1" applyFill="1" applyBorder="1"/>
    <xf numFmtId="0" fontId="0" fillId="2" borderId="111" xfId="0" applyNumberFormat="1" applyFill="1" applyBorder="1"/>
    <xf numFmtId="0" fontId="0" fillId="2" borderId="48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9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54" xfId="0" applyFill="1" applyBorder="1" applyAlignment="1">
      <alignment horizontal="center"/>
    </xf>
    <xf numFmtId="0" fontId="0" fillId="2" borderId="99" xfId="0" applyFill="1" applyBorder="1" applyAlignment="1">
      <alignment horizontal="center"/>
    </xf>
    <xf numFmtId="0" fontId="1" fillId="3" borderId="129" xfId="0" applyFont="1" applyFill="1" applyBorder="1"/>
    <xf numFmtId="0" fontId="0" fillId="3" borderId="48" xfId="0" applyNumberFormat="1" applyFill="1" applyBorder="1"/>
    <xf numFmtId="0" fontId="0" fillId="3" borderId="29" xfId="0" applyNumberFormat="1" applyFill="1" applyBorder="1"/>
    <xf numFmtId="0" fontId="0" fillId="3" borderId="95" xfId="0" applyNumberFormat="1" applyFill="1" applyBorder="1"/>
    <xf numFmtId="0" fontId="0" fillId="3" borderId="89" xfId="0" applyFill="1" applyBorder="1"/>
    <xf numFmtId="0" fontId="0" fillId="3" borderId="91" xfId="0" applyFill="1" applyBorder="1"/>
    <xf numFmtId="0" fontId="0" fillId="3" borderId="70" xfId="0" applyFill="1" applyBorder="1"/>
    <xf numFmtId="0" fontId="0" fillId="3" borderId="130" xfId="0" applyFill="1" applyBorder="1"/>
    <xf numFmtId="0" fontId="0" fillId="3" borderId="132" xfId="0" applyFill="1" applyBorder="1"/>
    <xf numFmtId="0" fontId="11" fillId="3" borderId="133" xfId="0" applyFont="1" applyFill="1" applyBorder="1"/>
    <xf numFmtId="0" fontId="0" fillId="4" borderId="130" xfId="0" applyFill="1" applyBorder="1"/>
    <xf numFmtId="0" fontId="0" fillId="4" borderId="132" xfId="0" applyFill="1" applyBorder="1"/>
    <xf numFmtId="0" fontId="11" fillId="4" borderId="133" xfId="0" applyFont="1" applyFill="1" applyBorder="1"/>
    <xf numFmtId="0" fontId="0" fillId="2" borderId="89" xfId="0" applyFill="1" applyBorder="1"/>
    <xf numFmtId="0" fontId="0" fillId="2" borderId="70" xfId="0" applyFill="1" applyBorder="1"/>
    <xf numFmtId="0" fontId="0" fillId="2" borderId="130" xfId="0" applyFill="1" applyBorder="1"/>
    <xf numFmtId="0" fontId="0" fillId="2" borderId="91" xfId="0" applyFill="1" applyBorder="1"/>
    <xf numFmtId="0" fontId="0" fillId="2" borderId="132" xfId="0" applyFill="1" applyBorder="1"/>
    <xf numFmtId="0" fontId="11" fillId="2" borderId="93" xfId="0" applyFont="1" applyFill="1" applyBorder="1"/>
    <xf numFmtId="0" fontId="11" fillId="2" borderId="102" xfId="0" applyFont="1" applyFill="1" applyBorder="1"/>
    <xf numFmtId="0" fontId="11" fillId="2" borderId="133" xfId="0" applyFont="1" applyFill="1" applyBorder="1"/>
    <xf numFmtId="0" fontId="0" fillId="3" borderId="89" xfId="0" applyFill="1" applyBorder="1" applyAlignment="1">
      <alignment horizontal="right"/>
    </xf>
    <xf numFmtId="0" fontId="0" fillId="3" borderId="70" xfId="0" applyFill="1" applyBorder="1" applyAlignment="1">
      <alignment horizontal="right"/>
    </xf>
    <xf numFmtId="0" fontId="0" fillId="3" borderId="91" xfId="0" applyFill="1" applyBorder="1" applyAlignment="1">
      <alignment horizontal="right"/>
    </xf>
    <xf numFmtId="0" fontId="0" fillId="3" borderId="25" xfId="0" applyFill="1" applyBorder="1" applyAlignment="1">
      <alignment horizontal="right"/>
    </xf>
    <xf numFmtId="0" fontId="0" fillId="2" borderId="89" xfId="0" applyFill="1" applyBorder="1" applyAlignment="1">
      <alignment horizontal="right"/>
    </xf>
    <xf numFmtId="0" fontId="0" fillId="2" borderId="70" xfId="0" applyFill="1" applyBorder="1" applyAlignment="1">
      <alignment horizontal="right"/>
    </xf>
    <xf numFmtId="0" fontId="0" fillId="2" borderId="91" xfId="0" applyFill="1" applyBorder="1" applyAlignment="1">
      <alignment horizontal="right"/>
    </xf>
    <xf numFmtId="0" fontId="0" fillId="2" borderId="25" xfId="0" applyFill="1" applyBorder="1" applyAlignment="1">
      <alignment horizontal="right"/>
    </xf>
    <xf numFmtId="0" fontId="11" fillId="2" borderId="93" xfId="0" applyFont="1" applyFill="1" applyBorder="1" applyAlignment="1">
      <alignment horizontal="right"/>
    </xf>
    <xf numFmtId="0" fontId="11" fillId="2" borderId="102" xfId="0" applyFont="1" applyFill="1" applyBorder="1" applyAlignment="1">
      <alignment horizontal="right"/>
    </xf>
    <xf numFmtId="193" fontId="0" fillId="4" borderId="89" xfId="0" applyNumberFormat="1" applyFill="1" applyBorder="1" applyAlignment="1">
      <alignment horizontal="right"/>
    </xf>
    <xf numFmtId="193" fontId="0" fillId="4" borderId="70" xfId="0" applyNumberFormat="1" applyFill="1" applyBorder="1" applyAlignment="1">
      <alignment horizontal="right"/>
    </xf>
    <xf numFmtId="193" fontId="0" fillId="4" borderId="89" xfId="0" applyNumberFormat="1" applyFill="1" applyBorder="1"/>
    <xf numFmtId="193" fontId="0" fillId="4" borderId="70" xfId="0" applyNumberFormat="1" applyFill="1" applyBorder="1"/>
    <xf numFmtId="0" fontId="0" fillId="2" borderId="91" xfId="0" applyFont="1" applyFill="1" applyBorder="1"/>
    <xf numFmtId="193" fontId="0" fillId="4" borderId="91" xfId="0" applyNumberFormat="1" applyFill="1" applyBorder="1"/>
    <xf numFmtId="193" fontId="0" fillId="4" borderId="91" xfId="0" applyNumberFormat="1" applyFill="1" applyBorder="1" applyAlignment="1">
      <alignment horizontal="right"/>
    </xf>
    <xf numFmtId="193" fontId="0" fillId="4" borderId="25" xfId="0" applyNumberFormat="1" applyFill="1" applyBorder="1" applyAlignment="1">
      <alignment horizontal="right"/>
    </xf>
    <xf numFmtId="0" fontId="0" fillId="3" borderId="93" xfId="0" applyFill="1" applyBorder="1"/>
    <xf numFmtId="0" fontId="0" fillId="3" borderId="102" xfId="0" applyFill="1" applyBorder="1"/>
    <xf numFmtId="193" fontId="0" fillId="4" borderId="93" xfId="0" applyNumberFormat="1" applyFill="1" applyBorder="1"/>
    <xf numFmtId="0" fontId="0" fillId="3" borderId="93" xfId="0" applyFill="1" applyBorder="1" applyAlignment="1">
      <alignment horizontal="right"/>
    </xf>
    <xf numFmtId="0" fontId="0" fillId="3" borderId="102" xfId="0" applyFill="1" applyBorder="1" applyAlignment="1">
      <alignment horizontal="right"/>
    </xf>
    <xf numFmtId="193" fontId="0" fillId="4" borderId="93" xfId="0" applyNumberFormat="1" applyFill="1" applyBorder="1" applyAlignment="1">
      <alignment horizontal="right"/>
    </xf>
    <xf numFmtId="193" fontId="0" fillId="4" borderId="102" xfId="0" applyNumberFormat="1" applyFill="1" applyBorder="1" applyAlignment="1">
      <alignment horizontal="right"/>
    </xf>
    <xf numFmtId="0" fontId="1" fillId="0" borderId="0" xfId="0" applyFont="1"/>
    <xf numFmtId="0" fontId="0" fillId="0" borderId="0" xfId="0" applyAlignment="1">
      <alignment horizontal="left"/>
    </xf>
    <xf numFmtId="0" fontId="1" fillId="4" borderId="61" xfId="0" applyFont="1" applyFill="1" applyBorder="1" applyAlignment="1">
      <alignment horizontal="center" vertical="center"/>
    </xf>
    <xf numFmtId="0" fontId="1" fillId="4" borderId="71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6" fillId="0" borderId="34" xfId="0" applyFont="1" applyBorder="1" applyAlignment="1"/>
    <xf numFmtId="0" fontId="6" fillId="0" borderId="35" xfId="0" applyFont="1" applyBorder="1" applyAlignment="1"/>
    <xf numFmtId="0" fontId="6" fillId="0" borderId="47" xfId="0" applyFont="1" applyBorder="1" applyAlignment="1"/>
    <xf numFmtId="0" fontId="6" fillId="0" borderId="0" xfId="0" applyFont="1" applyBorder="1" applyAlignment="1"/>
    <xf numFmtId="0" fontId="6" fillId="0" borderId="48" xfId="0" applyFont="1" applyBorder="1" applyAlignment="1"/>
    <xf numFmtId="0" fontId="5" fillId="0" borderId="36" xfId="0" applyFont="1" applyBorder="1" applyAlignment="1">
      <alignment horizontal="left" vertical="center"/>
    </xf>
    <xf numFmtId="0" fontId="0" fillId="0" borderId="37" xfId="0" applyBorder="1" applyAlignment="1">
      <alignment horizontal="left"/>
    </xf>
    <xf numFmtId="0" fontId="0" fillId="0" borderId="38" xfId="0" applyBorder="1" applyAlignment="1">
      <alignment horizontal="left"/>
    </xf>
    <xf numFmtId="0" fontId="1" fillId="4" borderId="13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0" fillId="4" borderId="37" xfId="0" applyFill="1" applyBorder="1" applyAlignment="1"/>
    <xf numFmtId="0" fontId="5" fillId="4" borderId="33" xfId="0" applyFont="1" applyFill="1" applyBorder="1" applyAlignment="1">
      <alignment horizontal="center" vertical="center"/>
    </xf>
    <xf numFmtId="0" fontId="5" fillId="0" borderId="34" xfId="0" applyFont="1" applyBorder="1" applyAlignment="1"/>
    <xf numFmtId="0" fontId="5" fillId="0" borderId="35" xfId="0" applyFont="1" applyBorder="1" applyAlignment="1"/>
    <xf numFmtId="0" fontId="5" fillId="0" borderId="40" xfId="0" applyFont="1" applyBorder="1" applyAlignment="1"/>
    <xf numFmtId="0" fontId="5" fillId="0" borderId="41" xfId="0" applyFont="1" applyBorder="1" applyAlignment="1"/>
    <xf numFmtId="0" fontId="5" fillId="0" borderId="39" xfId="0" applyFont="1" applyBorder="1" applyAlignment="1"/>
    <xf numFmtId="0" fontId="1" fillId="2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2" borderId="36" xfId="0" applyFont="1" applyFill="1" applyBorder="1" applyAlignment="1"/>
    <xf numFmtId="0" fontId="1" fillId="2" borderId="37" xfId="0" applyFont="1" applyFill="1" applyBorder="1" applyAlignment="1"/>
    <xf numFmtId="0" fontId="5" fillId="2" borderId="33" xfId="0" applyFont="1" applyFill="1" applyBorder="1" applyAlignment="1">
      <alignment horizontal="center" vertical="center"/>
    </xf>
    <xf numFmtId="0" fontId="0" fillId="3" borderId="33" xfId="0" applyFill="1" applyBorder="1" applyAlignment="1"/>
    <xf numFmtId="0" fontId="0" fillId="0" borderId="34" xfId="0" applyBorder="1" applyAlignment="1"/>
    <xf numFmtId="0" fontId="1" fillId="4" borderId="18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2" borderId="62" xfId="0" applyFont="1" applyFill="1" applyBorder="1" applyAlignment="1">
      <alignment horizontal="center" vertical="center"/>
    </xf>
    <xf numFmtId="0" fontId="1" fillId="2" borderId="63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6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0" fontId="0" fillId="4" borderId="38" xfId="0" applyFill="1" applyBorder="1" applyAlignment="1"/>
    <xf numFmtId="0" fontId="1" fillId="2" borderId="7" xfId="0" applyFont="1" applyFill="1" applyBorder="1" applyAlignment="1">
      <alignment horizontal="center" vertical="center" wrapText="1"/>
    </xf>
    <xf numFmtId="0" fontId="1" fillId="2" borderId="67" xfId="0" applyFont="1" applyFill="1" applyBorder="1" applyAlignment="1">
      <alignment horizontal="center" vertical="center"/>
    </xf>
    <xf numFmtId="0" fontId="1" fillId="2" borderId="38" xfId="0" applyFont="1" applyFill="1" applyBorder="1" applyAlignment="1"/>
    <xf numFmtId="0" fontId="0" fillId="0" borderId="35" xfId="0" applyBorder="1" applyAlignment="1"/>
    <xf numFmtId="0" fontId="1" fillId="4" borderId="21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0" fontId="1" fillId="2" borderId="6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4" borderId="49" xfId="0" applyFont="1" applyFill="1" applyBorder="1" applyAlignment="1">
      <alignment horizontal="center" vertical="center"/>
    </xf>
    <xf numFmtId="0" fontId="5" fillId="0" borderId="37" xfId="0" applyFont="1" applyBorder="1" applyAlignment="1">
      <alignment horizontal="left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0" fillId="7" borderId="123" xfId="0" applyFill="1" applyBorder="1" applyAlignment="1">
      <alignment horizontal="right" vertical="center"/>
    </xf>
    <xf numFmtId="0" fontId="0" fillId="0" borderId="124" xfId="0" applyBorder="1" applyAlignment="1">
      <alignment horizontal="right" vertical="center"/>
    </xf>
    <xf numFmtId="0" fontId="0" fillId="7" borderId="124" xfId="0" applyFill="1" applyBorder="1" applyAlignment="1">
      <alignment horizontal="left" vertical="center"/>
    </xf>
    <xf numFmtId="0" fontId="0" fillId="7" borderId="125" xfId="0" applyFill="1" applyBorder="1" applyAlignment="1">
      <alignment horizontal="left" vertical="center"/>
    </xf>
    <xf numFmtId="0" fontId="0" fillId="7" borderId="126" xfId="0" applyFill="1" applyBorder="1" applyAlignment="1">
      <alignment horizontal="right" vertical="center"/>
    </xf>
    <xf numFmtId="0" fontId="0" fillId="0" borderId="127" xfId="0" applyBorder="1" applyAlignment="1">
      <alignment vertical="center"/>
    </xf>
    <xf numFmtId="0" fontId="4" fillId="6" borderId="36" xfId="0" applyFont="1" applyFill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2" borderId="76" xfId="0" applyFont="1" applyFill="1" applyBorder="1" applyAlignment="1"/>
    <xf numFmtId="0" fontId="1" fillId="2" borderId="77" xfId="0" applyFont="1" applyFill="1" applyBorder="1" applyAlignment="1"/>
    <xf numFmtId="0" fontId="1" fillId="2" borderId="82" xfId="0" applyFont="1" applyFill="1" applyBorder="1" applyAlignment="1">
      <alignment horizontal="center" vertical="center" wrapText="1"/>
    </xf>
    <xf numFmtId="0" fontId="1" fillId="2" borderId="85" xfId="0" applyFont="1" applyFill="1" applyBorder="1" applyAlignment="1">
      <alignment horizontal="center" vertical="center" wrapText="1"/>
    </xf>
    <xf numFmtId="0" fontId="1" fillId="2" borderId="83" xfId="0" applyFont="1" applyFill="1" applyBorder="1" applyAlignment="1">
      <alignment horizontal="center" vertical="center" wrapText="1"/>
    </xf>
    <xf numFmtId="0" fontId="1" fillId="2" borderId="86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0" fillId="0" borderId="39" xfId="0" applyBorder="1" applyAlignment="1">
      <alignment wrapText="1"/>
    </xf>
    <xf numFmtId="0" fontId="1" fillId="2" borderId="60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 wrapText="1"/>
    </xf>
    <xf numFmtId="0" fontId="5" fillId="2" borderId="79" xfId="0" applyFont="1" applyFill="1" applyBorder="1" applyAlignment="1">
      <alignment horizontal="center" vertical="center"/>
    </xf>
    <xf numFmtId="0" fontId="5" fillId="0" borderId="79" xfId="0" applyFont="1" applyBorder="1" applyAlignment="1"/>
    <xf numFmtId="0" fontId="5" fillId="0" borderId="80" xfId="0" applyFont="1" applyBorder="1" applyAlignment="1"/>
    <xf numFmtId="0" fontId="5" fillId="3" borderId="104" xfId="0" applyFont="1" applyFill="1" applyBorder="1" applyAlignment="1">
      <alignment horizontal="center" vertical="center"/>
    </xf>
    <xf numFmtId="0" fontId="6" fillId="0" borderId="79" xfId="0" applyFont="1" applyBorder="1" applyAlignment="1"/>
    <xf numFmtId="0" fontId="6" fillId="0" borderId="80" xfId="0" applyFont="1" applyBorder="1" applyAlignment="1"/>
    <xf numFmtId="0" fontId="6" fillId="0" borderId="89" xfId="0" applyFont="1" applyBorder="1" applyAlignment="1"/>
    <xf numFmtId="0" fontId="5" fillId="3" borderId="78" xfId="0" applyFont="1" applyFill="1" applyBorder="1" applyAlignment="1">
      <alignment horizontal="center" vertical="center"/>
    </xf>
    <xf numFmtId="0" fontId="5" fillId="0" borderId="81" xfId="0" applyFont="1" applyBorder="1" applyAlignment="1"/>
    <xf numFmtId="0" fontId="5" fillId="0" borderId="84" xfId="0" applyFont="1" applyBorder="1" applyAlignment="1"/>
    <xf numFmtId="0" fontId="1" fillId="3" borderId="76" xfId="0" applyFont="1" applyFill="1" applyBorder="1" applyAlignment="1"/>
    <xf numFmtId="0" fontId="0" fillId="0" borderId="77" xfId="0" applyBorder="1" applyAlignment="1"/>
    <xf numFmtId="0" fontId="0" fillId="0" borderId="134" xfId="0" applyBorder="1" applyAlignment="1"/>
    <xf numFmtId="0" fontId="1" fillId="3" borderId="83" xfId="0" applyFont="1" applyFill="1" applyBorder="1" applyAlignment="1">
      <alignment horizontal="center" vertical="center" wrapText="1"/>
    </xf>
    <xf numFmtId="0" fontId="1" fillId="3" borderId="86" xfId="0" applyFont="1" applyFill="1" applyBorder="1" applyAlignment="1">
      <alignment horizontal="center" vertical="center" wrapText="1"/>
    </xf>
    <xf numFmtId="0" fontId="1" fillId="3" borderId="87" xfId="0" applyFont="1" applyFill="1" applyBorder="1" applyAlignment="1">
      <alignment horizontal="center" vertical="center" wrapText="1"/>
    </xf>
    <xf numFmtId="0" fontId="1" fillId="3" borderId="46" xfId="0" applyFont="1" applyFill="1" applyBorder="1" applyAlignment="1">
      <alignment horizontal="center" vertical="center" wrapText="1"/>
    </xf>
    <xf numFmtId="0" fontId="1" fillId="3" borderId="130" xfId="0" applyFont="1" applyFill="1" applyBorder="1" applyAlignment="1">
      <alignment horizontal="center" vertical="center" wrapText="1"/>
    </xf>
    <xf numFmtId="0" fontId="0" fillId="3" borderId="131" xfId="0" applyFill="1" applyBorder="1" applyAlignment="1">
      <alignment wrapText="1"/>
    </xf>
    <xf numFmtId="0" fontId="1" fillId="2" borderId="87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130" xfId="0" applyFont="1" applyFill="1" applyBorder="1" applyAlignment="1">
      <alignment horizontal="center" vertical="center" wrapText="1"/>
    </xf>
    <xf numFmtId="0" fontId="0" fillId="2" borderId="131" xfId="0" applyFill="1" applyBorder="1" applyAlignment="1">
      <alignment wrapText="1"/>
    </xf>
    <xf numFmtId="0" fontId="5" fillId="2" borderId="78" xfId="0" applyFont="1" applyFill="1" applyBorder="1" applyAlignment="1">
      <alignment horizontal="center" vertical="center"/>
    </xf>
    <xf numFmtId="0" fontId="5" fillId="4" borderId="79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0" fillId="2" borderId="77" xfId="0" applyFill="1" applyBorder="1" applyAlignment="1"/>
    <xf numFmtId="0" fontId="0" fillId="2" borderId="134" xfId="0" applyFill="1" applyBorder="1" applyAlignment="1"/>
    <xf numFmtId="0" fontId="5" fillId="4" borderId="7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 wrapText="1"/>
    </xf>
    <xf numFmtId="0" fontId="1" fillId="4" borderId="76" xfId="0" applyFont="1" applyFill="1" applyBorder="1" applyAlignment="1"/>
    <xf numFmtId="0" fontId="0" fillId="4" borderId="77" xfId="0" applyFill="1" applyBorder="1" applyAlignment="1"/>
    <xf numFmtId="0" fontId="0" fillId="4" borderId="134" xfId="0" applyFill="1" applyBorder="1" applyAlignment="1"/>
    <xf numFmtId="0" fontId="1" fillId="4" borderId="83" xfId="0" applyFont="1" applyFill="1" applyBorder="1" applyAlignment="1">
      <alignment horizontal="center" vertical="center" wrapText="1"/>
    </xf>
    <xf numFmtId="0" fontId="1" fillId="4" borderId="86" xfId="0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1" fillId="4" borderId="39" xfId="0" applyFont="1" applyFill="1" applyBorder="1" applyAlignment="1">
      <alignment horizontal="center" vertical="center" wrapText="1"/>
    </xf>
    <xf numFmtId="0" fontId="1" fillId="4" borderId="130" xfId="0" applyFont="1" applyFill="1" applyBorder="1" applyAlignment="1">
      <alignment horizontal="center" vertical="center" wrapText="1"/>
    </xf>
    <xf numFmtId="0" fontId="0" fillId="4" borderId="131" xfId="0" applyFill="1" applyBorder="1" applyAlignment="1">
      <alignment wrapText="1"/>
    </xf>
    <xf numFmtId="0" fontId="1" fillId="4" borderId="87" xfId="0" applyFont="1" applyFill="1" applyBorder="1" applyAlignment="1">
      <alignment horizontal="center" vertical="center" wrapText="1"/>
    </xf>
    <xf numFmtId="0" fontId="1" fillId="4" borderId="46" xfId="0" applyFont="1" applyFill="1" applyBorder="1" applyAlignment="1">
      <alignment horizontal="center" vertical="center" wrapText="1"/>
    </xf>
    <xf numFmtId="0" fontId="8" fillId="6" borderId="36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4" fontId="0" fillId="7" borderId="127" xfId="0" applyNumberFormat="1" applyFill="1" applyBorder="1" applyAlignment="1">
      <alignment horizontal="left" vertical="center"/>
    </xf>
    <xf numFmtId="14" fontId="0" fillId="7" borderId="128" xfId="0" applyNumberFormat="1" applyFill="1" applyBorder="1" applyAlignment="1">
      <alignment horizontal="left" vertical="center"/>
    </xf>
    <xf numFmtId="0" fontId="4" fillId="6" borderId="36" xfId="0" applyFont="1" applyFill="1" applyBorder="1" applyAlignment="1">
      <alignment horizontal="center"/>
    </xf>
    <xf numFmtId="0" fontId="4" fillId="6" borderId="37" xfId="0" applyFont="1" applyFill="1" applyBorder="1" applyAlignment="1">
      <alignment horizontal="center"/>
    </xf>
    <xf numFmtId="0" fontId="4" fillId="6" borderId="38" xfId="0" applyFont="1" applyFill="1" applyBorder="1" applyAlignment="1">
      <alignment horizontal="center"/>
    </xf>
    <xf numFmtId="0" fontId="0" fillId="8" borderId="112" xfId="0" applyFill="1" applyBorder="1" applyAlignment="1">
      <alignment horizontal="left"/>
    </xf>
    <xf numFmtId="0" fontId="0" fillId="8" borderId="73" xfId="0" applyFill="1" applyBorder="1" applyAlignment="1">
      <alignment horizontal="left"/>
    </xf>
    <xf numFmtId="0" fontId="0" fillId="8" borderId="74" xfId="0" applyFill="1" applyBorder="1" applyAlignment="1">
      <alignment horizontal="right"/>
    </xf>
    <xf numFmtId="0" fontId="0" fillId="8" borderId="113" xfId="0" applyFill="1" applyBorder="1" applyAlignment="1">
      <alignment horizontal="right"/>
    </xf>
    <xf numFmtId="0" fontId="0" fillId="8" borderId="72" xfId="0" applyFill="1" applyBorder="1" applyAlignment="1">
      <alignment horizontal="right"/>
    </xf>
    <xf numFmtId="0" fontId="0" fillId="8" borderId="112" xfId="0" applyFill="1" applyBorder="1" applyAlignment="1">
      <alignment horizontal="right"/>
    </xf>
    <xf numFmtId="14" fontId="0" fillId="8" borderId="113" xfId="0" applyNumberFormat="1" applyFill="1" applyBorder="1" applyAlignment="1">
      <alignment horizontal="left"/>
    </xf>
    <xf numFmtId="0" fontId="0" fillId="8" borderId="113" xfId="0" applyFill="1" applyBorder="1" applyAlignment="1">
      <alignment horizontal="left"/>
    </xf>
    <xf numFmtId="0" fontId="0" fillId="8" borderId="75" xfId="0" applyFill="1" applyBorder="1" applyAlignment="1">
      <alignment horizontal="left"/>
    </xf>
    <xf numFmtId="0" fontId="1" fillId="0" borderId="40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5" fillId="3" borderId="79" xfId="0" applyFont="1" applyFill="1" applyBorder="1" applyAlignment="1">
      <alignment horizontal="center" vertical="center"/>
    </xf>
    <xf numFmtId="0" fontId="5" fillId="3" borderId="106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3" borderId="81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3" borderId="84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81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0" fontId="5" fillId="4" borderId="81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0" fontId="5" fillId="4" borderId="84" xfId="0" applyFont="1" applyFill="1" applyBorder="1" applyAlignment="1">
      <alignment horizontal="center" vertical="center"/>
    </xf>
    <xf numFmtId="0" fontId="1" fillId="2" borderId="105" xfId="0" applyFont="1" applyFill="1" applyBorder="1" applyAlignment="1">
      <alignment horizontal="center" vertical="center" wrapText="1"/>
    </xf>
    <xf numFmtId="0" fontId="1" fillId="2" borderId="106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/>
    </xf>
  </cellXfs>
  <cellStyles count="1">
    <cellStyle name="Normální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9.jpeg"/><Relationship Id="rId18" Type="http://schemas.openxmlformats.org/officeDocument/2006/relationships/image" Target="../media/image34.jpeg"/><Relationship Id="rId26" Type="http://schemas.openxmlformats.org/officeDocument/2006/relationships/image" Target="../media/image42.jpeg"/><Relationship Id="rId39" Type="http://schemas.openxmlformats.org/officeDocument/2006/relationships/image" Target="../media/image55.png"/><Relationship Id="rId21" Type="http://schemas.openxmlformats.org/officeDocument/2006/relationships/image" Target="../media/image37.jpeg"/><Relationship Id="rId34" Type="http://schemas.openxmlformats.org/officeDocument/2006/relationships/image" Target="../media/image50.png"/><Relationship Id="rId42" Type="http://schemas.openxmlformats.org/officeDocument/2006/relationships/image" Target="../media/image58.png"/><Relationship Id="rId47" Type="http://schemas.openxmlformats.org/officeDocument/2006/relationships/image" Target="../media/image63.png"/><Relationship Id="rId50" Type="http://schemas.openxmlformats.org/officeDocument/2006/relationships/image" Target="../media/image66.png"/><Relationship Id="rId55" Type="http://schemas.openxmlformats.org/officeDocument/2006/relationships/image" Target="../media/image71.png"/><Relationship Id="rId7" Type="http://schemas.openxmlformats.org/officeDocument/2006/relationships/image" Target="../media/image23.jpeg"/><Relationship Id="rId2" Type="http://schemas.openxmlformats.org/officeDocument/2006/relationships/image" Target="../media/image18.jpeg"/><Relationship Id="rId16" Type="http://schemas.openxmlformats.org/officeDocument/2006/relationships/image" Target="../media/image32.jpeg"/><Relationship Id="rId29" Type="http://schemas.openxmlformats.org/officeDocument/2006/relationships/image" Target="../media/image45.png"/><Relationship Id="rId11" Type="http://schemas.openxmlformats.org/officeDocument/2006/relationships/image" Target="../media/image27.jpeg"/><Relationship Id="rId24" Type="http://schemas.openxmlformats.org/officeDocument/2006/relationships/image" Target="../media/image40.jpeg"/><Relationship Id="rId32" Type="http://schemas.openxmlformats.org/officeDocument/2006/relationships/image" Target="../media/image48.png"/><Relationship Id="rId37" Type="http://schemas.openxmlformats.org/officeDocument/2006/relationships/image" Target="../media/image53.png"/><Relationship Id="rId40" Type="http://schemas.openxmlformats.org/officeDocument/2006/relationships/image" Target="../media/image56.png"/><Relationship Id="rId45" Type="http://schemas.openxmlformats.org/officeDocument/2006/relationships/image" Target="../media/image61.png"/><Relationship Id="rId53" Type="http://schemas.openxmlformats.org/officeDocument/2006/relationships/image" Target="../media/image69.png"/><Relationship Id="rId5" Type="http://schemas.openxmlformats.org/officeDocument/2006/relationships/image" Target="../media/image21.jpeg"/><Relationship Id="rId10" Type="http://schemas.openxmlformats.org/officeDocument/2006/relationships/image" Target="../media/image26.jpeg"/><Relationship Id="rId19" Type="http://schemas.openxmlformats.org/officeDocument/2006/relationships/image" Target="../media/image35.jpeg"/><Relationship Id="rId31" Type="http://schemas.openxmlformats.org/officeDocument/2006/relationships/image" Target="../media/image47.png"/><Relationship Id="rId44" Type="http://schemas.openxmlformats.org/officeDocument/2006/relationships/image" Target="../media/image60.png"/><Relationship Id="rId52" Type="http://schemas.openxmlformats.org/officeDocument/2006/relationships/image" Target="../media/image68.png"/><Relationship Id="rId4" Type="http://schemas.openxmlformats.org/officeDocument/2006/relationships/image" Target="../media/image20.jpeg"/><Relationship Id="rId9" Type="http://schemas.openxmlformats.org/officeDocument/2006/relationships/image" Target="../media/image25.jpeg"/><Relationship Id="rId14" Type="http://schemas.openxmlformats.org/officeDocument/2006/relationships/image" Target="../media/image30.jpeg"/><Relationship Id="rId22" Type="http://schemas.openxmlformats.org/officeDocument/2006/relationships/image" Target="../media/image38.jpeg"/><Relationship Id="rId27" Type="http://schemas.openxmlformats.org/officeDocument/2006/relationships/image" Target="../media/image43.jpeg"/><Relationship Id="rId30" Type="http://schemas.openxmlformats.org/officeDocument/2006/relationships/image" Target="../media/image46.png"/><Relationship Id="rId35" Type="http://schemas.openxmlformats.org/officeDocument/2006/relationships/image" Target="../media/image51.png"/><Relationship Id="rId43" Type="http://schemas.openxmlformats.org/officeDocument/2006/relationships/image" Target="../media/image59.png"/><Relationship Id="rId48" Type="http://schemas.openxmlformats.org/officeDocument/2006/relationships/image" Target="../media/image64.png"/><Relationship Id="rId56" Type="http://schemas.openxmlformats.org/officeDocument/2006/relationships/image" Target="../media/image72.png"/><Relationship Id="rId8" Type="http://schemas.openxmlformats.org/officeDocument/2006/relationships/image" Target="../media/image24.jpeg"/><Relationship Id="rId51" Type="http://schemas.openxmlformats.org/officeDocument/2006/relationships/image" Target="../media/image67.png"/><Relationship Id="rId3" Type="http://schemas.openxmlformats.org/officeDocument/2006/relationships/image" Target="../media/image19.jpeg"/><Relationship Id="rId12" Type="http://schemas.openxmlformats.org/officeDocument/2006/relationships/image" Target="../media/image28.jpeg"/><Relationship Id="rId17" Type="http://schemas.openxmlformats.org/officeDocument/2006/relationships/image" Target="../media/image33.jpeg"/><Relationship Id="rId25" Type="http://schemas.openxmlformats.org/officeDocument/2006/relationships/image" Target="../media/image41.jpeg"/><Relationship Id="rId33" Type="http://schemas.openxmlformats.org/officeDocument/2006/relationships/image" Target="../media/image49.png"/><Relationship Id="rId38" Type="http://schemas.openxmlformats.org/officeDocument/2006/relationships/image" Target="../media/image54.png"/><Relationship Id="rId46" Type="http://schemas.openxmlformats.org/officeDocument/2006/relationships/image" Target="../media/image62.png"/><Relationship Id="rId20" Type="http://schemas.openxmlformats.org/officeDocument/2006/relationships/image" Target="../media/image36.jpeg"/><Relationship Id="rId41" Type="http://schemas.openxmlformats.org/officeDocument/2006/relationships/image" Target="../media/image57.png"/><Relationship Id="rId54" Type="http://schemas.openxmlformats.org/officeDocument/2006/relationships/image" Target="../media/image70.png"/><Relationship Id="rId1" Type="http://schemas.openxmlformats.org/officeDocument/2006/relationships/image" Target="../media/image17.jpeg"/><Relationship Id="rId6" Type="http://schemas.openxmlformats.org/officeDocument/2006/relationships/image" Target="../media/image22.jpeg"/><Relationship Id="rId15" Type="http://schemas.openxmlformats.org/officeDocument/2006/relationships/image" Target="../media/image31.jpeg"/><Relationship Id="rId23" Type="http://schemas.openxmlformats.org/officeDocument/2006/relationships/image" Target="../media/image39.jpeg"/><Relationship Id="rId28" Type="http://schemas.openxmlformats.org/officeDocument/2006/relationships/image" Target="../media/image44.jpeg"/><Relationship Id="rId36" Type="http://schemas.openxmlformats.org/officeDocument/2006/relationships/image" Target="../media/image52.png"/><Relationship Id="rId49" Type="http://schemas.openxmlformats.org/officeDocument/2006/relationships/image" Target="../media/image6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0.jpeg"/><Relationship Id="rId13" Type="http://schemas.openxmlformats.org/officeDocument/2006/relationships/image" Target="../media/image85.jpeg"/><Relationship Id="rId3" Type="http://schemas.openxmlformats.org/officeDocument/2006/relationships/image" Target="../media/image75.jpeg"/><Relationship Id="rId7" Type="http://schemas.openxmlformats.org/officeDocument/2006/relationships/image" Target="../media/image79.jpeg"/><Relationship Id="rId12" Type="http://schemas.openxmlformats.org/officeDocument/2006/relationships/image" Target="../media/image84.jpeg"/><Relationship Id="rId2" Type="http://schemas.openxmlformats.org/officeDocument/2006/relationships/image" Target="../media/image74.jpeg"/><Relationship Id="rId1" Type="http://schemas.openxmlformats.org/officeDocument/2006/relationships/image" Target="../media/image73.jpeg"/><Relationship Id="rId6" Type="http://schemas.openxmlformats.org/officeDocument/2006/relationships/image" Target="../media/image78.jpeg"/><Relationship Id="rId11" Type="http://schemas.openxmlformats.org/officeDocument/2006/relationships/image" Target="../media/image83.jpeg"/><Relationship Id="rId5" Type="http://schemas.openxmlformats.org/officeDocument/2006/relationships/image" Target="../media/image77.jpeg"/><Relationship Id="rId15" Type="http://schemas.openxmlformats.org/officeDocument/2006/relationships/image" Target="../media/image87.jpeg"/><Relationship Id="rId10" Type="http://schemas.openxmlformats.org/officeDocument/2006/relationships/image" Target="../media/image82.jpeg"/><Relationship Id="rId4" Type="http://schemas.openxmlformats.org/officeDocument/2006/relationships/image" Target="../media/image76.jpeg"/><Relationship Id="rId9" Type="http://schemas.openxmlformats.org/officeDocument/2006/relationships/image" Target="../media/image81.jpeg"/><Relationship Id="rId14" Type="http://schemas.openxmlformats.org/officeDocument/2006/relationships/image" Target="../media/image86.jpe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0.jpeg"/><Relationship Id="rId18" Type="http://schemas.openxmlformats.org/officeDocument/2006/relationships/image" Target="../media/image105.jpeg"/><Relationship Id="rId26" Type="http://schemas.openxmlformats.org/officeDocument/2006/relationships/image" Target="../media/image113.jpeg"/><Relationship Id="rId39" Type="http://schemas.openxmlformats.org/officeDocument/2006/relationships/image" Target="../media/image126.png"/><Relationship Id="rId21" Type="http://schemas.openxmlformats.org/officeDocument/2006/relationships/image" Target="../media/image108.jpeg"/><Relationship Id="rId34" Type="http://schemas.openxmlformats.org/officeDocument/2006/relationships/image" Target="../media/image121.png"/><Relationship Id="rId42" Type="http://schemas.openxmlformats.org/officeDocument/2006/relationships/image" Target="../media/image129.png"/><Relationship Id="rId47" Type="http://schemas.openxmlformats.org/officeDocument/2006/relationships/image" Target="../media/image134.png"/><Relationship Id="rId50" Type="http://schemas.openxmlformats.org/officeDocument/2006/relationships/image" Target="../media/image137.png"/><Relationship Id="rId7" Type="http://schemas.openxmlformats.org/officeDocument/2006/relationships/image" Target="../media/image94.jpeg"/><Relationship Id="rId2" Type="http://schemas.openxmlformats.org/officeDocument/2006/relationships/image" Target="../media/image89.jpeg"/><Relationship Id="rId16" Type="http://schemas.openxmlformats.org/officeDocument/2006/relationships/image" Target="../media/image103.jpeg"/><Relationship Id="rId29" Type="http://schemas.openxmlformats.org/officeDocument/2006/relationships/image" Target="../media/image116.jpeg"/><Relationship Id="rId11" Type="http://schemas.openxmlformats.org/officeDocument/2006/relationships/image" Target="../media/image98.jpeg"/><Relationship Id="rId24" Type="http://schemas.openxmlformats.org/officeDocument/2006/relationships/image" Target="../media/image111.jpeg"/><Relationship Id="rId32" Type="http://schemas.openxmlformats.org/officeDocument/2006/relationships/image" Target="../media/image119.png"/><Relationship Id="rId37" Type="http://schemas.openxmlformats.org/officeDocument/2006/relationships/image" Target="../media/image124.png"/><Relationship Id="rId40" Type="http://schemas.openxmlformats.org/officeDocument/2006/relationships/image" Target="../media/image127.png"/><Relationship Id="rId45" Type="http://schemas.openxmlformats.org/officeDocument/2006/relationships/image" Target="../media/image132.png"/><Relationship Id="rId5" Type="http://schemas.openxmlformats.org/officeDocument/2006/relationships/image" Target="../media/image92.jpeg"/><Relationship Id="rId15" Type="http://schemas.openxmlformats.org/officeDocument/2006/relationships/image" Target="../media/image102.jpeg"/><Relationship Id="rId23" Type="http://schemas.openxmlformats.org/officeDocument/2006/relationships/image" Target="../media/image110.jpeg"/><Relationship Id="rId28" Type="http://schemas.openxmlformats.org/officeDocument/2006/relationships/image" Target="../media/image115.jpeg"/><Relationship Id="rId36" Type="http://schemas.openxmlformats.org/officeDocument/2006/relationships/image" Target="../media/image123.png"/><Relationship Id="rId49" Type="http://schemas.openxmlformats.org/officeDocument/2006/relationships/image" Target="../media/image136.png"/><Relationship Id="rId10" Type="http://schemas.openxmlformats.org/officeDocument/2006/relationships/image" Target="../media/image97.jpeg"/><Relationship Id="rId19" Type="http://schemas.openxmlformats.org/officeDocument/2006/relationships/image" Target="../media/image106.jpeg"/><Relationship Id="rId31" Type="http://schemas.openxmlformats.org/officeDocument/2006/relationships/image" Target="../media/image118.jpeg"/><Relationship Id="rId44" Type="http://schemas.openxmlformats.org/officeDocument/2006/relationships/image" Target="../media/image131.png"/><Relationship Id="rId4" Type="http://schemas.openxmlformats.org/officeDocument/2006/relationships/image" Target="../media/image91.jpeg"/><Relationship Id="rId9" Type="http://schemas.openxmlformats.org/officeDocument/2006/relationships/image" Target="../media/image96.jpeg"/><Relationship Id="rId14" Type="http://schemas.openxmlformats.org/officeDocument/2006/relationships/image" Target="../media/image101.jpeg"/><Relationship Id="rId22" Type="http://schemas.openxmlformats.org/officeDocument/2006/relationships/image" Target="../media/image109.jpeg"/><Relationship Id="rId27" Type="http://schemas.openxmlformats.org/officeDocument/2006/relationships/image" Target="../media/image114.jpeg"/><Relationship Id="rId30" Type="http://schemas.openxmlformats.org/officeDocument/2006/relationships/image" Target="../media/image117.jpeg"/><Relationship Id="rId35" Type="http://schemas.openxmlformats.org/officeDocument/2006/relationships/image" Target="../media/image122.png"/><Relationship Id="rId43" Type="http://schemas.openxmlformats.org/officeDocument/2006/relationships/image" Target="../media/image130.png"/><Relationship Id="rId48" Type="http://schemas.openxmlformats.org/officeDocument/2006/relationships/image" Target="../media/image135.png"/><Relationship Id="rId8" Type="http://schemas.openxmlformats.org/officeDocument/2006/relationships/image" Target="../media/image95.jpeg"/><Relationship Id="rId51" Type="http://schemas.openxmlformats.org/officeDocument/2006/relationships/image" Target="../media/image138.png"/><Relationship Id="rId3" Type="http://schemas.openxmlformats.org/officeDocument/2006/relationships/image" Target="../media/image90.jpeg"/><Relationship Id="rId12" Type="http://schemas.openxmlformats.org/officeDocument/2006/relationships/image" Target="../media/image99.jpeg"/><Relationship Id="rId17" Type="http://schemas.openxmlformats.org/officeDocument/2006/relationships/image" Target="../media/image104.jpeg"/><Relationship Id="rId25" Type="http://schemas.openxmlformats.org/officeDocument/2006/relationships/image" Target="../media/image112.jpeg"/><Relationship Id="rId33" Type="http://schemas.openxmlformats.org/officeDocument/2006/relationships/image" Target="../media/image120.png"/><Relationship Id="rId38" Type="http://schemas.openxmlformats.org/officeDocument/2006/relationships/image" Target="../media/image125.png"/><Relationship Id="rId46" Type="http://schemas.openxmlformats.org/officeDocument/2006/relationships/image" Target="../media/image133.png"/><Relationship Id="rId20" Type="http://schemas.openxmlformats.org/officeDocument/2006/relationships/image" Target="../media/image107.jpeg"/><Relationship Id="rId41" Type="http://schemas.openxmlformats.org/officeDocument/2006/relationships/image" Target="../media/image128.png"/><Relationship Id="rId1" Type="http://schemas.openxmlformats.org/officeDocument/2006/relationships/image" Target="../media/image88.jpeg"/><Relationship Id="rId6" Type="http://schemas.openxmlformats.org/officeDocument/2006/relationships/image" Target="../media/image93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6.jpeg"/><Relationship Id="rId13" Type="http://schemas.openxmlformats.org/officeDocument/2006/relationships/image" Target="../media/image151.png"/><Relationship Id="rId18" Type="http://schemas.openxmlformats.org/officeDocument/2006/relationships/image" Target="../media/image156.png"/><Relationship Id="rId26" Type="http://schemas.openxmlformats.org/officeDocument/2006/relationships/image" Target="../media/image164.png"/><Relationship Id="rId3" Type="http://schemas.openxmlformats.org/officeDocument/2006/relationships/image" Target="../media/image141.jpeg"/><Relationship Id="rId21" Type="http://schemas.openxmlformats.org/officeDocument/2006/relationships/image" Target="../media/image159.png"/><Relationship Id="rId7" Type="http://schemas.openxmlformats.org/officeDocument/2006/relationships/image" Target="../media/image145.jpeg"/><Relationship Id="rId12" Type="http://schemas.openxmlformats.org/officeDocument/2006/relationships/image" Target="../media/image150.png"/><Relationship Id="rId17" Type="http://schemas.openxmlformats.org/officeDocument/2006/relationships/image" Target="../media/image155.png"/><Relationship Id="rId25" Type="http://schemas.openxmlformats.org/officeDocument/2006/relationships/image" Target="../media/image163.png"/><Relationship Id="rId2" Type="http://schemas.openxmlformats.org/officeDocument/2006/relationships/image" Target="../media/image140.jpeg"/><Relationship Id="rId16" Type="http://schemas.openxmlformats.org/officeDocument/2006/relationships/image" Target="../media/image154.png"/><Relationship Id="rId20" Type="http://schemas.openxmlformats.org/officeDocument/2006/relationships/image" Target="../media/image158.png"/><Relationship Id="rId1" Type="http://schemas.openxmlformats.org/officeDocument/2006/relationships/image" Target="../media/image139.jpeg"/><Relationship Id="rId6" Type="http://schemas.openxmlformats.org/officeDocument/2006/relationships/image" Target="../media/image144.jpeg"/><Relationship Id="rId11" Type="http://schemas.openxmlformats.org/officeDocument/2006/relationships/image" Target="../media/image149.png"/><Relationship Id="rId24" Type="http://schemas.openxmlformats.org/officeDocument/2006/relationships/image" Target="../media/image162.png"/><Relationship Id="rId5" Type="http://schemas.openxmlformats.org/officeDocument/2006/relationships/image" Target="../media/image143.jpeg"/><Relationship Id="rId15" Type="http://schemas.openxmlformats.org/officeDocument/2006/relationships/image" Target="../media/image153.png"/><Relationship Id="rId23" Type="http://schemas.openxmlformats.org/officeDocument/2006/relationships/image" Target="../media/image161.png"/><Relationship Id="rId28" Type="http://schemas.openxmlformats.org/officeDocument/2006/relationships/image" Target="../media/image166.png"/><Relationship Id="rId10" Type="http://schemas.openxmlformats.org/officeDocument/2006/relationships/image" Target="../media/image148.png"/><Relationship Id="rId19" Type="http://schemas.openxmlformats.org/officeDocument/2006/relationships/image" Target="../media/image157.png"/><Relationship Id="rId4" Type="http://schemas.openxmlformats.org/officeDocument/2006/relationships/image" Target="../media/image142.jpeg"/><Relationship Id="rId9" Type="http://schemas.openxmlformats.org/officeDocument/2006/relationships/image" Target="../media/image147.png"/><Relationship Id="rId14" Type="http://schemas.openxmlformats.org/officeDocument/2006/relationships/image" Target="../media/image152.png"/><Relationship Id="rId22" Type="http://schemas.openxmlformats.org/officeDocument/2006/relationships/image" Target="../media/image160.png"/><Relationship Id="rId27" Type="http://schemas.openxmlformats.org/officeDocument/2006/relationships/image" Target="../media/image165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4.jpeg"/><Relationship Id="rId13" Type="http://schemas.openxmlformats.org/officeDocument/2006/relationships/image" Target="../media/image179.jpeg"/><Relationship Id="rId3" Type="http://schemas.openxmlformats.org/officeDocument/2006/relationships/image" Target="../media/image169.jpeg"/><Relationship Id="rId7" Type="http://schemas.openxmlformats.org/officeDocument/2006/relationships/image" Target="../media/image173.jpeg"/><Relationship Id="rId12" Type="http://schemas.openxmlformats.org/officeDocument/2006/relationships/image" Target="../media/image178.jpeg"/><Relationship Id="rId2" Type="http://schemas.openxmlformats.org/officeDocument/2006/relationships/image" Target="../media/image168.jpeg"/><Relationship Id="rId1" Type="http://schemas.openxmlformats.org/officeDocument/2006/relationships/image" Target="../media/image167.jpeg"/><Relationship Id="rId6" Type="http://schemas.openxmlformats.org/officeDocument/2006/relationships/image" Target="../media/image172.jpeg"/><Relationship Id="rId11" Type="http://schemas.openxmlformats.org/officeDocument/2006/relationships/image" Target="../media/image177.jpeg"/><Relationship Id="rId5" Type="http://schemas.openxmlformats.org/officeDocument/2006/relationships/image" Target="../media/image171.jpeg"/><Relationship Id="rId15" Type="http://schemas.openxmlformats.org/officeDocument/2006/relationships/image" Target="../media/image181.jpeg"/><Relationship Id="rId10" Type="http://schemas.openxmlformats.org/officeDocument/2006/relationships/image" Target="../media/image176.jpeg"/><Relationship Id="rId4" Type="http://schemas.openxmlformats.org/officeDocument/2006/relationships/image" Target="../media/image170.jpeg"/><Relationship Id="rId9" Type="http://schemas.openxmlformats.org/officeDocument/2006/relationships/image" Target="../media/image175.jpeg"/><Relationship Id="rId14" Type="http://schemas.openxmlformats.org/officeDocument/2006/relationships/image" Target="../media/image180.jpeg"/></Relationships>
</file>

<file path=xl/drawings/_rels/drawing7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94.jpeg"/><Relationship Id="rId18" Type="http://schemas.openxmlformats.org/officeDocument/2006/relationships/image" Target="../media/image199.jpeg"/><Relationship Id="rId26" Type="http://schemas.openxmlformats.org/officeDocument/2006/relationships/image" Target="../media/image207.jpeg"/><Relationship Id="rId39" Type="http://schemas.openxmlformats.org/officeDocument/2006/relationships/image" Target="../media/image220.png"/><Relationship Id="rId21" Type="http://schemas.openxmlformats.org/officeDocument/2006/relationships/image" Target="../media/image202.jpeg"/><Relationship Id="rId34" Type="http://schemas.openxmlformats.org/officeDocument/2006/relationships/image" Target="../media/image215.png"/><Relationship Id="rId42" Type="http://schemas.openxmlformats.org/officeDocument/2006/relationships/image" Target="../media/image223.png"/><Relationship Id="rId47" Type="http://schemas.openxmlformats.org/officeDocument/2006/relationships/image" Target="../media/image228.png"/><Relationship Id="rId50" Type="http://schemas.openxmlformats.org/officeDocument/2006/relationships/image" Target="../media/image231.png"/><Relationship Id="rId55" Type="http://schemas.openxmlformats.org/officeDocument/2006/relationships/image" Target="../media/image236.png"/><Relationship Id="rId7" Type="http://schemas.openxmlformats.org/officeDocument/2006/relationships/image" Target="../media/image188.jpeg"/><Relationship Id="rId2" Type="http://schemas.openxmlformats.org/officeDocument/2006/relationships/image" Target="../media/image183.jpeg"/><Relationship Id="rId16" Type="http://schemas.openxmlformats.org/officeDocument/2006/relationships/image" Target="../media/image197.jpeg"/><Relationship Id="rId29" Type="http://schemas.openxmlformats.org/officeDocument/2006/relationships/image" Target="../media/image210.jpeg"/><Relationship Id="rId11" Type="http://schemas.openxmlformats.org/officeDocument/2006/relationships/image" Target="../media/image192.jpeg"/><Relationship Id="rId24" Type="http://schemas.openxmlformats.org/officeDocument/2006/relationships/image" Target="../media/image205.jpeg"/><Relationship Id="rId32" Type="http://schemas.openxmlformats.org/officeDocument/2006/relationships/image" Target="../media/image213.jpeg"/><Relationship Id="rId37" Type="http://schemas.openxmlformats.org/officeDocument/2006/relationships/image" Target="../media/image218.png"/><Relationship Id="rId40" Type="http://schemas.openxmlformats.org/officeDocument/2006/relationships/image" Target="../media/image221.png"/><Relationship Id="rId45" Type="http://schemas.openxmlformats.org/officeDocument/2006/relationships/image" Target="../media/image226.png"/><Relationship Id="rId53" Type="http://schemas.openxmlformats.org/officeDocument/2006/relationships/image" Target="../media/image234.png"/><Relationship Id="rId58" Type="http://schemas.openxmlformats.org/officeDocument/2006/relationships/image" Target="../media/image239.png"/><Relationship Id="rId5" Type="http://schemas.openxmlformats.org/officeDocument/2006/relationships/image" Target="../media/image186.jpeg"/><Relationship Id="rId19" Type="http://schemas.openxmlformats.org/officeDocument/2006/relationships/image" Target="../media/image200.jpeg"/><Relationship Id="rId4" Type="http://schemas.openxmlformats.org/officeDocument/2006/relationships/image" Target="../media/image185.jpeg"/><Relationship Id="rId9" Type="http://schemas.openxmlformats.org/officeDocument/2006/relationships/image" Target="../media/image190.jpeg"/><Relationship Id="rId14" Type="http://schemas.openxmlformats.org/officeDocument/2006/relationships/image" Target="../media/image195.jpeg"/><Relationship Id="rId22" Type="http://schemas.openxmlformats.org/officeDocument/2006/relationships/image" Target="../media/image203.jpeg"/><Relationship Id="rId27" Type="http://schemas.openxmlformats.org/officeDocument/2006/relationships/image" Target="../media/image208.jpeg"/><Relationship Id="rId30" Type="http://schemas.openxmlformats.org/officeDocument/2006/relationships/image" Target="../media/image211.jpeg"/><Relationship Id="rId35" Type="http://schemas.openxmlformats.org/officeDocument/2006/relationships/image" Target="../media/image216.png"/><Relationship Id="rId43" Type="http://schemas.openxmlformats.org/officeDocument/2006/relationships/image" Target="../media/image224.png"/><Relationship Id="rId48" Type="http://schemas.openxmlformats.org/officeDocument/2006/relationships/image" Target="../media/image229.png"/><Relationship Id="rId56" Type="http://schemas.openxmlformats.org/officeDocument/2006/relationships/image" Target="../media/image237.png"/><Relationship Id="rId8" Type="http://schemas.openxmlformats.org/officeDocument/2006/relationships/image" Target="../media/image189.jpeg"/><Relationship Id="rId51" Type="http://schemas.openxmlformats.org/officeDocument/2006/relationships/image" Target="../media/image232.png"/><Relationship Id="rId3" Type="http://schemas.openxmlformats.org/officeDocument/2006/relationships/image" Target="../media/image184.jpeg"/><Relationship Id="rId12" Type="http://schemas.openxmlformats.org/officeDocument/2006/relationships/image" Target="../media/image193.jpeg"/><Relationship Id="rId17" Type="http://schemas.openxmlformats.org/officeDocument/2006/relationships/image" Target="../media/image198.jpeg"/><Relationship Id="rId25" Type="http://schemas.openxmlformats.org/officeDocument/2006/relationships/image" Target="../media/image206.jpeg"/><Relationship Id="rId33" Type="http://schemas.openxmlformats.org/officeDocument/2006/relationships/image" Target="../media/image214.png"/><Relationship Id="rId38" Type="http://schemas.openxmlformats.org/officeDocument/2006/relationships/image" Target="../media/image219.png"/><Relationship Id="rId46" Type="http://schemas.openxmlformats.org/officeDocument/2006/relationships/image" Target="../media/image227.png"/><Relationship Id="rId59" Type="http://schemas.openxmlformats.org/officeDocument/2006/relationships/image" Target="../media/image240.png"/><Relationship Id="rId20" Type="http://schemas.openxmlformats.org/officeDocument/2006/relationships/image" Target="../media/image201.jpeg"/><Relationship Id="rId41" Type="http://schemas.openxmlformats.org/officeDocument/2006/relationships/image" Target="../media/image222.png"/><Relationship Id="rId54" Type="http://schemas.openxmlformats.org/officeDocument/2006/relationships/image" Target="../media/image235.png"/><Relationship Id="rId1" Type="http://schemas.openxmlformats.org/officeDocument/2006/relationships/image" Target="../media/image182.jpeg"/><Relationship Id="rId6" Type="http://schemas.openxmlformats.org/officeDocument/2006/relationships/image" Target="../media/image187.jpeg"/><Relationship Id="rId15" Type="http://schemas.openxmlformats.org/officeDocument/2006/relationships/image" Target="../media/image196.jpeg"/><Relationship Id="rId23" Type="http://schemas.openxmlformats.org/officeDocument/2006/relationships/image" Target="../media/image204.jpeg"/><Relationship Id="rId28" Type="http://schemas.openxmlformats.org/officeDocument/2006/relationships/image" Target="../media/image209.jpeg"/><Relationship Id="rId36" Type="http://schemas.openxmlformats.org/officeDocument/2006/relationships/image" Target="../media/image217.png"/><Relationship Id="rId49" Type="http://schemas.openxmlformats.org/officeDocument/2006/relationships/image" Target="../media/image230.png"/><Relationship Id="rId57" Type="http://schemas.openxmlformats.org/officeDocument/2006/relationships/image" Target="../media/image238.png"/><Relationship Id="rId10" Type="http://schemas.openxmlformats.org/officeDocument/2006/relationships/image" Target="../media/image191.jpeg"/><Relationship Id="rId31" Type="http://schemas.openxmlformats.org/officeDocument/2006/relationships/image" Target="../media/image212.jpeg"/><Relationship Id="rId44" Type="http://schemas.openxmlformats.org/officeDocument/2006/relationships/image" Target="../media/image225.png"/><Relationship Id="rId52" Type="http://schemas.openxmlformats.org/officeDocument/2006/relationships/image" Target="../media/image233.png"/><Relationship Id="rId60" Type="http://schemas.openxmlformats.org/officeDocument/2006/relationships/image" Target="../media/image24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9.png"/><Relationship Id="rId13" Type="http://schemas.openxmlformats.org/officeDocument/2006/relationships/image" Target="../media/image254.png"/><Relationship Id="rId18" Type="http://schemas.openxmlformats.org/officeDocument/2006/relationships/image" Target="../media/image259.png"/><Relationship Id="rId3" Type="http://schemas.openxmlformats.org/officeDocument/2006/relationships/image" Target="../media/image244.png"/><Relationship Id="rId7" Type="http://schemas.openxmlformats.org/officeDocument/2006/relationships/image" Target="../media/image248.png"/><Relationship Id="rId12" Type="http://schemas.openxmlformats.org/officeDocument/2006/relationships/image" Target="../media/image253.png"/><Relationship Id="rId17" Type="http://schemas.openxmlformats.org/officeDocument/2006/relationships/image" Target="../media/image258.png"/><Relationship Id="rId2" Type="http://schemas.openxmlformats.org/officeDocument/2006/relationships/image" Target="../media/image243.png"/><Relationship Id="rId16" Type="http://schemas.openxmlformats.org/officeDocument/2006/relationships/image" Target="../media/image257.png"/><Relationship Id="rId20" Type="http://schemas.openxmlformats.org/officeDocument/2006/relationships/image" Target="../media/image261.png"/><Relationship Id="rId1" Type="http://schemas.openxmlformats.org/officeDocument/2006/relationships/image" Target="../media/image242.png"/><Relationship Id="rId6" Type="http://schemas.openxmlformats.org/officeDocument/2006/relationships/image" Target="../media/image247.png"/><Relationship Id="rId11" Type="http://schemas.openxmlformats.org/officeDocument/2006/relationships/image" Target="../media/image252.png"/><Relationship Id="rId5" Type="http://schemas.openxmlformats.org/officeDocument/2006/relationships/image" Target="../media/image246.png"/><Relationship Id="rId15" Type="http://schemas.openxmlformats.org/officeDocument/2006/relationships/image" Target="../media/image256.png"/><Relationship Id="rId10" Type="http://schemas.openxmlformats.org/officeDocument/2006/relationships/image" Target="../media/image251.png"/><Relationship Id="rId19" Type="http://schemas.openxmlformats.org/officeDocument/2006/relationships/image" Target="../media/image260.png"/><Relationship Id="rId4" Type="http://schemas.openxmlformats.org/officeDocument/2006/relationships/image" Target="../media/image245.png"/><Relationship Id="rId9" Type="http://schemas.openxmlformats.org/officeDocument/2006/relationships/image" Target="../media/image250.png"/><Relationship Id="rId14" Type="http://schemas.openxmlformats.org/officeDocument/2006/relationships/image" Target="../media/image25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133350</xdr:rowOff>
    </xdr:from>
    <xdr:to>
      <xdr:col>2</xdr:col>
      <xdr:colOff>819150</xdr:colOff>
      <xdr:row>17</xdr:row>
      <xdr:rowOff>57883</xdr:rowOff>
    </xdr:to>
    <xdr:pic>
      <xdr:nvPicPr>
        <xdr:cNvPr id="2" name="Obrázek 1" descr="CT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14425" y="1466850"/>
          <a:ext cx="1933575" cy="2210533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35</xdr:row>
      <xdr:rowOff>0</xdr:rowOff>
    </xdr:from>
    <xdr:to>
      <xdr:col>3</xdr:col>
      <xdr:colOff>352425</xdr:colOff>
      <xdr:row>45</xdr:row>
      <xdr:rowOff>94786</xdr:rowOff>
    </xdr:to>
    <xdr:pic>
      <xdr:nvPicPr>
        <xdr:cNvPr id="3" name="Obrázek 2" descr="CT11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14426" y="7058025"/>
          <a:ext cx="2428874" cy="1999786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285751</xdr:colOff>
      <xdr:row>5</xdr:row>
      <xdr:rowOff>123825</xdr:rowOff>
    </xdr:from>
    <xdr:to>
      <xdr:col>7</xdr:col>
      <xdr:colOff>63851</xdr:colOff>
      <xdr:row>17</xdr:row>
      <xdr:rowOff>76200</xdr:rowOff>
    </xdr:to>
    <xdr:pic>
      <xdr:nvPicPr>
        <xdr:cNvPr id="4" name="Obrázek 3" descr="CT2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143376" y="1685925"/>
          <a:ext cx="1987900" cy="2238375"/>
        </a:xfrm>
        <a:prstGeom prst="rect">
          <a:avLst/>
        </a:prstGeom>
      </xdr:spPr>
    </xdr:pic>
    <xdr:clientData/>
  </xdr:twoCellAnchor>
  <xdr:twoCellAnchor editAs="oneCell">
    <xdr:from>
      <xdr:col>7</xdr:col>
      <xdr:colOff>752476</xdr:colOff>
      <xdr:row>5</xdr:row>
      <xdr:rowOff>38100</xdr:rowOff>
    </xdr:from>
    <xdr:to>
      <xdr:col>9</xdr:col>
      <xdr:colOff>762001</xdr:colOff>
      <xdr:row>18</xdr:row>
      <xdr:rowOff>29441</xdr:rowOff>
    </xdr:to>
    <xdr:pic>
      <xdr:nvPicPr>
        <xdr:cNvPr id="5" name="Obrázek 4" descr="CT3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819901" y="1600200"/>
          <a:ext cx="2343150" cy="2467841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</xdr:colOff>
      <xdr:row>5</xdr:row>
      <xdr:rowOff>0</xdr:rowOff>
    </xdr:from>
    <xdr:to>
      <xdr:col>12</xdr:col>
      <xdr:colOff>904875</xdr:colOff>
      <xdr:row>17</xdr:row>
      <xdr:rowOff>169436</xdr:rowOff>
    </xdr:to>
    <xdr:pic>
      <xdr:nvPicPr>
        <xdr:cNvPr id="6" name="Obrázek 5" descr="CT4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1210925" y="1485900"/>
          <a:ext cx="2162175" cy="2455436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5</xdr:row>
      <xdr:rowOff>47626</xdr:rowOff>
    </xdr:from>
    <xdr:to>
      <xdr:col>14</xdr:col>
      <xdr:colOff>1019175</xdr:colOff>
      <xdr:row>18</xdr:row>
      <xdr:rowOff>25126</xdr:rowOff>
    </xdr:to>
    <xdr:pic>
      <xdr:nvPicPr>
        <xdr:cNvPr id="7" name="Obrázek 6" descr="CT5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4973300" y="1609726"/>
          <a:ext cx="2028825" cy="2454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</xdr:colOff>
      <xdr:row>4</xdr:row>
      <xdr:rowOff>152401</xdr:rowOff>
    </xdr:from>
    <xdr:to>
      <xdr:col>16</xdr:col>
      <xdr:colOff>885826</xdr:colOff>
      <xdr:row>18</xdr:row>
      <xdr:rowOff>10381</xdr:rowOff>
    </xdr:to>
    <xdr:pic>
      <xdr:nvPicPr>
        <xdr:cNvPr id="8" name="Obrázek 7" descr="CT6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6144876" y="1447801"/>
          <a:ext cx="2419350" cy="2601180"/>
        </a:xfrm>
        <a:prstGeom prst="rect">
          <a:avLst/>
        </a:prstGeom>
      </xdr:spPr>
    </xdr:pic>
    <xdr:clientData/>
  </xdr:twoCellAnchor>
  <xdr:twoCellAnchor editAs="oneCell">
    <xdr:from>
      <xdr:col>16</xdr:col>
      <xdr:colOff>1485901</xdr:colOff>
      <xdr:row>4</xdr:row>
      <xdr:rowOff>85725</xdr:rowOff>
    </xdr:from>
    <xdr:to>
      <xdr:col>18</xdr:col>
      <xdr:colOff>299293</xdr:colOff>
      <xdr:row>17</xdr:row>
      <xdr:rowOff>123825</xdr:rowOff>
    </xdr:to>
    <xdr:pic>
      <xdr:nvPicPr>
        <xdr:cNvPr id="9" name="Obrázek 8" descr="CT7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9164301" y="1381125"/>
          <a:ext cx="2356692" cy="2590800"/>
        </a:xfrm>
        <a:prstGeom prst="rect">
          <a:avLst/>
        </a:prstGeom>
      </xdr:spPr>
    </xdr:pic>
    <xdr:clientData/>
  </xdr:twoCellAnchor>
  <xdr:twoCellAnchor editAs="oneCell">
    <xdr:from>
      <xdr:col>18</xdr:col>
      <xdr:colOff>1133475</xdr:colOff>
      <xdr:row>4</xdr:row>
      <xdr:rowOff>152399</xdr:rowOff>
    </xdr:from>
    <xdr:to>
      <xdr:col>19</xdr:col>
      <xdr:colOff>1488592</xdr:colOff>
      <xdr:row>17</xdr:row>
      <xdr:rowOff>28574</xdr:rowOff>
    </xdr:to>
    <xdr:pic>
      <xdr:nvPicPr>
        <xdr:cNvPr id="10" name="Obrázek 9" descr="CT8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2355175" y="1447799"/>
          <a:ext cx="2164867" cy="242887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34</xdr:row>
      <xdr:rowOff>19050</xdr:rowOff>
    </xdr:from>
    <xdr:to>
      <xdr:col>7</xdr:col>
      <xdr:colOff>570672</xdr:colOff>
      <xdr:row>46</xdr:row>
      <xdr:rowOff>133350</xdr:rowOff>
    </xdr:to>
    <xdr:pic>
      <xdr:nvPicPr>
        <xdr:cNvPr id="11" name="Obrázek 10" descr="CT12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629150" y="7448550"/>
          <a:ext cx="2008947" cy="2400300"/>
        </a:xfrm>
        <a:prstGeom prst="rect">
          <a:avLst/>
        </a:prstGeom>
      </xdr:spPr>
    </xdr:pic>
    <xdr:clientData/>
  </xdr:twoCellAnchor>
  <xdr:twoCellAnchor editAs="oneCell">
    <xdr:from>
      <xdr:col>7</xdr:col>
      <xdr:colOff>1123951</xdr:colOff>
      <xdr:row>34</xdr:row>
      <xdr:rowOff>57151</xdr:rowOff>
    </xdr:from>
    <xdr:to>
      <xdr:col>10</xdr:col>
      <xdr:colOff>2207</xdr:colOff>
      <xdr:row>46</xdr:row>
      <xdr:rowOff>133351</xdr:rowOff>
    </xdr:to>
    <xdr:pic>
      <xdr:nvPicPr>
        <xdr:cNvPr id="12" name="Obrázek 11" descr="CT13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7191376" y="7486651"/>
          <a:ext cx="1983406" cy="2362200"/>
        </a:xfrm>
        <a:prstGeom prst="rect">
          <a:avLst/>
        </a:prstGeom>
      </xdr:spPr>
    </xdr:pic>
    <xdr:clientData/>
  </xdr:twoCellAnchor>
  <xdr:twoCellAnchor editAs="oneCell">
    <xdr:from>
      <xdr:col>10</xdr:col>
      <xdr:colOff>438150</xdr:colOff>
      <xdr:row>34</xdr:row>
      <xdr:rowOff>85725</xdr:rowOff>
    </xdr:from>
    <xdr:to>
      <xdr:col>12</xdr:col>
      <xdr:colOff>295275</xdr:colOff>
      <xdr:row>46</xdr:row>
      <xdr:rowOff>146014</xdr:rowOff>
    </xdr:to>
    <xdr:pic>
      <xdr:nvPicPr>
        <xdr:cNvPr id="14" name="Obrázek 13" descr="CT14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610725" y="7515225"/>
          <a:ext cx="2019300" cy="2346289"/>
        </a:xfrm>
        <a:prstGeom prst="rect">
          <a:avLst/>
        </a:prstGeom>
      </xdr:spPr>
    </xdr:pic>
    <xdr:clientData/>
  </xdr:twoCellAnchor>
  <xdr:twoCellAnchor editAs="oneCell">
    <xdr:from>
      <xdr:col>12</xdr:col>
      <xdr:colOff>885825</xdr:colOff>
      <xdr:row>34</xdr:row>
      <xdr:rowOff>104775</xdr:rowOff>
    </xdr:from>
    <xdr:to>
      <xdr:col>14</xdr:col>
      <xdr:colOff>1333500</xdr:colOff>
      <xdr:row>46</xdr:row>
      <xdr:rowOff>106662</xdr:rowOff>
    </xdr:to>
    <xdr:pic>
      <xdr:nvPicPr>
        <xdr:cNvPr id="15" name="Obrázek 14" descr="CT15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2220575" y="7534275"/>
          <a:ext cx="3514725" cy="2287887"/>
        </a:xfrm>
        <a:prstGeom prst="rect">
          <a:avLst/>
        </a:prstGeom>
      </xdr:spPr>
    </xdr:pic>
    <xdr:clientData/>
  </xdr:twoCellAnchor>
  <xdr:twoCellAnchor editAs="oneCell">
    <xdr:from>
      <xdr:col>15</xdr:col>
      <xdr:colOff>76200</xdr:colOff>
      <xdr:row>34</xdr:row>
      <xdr:rowOff>114300</xdr:rowOff>
    </xdr:from>
    <xdr:to>
      <xdr:col>16</xdr:col>
      <xdr:colOff>704850</xdr:colOff>
      <xdr:row>46</xdr:row>
      <xdr:rowOff>109859</xdr:rowOff>
    </xdr:to>
    <xdr:pic>
      <xdr:nvPicPr>
        <xdr:cNvPr id="16" name="Obrázek 15" descr="CT16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6221075" y="7543800"/>
          <a:ext cx="2162175" cy="2281559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</xdr:colOff>
      <xdr:row>34</xdr:row>
      <xdr:rowOff>123825</xdr:rowOff>
    </xdr:from>
    <xdr:to>
      <xdr:col>18</xdr:col>
      <xdr:colOff>105995</xdr:colOff>
      <xdr:row>47</xdr:row>
      <xdr:rowOff>28575</xdr:rowOff>
    </xdr:to>
    <xdr:pic>
      <xdr:nvPicPr>
        <xdr:cNvPr id="17" name="Obrázek 16" descr="CT17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9354800" y="7553325"/>
          <a:ext cx="1972895" cy="2381250"/>
        </a:xfrm>
        <a:prstGeom prst="rect">
          <a:avLst/>
        </a:prstGeom>
      </xdr:spPr>
    </xdr:pic>
    <xdr:clientData/>
  </xdr:twoCellAnchor>
  <xdr:twoCellAnchor editAs="oneCell">
    <xdr:from>
      <xdr:col>18</xdr:col>
      <xdr:colOff>581026</xdr:colOff>
      <xdr:row>34</xdr:row>
      <xdr:rowOff>47626</xdr:rowOff>
    </xdr:from>
    <xdr:to>
      <xdr:col>19</xdr:col>
      <xdr:colOff>1600200</xdr:colOff>
      <xdr:row>47</xdr:row>
      <xdr:rowOff>16626</xdr:rowOff>
    </xdr:to>
    <xdr:pic>
      <xdr:nvPicPr>
        <xdr:cNvPr id="20" name="Obrázek 19" descr="CT18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21802726" y="7477126"/>
          <a:ext cx="2828924" cy="2445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781051</xdr:colOff>
      <xdr:row>4</xdr:row>
      <xdr:rowOff>47625</xdr:rowOff>
    </xdr:from>
    <xdr:to>
      <xdr:col>5</xdr:col>
      <xdr:colOff>753633</xdr:colOff>
      <xdr:row>19</xdr:row>
      <xdr:rowOff>152400</xdr:rowOff>
    </xdr:to>
    <xdr:pic>
      <xdr:nvPicPr>
        <xdr:cNvPr id="2" name="Obrázek 1" descr="SU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1051" y="1152525"/>
          <a:ext cx="4716032" cy="2905125"/>
        </a:xfrm>
        <a:prstGeom prst="rect">
          <a:avLst/>
        </a:prstGeom>
      </xdr:spPr>
    </xdr:pic>
    <xdr:clientData/>
  </xdr:twoCellAnchor>
  <xdr:twoCellAnchor editAs="oneCell">
    <xdr:from>
      <xdr:col>5</xdr:col>
      <xdr:colOff>942976</xdr:colOff>
      <xdr:row>4</xdr:row>
      <xdr:rowOff>38101</xdr:rowOff>
    </xdr:from>
    <xdr:to>
      <xdr:col>13</xdr:col>
      <xdr:colOff>83379</xdr:colOff>
      <xdr:row>20</xdr:row>
      <xdr:rowOff>9525</xdr:rowOff>
    </xdr:to>
    <xdr:pic>
      <xdr:nvPicPr>
        <xdr:cNvPr id="3" name="Obrázek 2" descr="SU2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686426" y="1143001"/>
          <a:ext cx="5960303" cy="2952749"/>
        </a:xfrm>
        <a:prstGeom prst="rect">
          <a:avLst/>
        </a:prstGeom>
      </xdr:spPr>
    </xdr:pic>
    <xdr:clientData/>
  </xdr:twoCellAnchor>
  <xdr:twoCellAnchor editAs="oneCell">
    <xdr:from>
      <xdr:col>13</xdr:col>
      <xdr:colOff>723900</xdr:colOff>
      <xdr:row>4</xdr:row>
      <xdr:rowOff>19050</xdr:rowOff>
    </xdr:from>
    <xdr:to>
      <xdr:col>16</xdr:col>
      <xdr:colOff>1514475</xdr:colOff>
      <xdr:row>20</xdr:row>
      <xdr:rowOff>91632</xdr:rowOff>
    </xdr:to>
    <xdr:pic>
      <xdr:nvPicPr>
        <xdr:cNvPr id="4" name="Obrázek 3" descr="SU3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287250" y="1123950"/>
          <a:ext cx="4267200" cy="3053907"/>
        </a:xfrm>
        <a:prstGeom prst="rect">
          <a:avLst/>
        </a:prstGeom>
      </xdr:spPr>
    </xdr:pic>
    <xdr:clientData/>
  </xdr:twoCellAnchor>
  <xdr:twoCellAnchor editAs="oneCell">
    <xdr:from>
      <xdr:col>17</xdr:col>
      <xdr:colOff>419099</xdr:colOff>
      <xdr:row>4</xdr:row>
      <xdr:rowOff>19050</xdr:rowOff>
    </xdr:from>
    <xdr:to>
      <xdr:col>19</xdr:col>
      <xdr:colOff>1233487</xdr:colOff>
      <xdr:row>20</xdr:row>
      <xdr:rowOff>50941</xdr:rowOff>
    </xdr:to>
    <xdr:pic>
      <xdr:nvPicPr>
        <xdr:cNvPr id="5" name="Obrázek 4" descr="SU4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183099" y="1123950"/>
          <a:ext cx="3976688" cy="3013216"/>
        </a:xfrm>
        <a:prstGeom prst="rect">
          <a:avLst/>
        </a:prstGeom>
      </xdr:spPr>
    </xdr:pic>
    <xdr:clientData/>
  </xdr:twoCellAnchor>
  <xdr:twoCellAnchor editAs="oneCell">
    <xdr:from>
      <xdr:col>20</xdr:col>
      <xdr:colOff>476250</xdr:colOff>
      <xdr:row>3</xdr:row>
      <xdr:rowOff>118598</xdr:rowOff>
    </xdr:from>
    <xdr:to>
      <xdr:col>22</xdr:col>
      <xdr:colOff>962025</xdr:colOff>
      <xdr:row>21</xdr:row>
      <xdr:rowOff>163803</xdr:rowOff>
    </xdr:to>
    <xdr:pic>
      <xdr:nvPicPr>
        <xdr:cNvPr id="6" name="Obrázek 5" descr="SU5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1736050" y="1032998"/>
          <a:ext cx="3609975" cy="3398005"/>
        </a:xfrm>
        <a:prstGeom prst="rect">
          <a:avLst/>
        </a:prstGeom>
      </xdr:spPr>
    </xdr:pic>
    <xdr:clientData/>
  </xdr:twoCellAnchor>
  <xdr:twoCellAnchor editAs="oneCell">
    <xdr:from>
      <xdr:col>22</xdr:col>
      <xdr:colOff>1485900</xdr:colOff>
      <xdr:row>4</xdr:row>
      <xdr:rowOff>28576</xdr:rowOff>
    </xdr:from>
    <xdr:to>
      <xdr:col>26</xdr:col>
      <xdr:colOff>411957</xdr:colOff>
      <xdr:row>20</xdr:row>
      <xdr:rowOff>177239</xdr:rowOff>
    </xdr:to>
    <xdr:pic>
      <xdr:nvPicPr>
        <xdr:cNvPr id="7" name="Obrázek 6" descr="SU6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5869900" y="1133476"/>
          <a:ext cx="6279357" cy="3129988"/>
        </a:xfrm>
        <a:prstGeom prst="rect">
          <a:avLst/>
        </a:prstGeom>
      </xdr:spPr>
    </xdr:pic>
    <xdr:clientData/>
  </xdr:twoCellAnchor>
  <xdr:twoCellAnchor editAs="oneCell">
    <xdr:from>
      <xdr:col>26</xdr:col>
      <xdr:colOff>1390651</xdr:colOff>
      <xdr:row>3</xdr:row>
      <xdr:rowOff>80243</xdr:rowOff>
    </xdr:from>
    <xdr:to>
      <xdr:col>28</xdr:col>
      <xdr:colOff>661988</xdr:colOff>
      <xdr:row>21</xdr:row>
      <xdr:rowOff>76201</xdr:rowOff>
    </xdr:to>
    <xdr:pic>
      <xdr:nvPicPr>
        <xdr:cNvPr id="8" name="Obrázek 7" descr="SU7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3127951" y="994643"/>
          <a:ext cx="3309937" cy="3348758"/>
        </a:xfrm>
        <a:prstGeom prst="rect">
          <a:avLst/>
        </a:prstGeom>
      </xdr:spPr>
    </xdr:pic>
    <xdr:clientData/>
  </xdr:twoCellAnchor>
  <xdr:twoCellAnchor editAs="oneCell">
    <xdr:from>
      <xdr:col>28</xdr:col>
      <xdr:colOff>1390651</xdr:colOff>
      <xdr:row>3</xdr:row>
      <xdr:rowOff>95250</xdr:rowOff>
    </xdr:from>
    <xdr:to>
      <xdr:col>34</xdr:col>
      <xdr:colOff>673894</xdr:colOff>
      <xdr:row>21</xdr:row>
      <xdr:rowOff>4249</xdr:rowOff>
    </xdr:to>
    <xdr:pic>
      <xdr:nvPicPr>
        <xdr:cNvPr id="9" name="Obrázek 8" descr="SU8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7166551" y="1009650"/>
          <a:ext cx="4760118" cy="3261799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314326</xdr:colOff>
      <xdr:row>72</xdr:row>
      <xdr:rowOff>85726</xdr:rowOff>
    </xdr:from>
    <xdr:to>
      <xdr:col>5</xdr:col>
      <xdr:colOff>1050132</xdr:colOff>
      <xdr:row>87</xdr:row>
      <xdr:rowOff>136620</xdr:rowOff>
    </xdr:to>
    <xdr:pic>
      <xdr:nvPicPr>
        <xdr:cNvPr id="10" name="Obrázek 9" descr="US1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123951" y="14249401"/>
          <a:ext cx="4669631" cy="2908394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161926</xdr:colOff>
      <xdr:row>72</xdr:row>
      <xdr:rowOff>38101</xdr:rowOff>
    </xdr:from>
    <xdr:to>
      <xdr:col>13</xdr:col>
      <xdr:colOff>14289</xdr:colOff>
      <xdr:row>86</xdr:row>
      <xdr:rowOff>130475</xdr:rowOff>
    </xdr:to>
    <xdr:pic>
      <xdr:nvPicPr>
        <xdr:cNvPr id="11" name="Obrázek 10" descr="US2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6076951" y="14392276"/>
          <a:ext cx="5500688" cy="2759374"/>
        </a:xfrm>
        <a:prstGeom prst="rect">
          <a:avLst/>
        </a:prstGeom>
      </xdr:spPr>
    </xdr:pic>
    <xdr:clientData/>
  </xdr:twoCellAnchor>
  <xdr:twoCellAnchor editAs="oneCell">
    <xdr:from>
      <xdr:col>13</xdr:col>
      <xdr:colOff>704850</xdr:colOff>
      <xdr:row>72</xdr:row>
      <xdr:rowOff>66675</xdr:rowOff>
    </xdr:from>
    <xdr:to>
      <xdr:col>16</xdr:col>
      <xdr:colOff>1404779</xdr:colOff>
      <xdr:row>86</xdr:row>
      <xdr:rowOff>76200</xdr:rowOff>
    </xdr:to>
    <xdr:pic>
      <xdr:nvPicPr>
        <xdr:cNvPr id="12" name="Obrázek 11" descr="US3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2268200" y="14420850"/>
          <a:ext cx="4176554" cy="2676525"/>
        </a:xfrm>
        <a:prstGeom prst="rect">
          <a:avLst/>
        </a:prstGeom>
      </xdr:spPr>
    </xdr:pic>
    <xdr:clientData/>
  </xdr:twoCellAnchor>
  <xdr:twoCellAnchor editAs="oneCell">
    <xdr:from>
      <xdr:col>17</xdr:col>
      <xdr:colOff>609600</xdr:colOff>
      <xdr:row>72</xdr:row>
      <xdr:rowOff>57150</xdr:rowOff>
    </xdr:from>
    <xdr:to>
      <xdr:col>19</xdr:col>
      <xdr:colOff>1019174</xdr:colOff>
      <xdr:row>86</xdr:row>
      <xdr:rowOff>171679</xdr:rowOff>
    </xdr:to>
    <xdr:pic>
      <xdr:nvPicPr>
        <xdr:cNvPr id="13" name="Obrázek 12" descr="US4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7373600" y="14411325"/>
          <a:ext cx="3571874" cy="2781529"/>
        </a:xfrm>
        <a:prstGeom prst="rect">
          <a:avLst/>
        </a:prstGeom>
      </xdr:spPr>
    </xdr:pic>
    <xdr:clientData/>
  </xdr:twoCellAnchor>
  <xdr:twoCellAnchor editAs="oneCell">
    <xdr:from>
      <xdr:col>20</xdr:col>
      <xdr:colOff>752475</xdr:colOff>
      <xdr:row>72</xdr:row>
      <xdr:rowOff>47625</xdr:rowOff>
    </xdr:from>
    <xdr:to>
      <xdr:col>22</xdr:col>
      <xdr:colOff>501452</xdr:colOff>
      <xdr:row>87</xdr:row>
      <xdr:rowOff>57150</xdr:rowOff>
    </xdr:to>
    <xdr:pic>
      <xdr:nvPicPr>
        <xdr:cNvPr id="14" name="Obrázek 13" descr="US5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22012275" y="14401800"/>
          <a:ext cx="2873177" cy="2867025"/>
        </a:xfrm>
        <a:prstGeom prst="rect">
          <a:avLst/>
        </a:prstGeom>
      </xdr:spPr>
    </xdr:pic>
    <xdr:clientData/>
  </xdr:twoCellAnchor>
  <xdr:twoCellAnchor editAs="oneCell">
    <xdr:from>
      <xdr:col>22</xdr:col>
      <xdr:colOff>1038225</xdr:colOff>
      <xdr:row>72</xdr:row>
      <xdr:rowOff>19050</xdr:rowOff>
    </xdr:from>
    <xdr:to>
      <xdr:col>25</xdr:col>
      <xdr:colOff>1333500</xdr:colOff>
      <xdr:row>87</xdr:row>
      <xdr:rowOff>111359</xdr:rowOff>
    </xdr:to>
    <xdr:pic>
      <xdr:nvPicPr>
        <xdr:cNvPr id="15" name="Obrázek 14" descr="US6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5422225" y="14373225"/>
          <a:ext cx="5848350" cy="2949809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72</xdr:row>
      <xdr:rowOff>123826</xdr:rowOff>
    </xdr:from>
    <xdr:to>
      <xdr:col>28</xdr:col>
      <xdr:colOff>841732</xdr:colOff>
      <xdr:row>87</xdr:row>
      <xdr:rowOff>161926</xdr:rowOff>
    </xdr:to>
    <xdr:pic>
      <xdr:nvPicPr>
        <xdr:cNvPr id="16" name="Obrázek 15" descr="US7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31737300" y="14478001"/>
          <a:ext cx="4880332" cy="2895600"/>
        </a:xfrm>
        <a:prstGeom prst="rect">
          <a:avLst/>
        </a:prstGeom>
      </xdr:spPr>
    </xdr:pic>
    <xdr:clientData/>
  </xdr:twoCellAnchor>
  <xdr:twoCellAnchor editAs="oneCell">
    <xdr:from>
      <xdr:col>28</xdr:col>
      <xdr:colOff>1666875</xdr:colOff>
      <xdr:row>72</xdr:row>
      <xdr:rowOff>85725</xdr:rowOff>
    </xdr:from>
    <xdr:to>
      <xdr:col>34</xdr:col>
      <xdr:colOff>392561</xdr:colOff>
      <xdr:row>87</xdr:row>
      <xdr:rowOff>152400</xdr:rowOff>
    </xdr:to>
    <xdr:pic>
      <xdr:nvPicPr>
        <xdr:cNvPr id="17" name="Obrázek 16" descr="US8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7442775" y="14439900"/>
          <a:ext cx="4202561" cy="2924175"/>
        </a:xfrm>
        <a:prstGeom prst="rect">
          <a:avLst/>
        </a:prstGeom>
      </xdr:spPr>
    </xdr:pic>
    <xdr:clientData/>
  </xdr:twoCellAnchor>
  <xdr:twoCellAnchor editAs="oneCell">
    <xdr:from>
      <xdr:col>35</xdr:col>
      <xdr:colOff>545307</xdr:colOff>
      <xdr:row>3</xdr:row>
      <xdr:rowOff>138113</xdr:rowOff>
    </xdr:from>
    <xdr:to>
      <xdr:col>41</xdr:col>
      <xdr:colOff>314326</xdr:colOff>
      <xdr:row>21</xdr:row>
      <xdr:rowOff>135858</xdr:rowOff>
    </xdr:to>
    <xdr:pic>
      <xdr:nvPicPr>
        <xdr:cNvPr id="18" name="Obrázek 17" descr="9SU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42702957" y="1052513"/>
          <a:ext cx="4198144" cy="3350545"/>
        </a:xfrm>
        <a:prstGeom prst="rect">
          <a:avLst/>
        </a:prstGeom>
      </xdr:spPr>
    </xdr:pic>
    <xdr:clientData/>
  </xdr:twoCellAnchor>
  <xdr:twoCellAnchor editAs="oneCell">
    <xdr:from>
      <xdr:col>42</xdr:col>
      <xdr:colOff>257175</xdr:colOff>
      <xdr:row>3</xdr:row>
      <xdr:rowOff>104775</xdr:rowOff>
    </xdr:from>
    <xdr:to>
      <xdr:col>46</xdr:col>
      <xdr:colOff>660097</xdr:colOff>
      <xdr:row>22</xdr:row>
      <xdr:rowOff>57150</xdr:rowOff>
    </xdr:to>
    <xdr:pic>
      <xdr:nvPicPr>
        <xdr:cNvPr id="19" name="Obrázek 18" descr="10SU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7196375" y="1019175"/>
          <a:ext cx="3908122" cy="3486150"/>
        </a:xfrm>
        <a:prstGeom prst="rect">
          <a:avLst/>
        </a:prstGeom>
      </xdr:spPr>
    </xdr:pic>
    <xdr:clientData/>
  </xdr:twoCellAnchor>
  <xdr:twoCellAnchor editAs="oneCell">
    <xdr:from>
      <xdr:col>46</xdr:col>
      <xdr:colOff>1228725</xdr:colOff>
      <xdr:row>3</xdr:row>
      <xdr:rowOff>19050</xdr:rowOff>
    </xdr:from>
    <xdr:to>
      <xdr:col>50</xdr:col>
      <xdr:colOff>507205</xdr:colOff>
      <xdr:row>22</xdr:row>
      <xdr:rowOff>102273</xdr:rowOff>
    </xdr:to>
    <xdr:pic>
      <xdr:nvPicPr>
        <xdr:cNvPr id="20" name="Obrázek 19" descr="11SU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51673125" y="933450"/>
          <a:ext cx="4279105" cy="3616998"/>
        </a:xfrm>
        <a:prstGeom prst="rect">
          <a:avLst/>
        </a:prstGeom>
      </xdr:spPr>
    </xdr:pic>
    <xdr:clientData/>
  </xdr:twoCellAnchor>
  <xdr:twoCellAnchor editAs="oneCell">
    <xdr:from>
      <xdr:col>50</xdr:col>
      <xdr:colOff>1200150</xdr:colOff>
      <xdr:row>3</xdr:row>
      <xdr:rowOff>9525</xdr:rowOff>
    </xdr:from>
    <xdr:to>
      <xdr:col>53</xdr:col>
      <xdr:colOff>1057275</xdr:colOff>
      <xdr:row>22</xdr:row>
      <xdr:rowOff>108892</xdr:rowOff>
    </xdr:to>
    <xdr:pic>
      <xdr:nvPicPr>
        <xdr:cNvPr id="21" name="Obrázek 20" descr="12SU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56645175" y="923925"/>
          <a:ext cx="3362325" cy="3633142"/>
        </a:xfrm>
        <a:prstGeom prst="rect">
          <a:avLst/>
        </a:prstGeom>
      </xdr:spPr>
    </xdr:pic>
    <xdr:clientData/>
  </xdr:twoCellAnchor>
  <xdr:twoCellAnchor editAs="oneCell">
    <xdr:from>
      <xdr:col>54</xdr:col>
      <xdr:colOff>457200</xdr:colOff>
      <xdr:row>3</xdr:row>
      <xdr:rowOff>28577</xdr:rowOff>
    </xdr:from>
    <xdr:to>
      <xdr:col>56</xdr:col>
      <xdr:colOff>1164439</xdr:colOff>
      <xdr:row>22</xdr:row>
      <xdr:rowOff>85726</xdr:rowOff>
    </xdr:to>
    <xdr:pic>
      <xdr:nvPicPr>
        <xdr:cNvPr id="22" name="Obrázek 21" descr="13SU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60693300" y="942977"/>
          <a:ext cx="4164814" cy="3590924"/>
        </a:xfrm>
        <a:prstGeom prst="rect">
          <a:avLst/>
        </a:prstGeom>
      </xdr:spPr>
    </xdr:pic>
    <xdr:clientData/>
  </xdr:twoCellAnchor>
  <xdr:twoCellAnchor editAs="oneCell">
    <xdr:from>
      <xdr:col>57</xdr:col>
      <xdr:colOff>323850</xdr:colOff>
      <xdr:row>3</xdr:row>
      <xdr:rowOff>0</xdr:rowOff>
    </xdr:from>
    <xdr:to>
      <xdr:col>60</xdr:col>
      <xdr:colOff>366712</xdr:colOff>
      <xdr:row>22</xdr:row>
      <xdr:rowOff>151108</xdr:rowOff>
    </xdr:to>
    <xdr:pic>
      <xdr:nvPicPr>
        <xdr:cNvPr id="23" name="Obrázek 22" descr="14SU.jp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65303400" y="914400"/>
          <a:ext cx="4376737" cy="3684883"/>
        </a:xfrm>
        <a:prstGeom prst="rect">
          <a:avLst/>
        </a:prstGeom>
      </xdr:spPr>
    </xdr:pic>
    <xdr:clientData/>
  </xdr:twoCellAnchor>
  <xdr:twoCellAnchor editAs="oneCell">
    <xdr:from>
      <xdr:col>35</xdr:col>
      <xdr:colOff>600076</xdr:colOff>
      <xdr:row>72</xdr:row>
      <xdr:rowOff>142875</xdr:rowOff>
    </xdr:from>
    <xdr:to>
      <xdr:col>40</xdr:col>
      <xdr:colOff>76201</xdr:colOff>
      <xdr:row>87</xdr:row>
      <xdr:rowOff>135798</xdr:rowOff>
    </xdr:to>
    <xdr:pic>
      <xdr:nvPicPr>
        <xdr:cNvPr id="24" name="Obrázek 23" descr="9US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42757726" y="14497050"/>
          <a:ext cx="3219450" cy="2850423"/>
        </a:xfrm>
        <a:prstGeom prst="rect">
          <a:avLst/>
        </a:prstGeom>
      </xdr:spPr>
    </xdr:pic>
    <xdr:clientData/>
  </xdr:twoCellAnchor>
  <xdr:twoCellAnchor editAs="oneCell">
    <xdr:from>
      <xdr:col>41</xdr:col>
      <xdr:colOff>171450</xdr:colOff>
      <xdr:row>72</xdr:row>
      <xdr:rowOff>114300</xdr:rowOff>
    </xdr:from>
    <xdr:to>
      <xdr:col>45</xdr:col>
      <xdr:colOff>421481</xdr:colOff>
      <xdr:row>87</xdr:row>
      <xdr:rowOff>65684</xdr:rowOff>
    </xdr:to>
    <xdr:pic>
      <xdr:nvPicPr>
        <xdr:cNvPr id="25" name="Obrázek 24" descr="10US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46758225" y="14468475"/>
          <a:ext cx="3117056" cy="2808884"/>
        </a:xfrm>
        <a:prstGeom prst="rect">
          <a:avLst/>
        </a:prstGeom>
      </xdr:spPr>
    </xdr:pic>
    <xdr:clientData/>
  </xdr:twoCellAnchor>
  <xdr:twoCellAnchor editAs="oneCell">
    <xdr:from>
      <xdr:col>46</xdr:col>
      <xdr:colOff>581026</xdr:colOff>
      <xdr:row>72</xdr:row>
      <xdr:rowOff>38100</xdr:rowOff>
    </xdr:from>
    <xdr:to>
      <xdr:col>48</xdr:col>
      <xdr:colOff>1214439</xdr:colOff>
      <xdr:row>87</xdr:row>
      <xdr:rowOff>116046</xdr:rowOff>
    </xdr:to>
    <xdr:pic>
      <xdr:nvPicPr>
        <xdr:cNvPr id="26" name="Obrázek 25" descr="11US.jp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51025426" y="14392275"/>
          <a:ext cx="3328988" cy="2935446"/>
        </a:xfrm>
        <a:prstGeom prst="rect">
          <a:avLst/>
        </a:prstGeom>
      </xdr:spPr>
    </xdr:pic>
    <xdr:clientData/>
  </xdr:twoCellAnchor>
  <xdr:twoCellAnchor editAs="oneCell">
    <xdr:from>
      <xdr:col>49</xdr:col>
      <xdr:colOff>647701</xdr:colOff>
      <xdr:row>72</xdr:row>
      <xdr:rowOff>95250</xdr:rowOff>
    </xdr:from>
    <xdr:to>
      <xdr:col>53</xdr:col>
      <xdr:colOff>507207</xdr:colOff>
      <xdr:row>87</xdr:row>
      <xdr:rowOff>119410</xdr:rowOff>
    </xdr:to>
    <xdr:pic>
      <xdr:nvPicPr>
        <xdr:cNvPr id="27" name="Obrázek 26" descr="12US.jp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55073551" y="14449425"/>
          <a:ext cx="4383881" cy="2881660"/>
        </a:xfrm>
        <a:prstGeom prst="rect">
          <a:avLst/>
        </a:prstGeom>
      </xdr:spPr>
    </xdr:pic>
    <xdr:clientData/>
  </xdr:twoCellAnchor>
  <xdr:twoCellAnchor editAs="oneCell">
    <xdr:from>
      <xdr:col>54</xdr:col>
      <xdr:colOff>962025</xdr:colOff>
      <xdr:row>72</xdr:row>
      <xdr:rowOff>114300</xdr:rowOff>
    </xdr:from>
    <xdr:to>
      <xdr:col>56</xdr:col>
      <xdr:colOff>707231</xdr:colOff>
      <xdr:row>87</xdr:row>
      <xdr:rowOff>151997</xdr:rowOff>
    </xdr:to>
    <xdr:pic>
      <xdr:nvPicPr>
        <xdr:cNvPr id="28" name="Obrázek 27" descr="13US.jp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61198125" y="14468475"/>
          <a:ext cx="3202781" cy="2895197"/>
        </a:xfrm>
        <a:prstGeom prst="rect">
          <a:avLst/>
        </a:prstGeom>
      </xdr:spPr>
    </xdr:pic>
    <xdr:clientData/>
  </xdr:twoCellAnchor>
  <xdr:twoCellAnchor editAs="oneCell">
    <xdr:from>
      <xdr:col>57</xdr:col>
      <xdr:colOff>740556</xdr:colOff>
      <xdr:row>72</xdr:row>
      <xdr:rowOff>95250</xdr:rowOff>
    </xdr:from>
    <xdr:to>
      <xdr:col>59</xdr:col>
      <xdr:colOff>751626</xdr:colOff>
      <xdr:row>87</xdr:row>
      <xdr:rowOff>166687</xdr:rowOff>
    </xdr:to>
    <xdr:pic>
      <xdr:nvPicPr>
        <xdr:cNvPr id="29" name="Obrázek 28" descr="14US.jp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65720106" y="14449425"/>
          <a:ext cx="3535320" cy="2928937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144</xdr:row>
      <xdr:rowOff>9525</xdr:rowOff>
    </xdr:from>
    <xdr:to>
      <xdr:col>14</xdr:col>
      <xdr:colOff>200024</xdr:colOff>
      <xdr:row>166</xdr:row>
      <xdr:rowOff>76200</xdr:rowOff>
    </xdr:to>
    <xdr:pic>
      <xdr:nvPicPr>
        <xdr:cNvPr id="30" name="Obrázek 29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029450" y="27755850"/>
          <a:ext cx="6200774" cy="425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144</xdr:row>
      <xdr:rowOff>9524</xdr:rowOff>
    </xdr:from>
    <xdr:to>
      <xdr:col>6</xdr:col>
      <xdr:colOff>428625</xdr:colOff>
      <xdr:row>162</xdr:row>
      <xdr:rowOff>181651</xdr:rowOff>
    </xdr:to>
    <xdr:pic>
      <xdr:nvPicPr>
        <xdr:cNvPr id="31" name="Obrázek 30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7755849"/>
          <a:ext cx="6334125" cy="3601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170</xdr:row>
      <xdr:rowOff>1</xdr:rowOff>
    </xdr:from>
    <xdr:to>
      <xdr:col>6</xdr:col>
      <xdr:colOff>428625</xdr:colOff>
      <xdr:row>186</xdr:row>
      <xdr:rowOff>12403</xdr:rowOff>
    </xdr:to>
    <xdr:pic>
      <xdr:nvPicPr>
        <xdr:cNvPr id="32" name="Obrázek 31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699326"/>
          <a:ext cx="6343650" cy="3060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</xdr:colOff>
      <xdr:row>170</xdr:row>
      <xdr:rowOff>0</xdr:rowOff>
    </xdr:from>
    <xdr:to>
      <xdr:col>14</xdr:col>
      <xdr:colOff>190500</xdr:colOff>
      <xdr:row>192</xdr:row>
      <xdr:rowOff>66674</xdr:rowOff>
    </xdr:to>
    <xdr:pic>
      <xdr:nvPicPr>
        <xdr:cNvPr id="33" name="Obrázek 32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029450" y="32699325"/>
          <a:ext cx="6191250" cy="4257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195</xdr:row>
      <xdr:rowOff>19051</xdr:rowOff>
    </xdr:from>
    <xdr:to>
      <xdr:col>5</xdr:col>
      <xdr:colOff>66675</xdr:colOff>
      <xdr:row>217</xdr:row>
      <xdr:rowOff>104518</xdr:rowOff>
    </xdr:to>
    <xdr:pic>
      <xdr:nvPicPr>
        <xdr:cNvPr id="34" name="Obrázek 33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7480876"/>
          <a:ext cx="4810124" cy="4276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</xdr:colOff>
      <xdr:row>195</xdr:row>
      <xdr:rowOff>9525</xdr:rowOff>
    </xdr:from>
    <xdr:to>
      <xdr:col>14</xdr:col>
      <xdr:colOff>190500</xdr:colOff>
      <xdr:row>217</xdr:row>
      <xdr:rowOff>76199</xdr:rowOff>
    </xdr:to>
    <xdr:pic>
      <xdr:nvPicPr>
        <xdr:cNvPr id="35" name="Obrázek 34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029450" y="37471350"/>
          <a:ext cx="6191250" cy="4257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</xdr:colOff>
      <xdr:row>220</xdr:row>
      <xdr:rowOff>19050</xdr:rowOff>
    </xdr:from>
    <xdr:to>
      <xdr:col>14</xdr:col>
      <xdr:colOff>180974</xdr:colOff>
      <xdr:row>242</xdr:row>
      <xdr:rowOff>95250</xdr:rowOff>
    </xdr:to>
    <xdr:pic>
      <xdr:nvPicPr>
        <xdr:cNvPr id="36" name="Obrázek 35"/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038975" y="42243375"/>
          <a:ext cx="6172199" cy="426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221</xdr:row>
      <xdr:rowOff>28575</xdr:rowOff>
    </xdr:from>
    <xdr:to>
      <xdr:col>5</xdr:col>
      <xdr:colOff>1149032</xdr:colOff>
      <xdr:row>241</xdr:row>
      <xdr:rowOff>57150</xdr:rowOff>
    </xdr:to>
    <xdr:pic>
      <xdr:nvPicPr>
        <xdr:cNvPr id="37" name="Obrázek 36"/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443400"/>
          <a:ext cx="5892482" cy="383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</xdr:colOff>
      <xdr:row>245</xdr:row>
      <xdr:rowOff>9525</xdr:rowOff>
    </xdr:from>
    <xdr:to>
      <xdr:col>14</xdr:col>
      <xdr:colOff>180975</xdr:colOff>
      <xdr:row>267</xdr:row>
      <xdr:rowOff>66674</xdr:rowOff>
    </xdr:to>
    <xdr:pic>
      <xdr:nvPicPr>
        <xdr:cNvPr id="38" name="Obrázek 37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029450" y="46996350"/>
          <a:ext cx="6181725" cy="4248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9526</xdr:colOff>
      <xdr:row>245</xdr:row>
      <xdr:rowOff>19050</xdr:rowOff>
    </xdr:from>
    <xdr:to>
      <xdr:col>5</xdr:col>
      <xdr:colOff>542925</xdr:colOff>
      <xdr:row>270</xdr:row>
      <xdr:rowOff>112437</xdr:rowOff>
    </xdr:to>
    <xdr:pic>
      <xdr:nvPicPr>
        <xdr:cNvPr id="39" name="Obrázek 38"/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47005875"/>
          <a:ext cx="5276849" cy="4855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</xdr:colOff>
      <xdr:row>274</xdr:row>
      <xdr:rowOff>9525</xdr:rowOff>
    </xdr:from>
    <xdr:to>
      <xdr:col>14</xdr:col>
      <xdr:colOff>180974</xdr:colOff>
      <xdr:row>296</xdr:row>
      <xdr:rowOff>57150</xdr:rowOff>
    </xdr:to>
    <xdr:pic>
      <xdr:nvPicPr>
        <xdr:cNvPr id="40" name="Obrázek 39"/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029450" y="52520850"/>
          <a:ext cx="6181724" cy="423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274</xdr:row>
      <xdr:rowOff>0</xdr:rowOff>
    </xdr:from>
    <xdr:to>
      <xdr:col>6</xdr:col>
      <xdr:colOff>8956</xdr:colOff>
      <xdr:row>289</xdr:row>
      <xdr:rowOff>0</xdr:rowOff>
    </xdr:to>
    <xdr:pic>
      <xdr:nvPicPr>
        <xdr:cNvPr id="41" name="Obrázek 40"/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511325"/>
          <a:ext cx="5923981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300</xdr:row>
      <xdr:rowOff>0</xdr:rowOff>
    </xdr:from>
    <xdr:to>
      <xdr:col>14</xdr:col>
      <xdr:colOff>161924</xdr:colOff>
      <xdr:row>322</xdr:row>
      <xdr:rowOff>76200</xdr:rowOff>
    </xdr:to>
    <xdr:pic>
      <xdr:nvPicPr>
        <xdr:cNvPr id="42" name="Obrázek 41"/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019925" y="57464325"/>
          <a:ext cx="6172199" cy="426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300</xdr:row>
      <xdr:rowOff>9525</xdr:rowOff>
    </xdr:from>
    <xdr:to>
      <xdr:col>4</xdr:col>
      <xdr:colOff>133351</xdr:colOff>
      <xdr:row>325</xdr:row>
      <xdr:rowOff>175440</xdr:rowOff>
    </xdr:to>
    <xdr:pic>
      <xdr:nvPicPr>
        <xdr:cNvPr id="43" name="Obrázek 42"/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7473850"/>
          <a:ext cx="3676650" cy="4928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</xdr:colOff>
      <xdr:row>329</xdr:row>
      <xdr:rowOff>9525</xdr:rowOff>
    </xdr:from>
    <xdr:to>
      <xdr:col>14</xdr:col>
      <xdr:colOff>171450</xdr:colOff>
      <xdr:row>351</xdr:row>
      <xdr:rowOff>66674</xdr:rowOff>
    </xdr:to>
    <xdr:pic>
      <xdr:nvPicPr>
        <xdr:cNvPr id="44" name="Obrázek 43"/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029450" y="62998350"/>
          <a:ext cx="6172200" cy="4248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328</xdr:row>
      <xdr:rowOff>180975</xdr:rowOff>
    </xdr:from>
    <xdr:to>
      <xdr:col>6</xdr:col>
      <xdr:colOff>11497</xdr:colOff>
      <xdr:row>346</xdr:row>
      <xdr:rowOff>76200</xdr:rowOff>
    </xdr:to>
    <xdr:pic>
      <xdr:nvPicPr>
        <xdr:cNvPr id="45" name="Obrázek 44"/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979300"/>
          <a:ext cx="5926522" cy="3324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</xdr:colOff>
      <xdr:row>354</xdr:row>
      <xdr:rowOff>9525</xdr:rowOff>
    </xdr:from>
    <xdr:to>
      <xdr:col>14</xdr:col>
      <xdr:colOff>190500</xdr:colOff>
      <xdr:row>376</xdr:row>
      <xdr:rowOff>76199</xdr:rowOff>
    </xdr:to>
    <xdr:pic>
      <xdr:nvPicPr>
        <xdr:cNvPr id="48" name="Obrázek 47"/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029450" y="73475850"/>
          <a:ext cx="6191250" cy="4257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9526</xdr:colOff>
      <xdr:row>354</xdr:row>
      <xdr:rowOff>0</xdr:rowOff>
    </xdr:from>
    <xdr:to>
      <xdr:col>6</xdr:col>
      <xdr:colOff>9525</xdr:colOff>
      <xdr:row>383</xdr:row>
      <xdr:rowOff>38361</xdr:rowOff>
    </xdr:to>
    <xdr:pic>
      <xdr:nvPicPr>
        <xdr:cNvPr id="49" name="Obrázek 48"/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6" y="73466325"/>
          <a:ext cx="5915024" cy="5562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386</xdr:row>
      <xdr:rowOff>0</xdr:rowOff>
    </xdr:from>
    <xdr:to>
      <xdr:col>6</xdr:col>
      <xdr:colOff>6308</xdr:colOff>
      <xdr:row>405</xdr:row>
      <xdr:rowOff>76200</xdr:rowOff>
    </xdr:to>
    <xdr:pic>
      <xdr:nvPicPr>
        <xdr:cNvPr id="50" name="Obrázek 49"/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562325"/>
          <a:ext cx="5921333" cy="3695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</xdr:colOff>
      <xdr:row>386</xdr:row>
      <xdr:rowOff>9525</xdr:rowOff>
    </xdr:from>
    <xdr:to>
      <xdr:col>14</xdr:col>
      <xdr:colOff>200025</xdr:colOff>
      <xdr:row>408</xdr:row>
      <xdr:rowOff>85725</xdr:rowOff>
    </xdr:to>
    <xdr:pic>
      <xdr:nvPicPr>
        <xdr:cNvPr id="51" name="Obrázek 50"/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8975" y="79571850"/>
          <a:ext cx="6191250" cy="426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411</xdr:row>
      <xdr:rowOff>0</xdr:rowOff>
    </xdr:from>
    <xdr:to>
      <xdr:col>5</xdr:col>
      <xdr:colOff>1168510</xdr:colOff>
      <xdr:row>431</xdr:row>
      <xdr:rowOff>9525</xdr:rowOff>
    </xdr:to>
    <xdr:pic>
      <xdr:nvPicPr>
        <xdr:cNvPr id="52" name="Obrázek 51"/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324825"/>
          <a:ext cx="5911960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</xdr:colOff>
      <xdr:row>411</xdr:row>
      <xdr:rowOff>9525</xdr:rowOff>
    </xdr:from>
    <xdr:to>
      <xdr:col>14</xdr:col>
      <xdr:colOff>190500</xdr:colOff>
      <xdr:row>433</xdr:row>
      <xdr:rowOff>85725</xdr:rowOff>
    </xdr:to>
    <xdr:pic>
      <xdr:nvPicPr>
        <xdr:cNvPr id="53" name="Obrázek 52"/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50" y="84334350"/>
          <a:ext cx="6191250" cy="426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461</xdr:row>
      <xdr:rowOff>9525</xdr:rowOff>
    </xdr:from>
    <xdr:to>
      <xdr:col>6</xdr:col>
      <xdr:colOff>17178</xdr:colOff>
      <xdr:row>481</xdr:row>
      <xdr:rowOff>9524</xdr:rowOff>
    </xdr:to>
    <xdr:pic>
      <xdr:nvPicPr>
        <xdr:cNvPr id="54" name="Obrázek 53"/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859350"/>
          <a:ext cx="5932203" cy="3809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</xdr:colOff>
      <xdr:row>461</xdr:row>
      <xdr:rowOff>9525</xdr:rowOff>
    </xdr:from>
    <xdr:to>
      <xdr:col>14</xdr:col>
      <xdr:colOff>190500</xdr:colOff>
      <xdr:row>483</xdr:row>
      <xdr:rowOff>95250</xdr:rowOff>
    </xdr:to>
    <xdr:pic>
      <xdr:nvPicPr>
        <xdr:cNvPr id="55" name="Obrázek 54"/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50" y="93859350"/>
          <a:ext cx="6191250" cy="427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9526</xdr:colOff>
      <xdr:row>436</xdr:row>
      <xdr:rowOff>1</xdr:rowOff>
    </xdr:from>
    <xdr:to>
      <xdr:col>4</xdr:col>
      <xdr:colOff>590550</xdr:colOff>
      <xdr:row>459</xdr:row>
      <xdr:rowOff>10253</xdr:rowOff>
    </xdr:to>
    <xdr:pic>
      <xdr:nvPicPr>
        <xdr:cNvPr id="56" name="Obrázek 55"/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89087326"/>
          <a:ext cx="4124324" cy="4391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</xdr:colOff>
      <xdr:row>436</xdr:row>
      <xdr:rowOff>9525</xdr:rowOff>
    </xdr:from>
    <xdr:to>
      <xdr:col>14</xdr:col>
      <xdr:colOff>190500</xdr:colOff>
      <xdr:row>458</xdr:row>
      <xdr:rowOff>85725</xdr:rowOff>
    </xdr:to>
    <xdr:pic>
      <xdr:nvPicPr>
        <xdr:cNvPr id="57" name="Obrázek 56"/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50" y="89096850"/>
          <a:ext cx="6191250" cy="426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485</xdr:row>
      <xdr:rowOff>180975</xdr:rowOff>
    </xdr:from>
    <xdr:to>
      <xdr:col>6</xdr:col>
      <xdr:colOff>11356</xdr:colOff>
      <xdr:row>503</xdr:row>
      <xdr:rowOff>161924</xdr:rowOff>
    </xdr:to>
    <xdr:pic>
      <xdr:nvPicPr>
        <xdr:cNvPr id="58" name="Obrázek 57"/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602800"/>
          <a:ext cx="5926381" cy="3409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486</xdr:row>
      <xdr:rowOff>0</xdr:rowOff>
    </xdr:from>
    <xdr:to>
      <xdr:col>14</xdr:col>
      <xdr:colOff>171450</xdr:colOff>
      <xdr:row>508</xdr:row>
      <xdr:rowOff>66675</xdr:rowOff>
    </xdr:to>
    <xdr:pic>
      <xdr:nvPicPr>
        <xdr:cNvPr id="59" name="Obrázek 58"/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98612325"/>
          <a:ext cx="6181725" cy="425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4</xdr:row>
      <xdr:rowOff>190499</xdr:rowOff>
    </xdr:from>
    <xdr:to>
      <xdr:col>4</xdr:col>
      <xdr:colOff>85725</xdr:colOff>
      <xdr:row>16</xdr:row>
      <xdr:rowOff>74019</xdr:rowOff>
    </xdr:to>
    <xdr:pic>
      <xdr:nvPicPr>
        <xdr:cNvPr id="2" name="Obrázek 1" descr="KD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1523999"/>
          <a:ext cx="2162175" cy="2217145"/>
        </a:xfrm>
        <a:prstGeom prst="rect">
          <a:avLst/>
        </a:prstGeom>
      </xdr:spPr>
    </xdr:pic>
    <xdr:clientData/>
  </xdr:twoCellAnchor>
  <xdr:twoCellAnchor editAs="oneCell">
    <xdr:from>
      <xdr:col>4</xdr:col>
      <xdr:colOff>1123950</xdr:colOff>
      <xdr:row>4</xdr:row>
      <xdr:rowOff>171450</xdr:rowOff>
    </xdr:from>
    <xdr:to>
      <xdr:col>7</xdr:col>
      <xdr:colOff>295275</xdr:colOff>
      <xdr:row>17</xdr:row>
      <xdr:rowOff>10068</xdr:rowOff>
    </xdr:to>
    <xdr:pic>
      <xdr:nvPicPr>
        <xdr:cNvPr id="3" name="Obrázek 2" descr="KD2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38600" y="1504950"/>
          <a:ext cx="2381250" cy="2362743"/>
        </a:xfrm>
        <a:prstGeom prst="rect">
          <a:avLst/>
        </a:prstGeom>
      </xdr:spPr>
    </xdr:pic>
    <xdr:clientData/>
  </xdr:twoCellAnchor>
  <xdr:twoCellAnchor editAs="oneCell">
    <xdr:from>
      <xdr:col>7</xdr:col>
      <xdr:colOff>1343025</xdr:colOff>
      <xdr:row>5</xdr:row>
      <xdr:rowOff>76200</xdr:rowOff>
    </xdr:from>
    <xdr:to>
      <xdr:col>9</xdr:col>
      <xdr:colOff>1256331</xdr:colOff>
      <xdr:row>16</xdr:row>
      <xdr:rowOff>142875</xdr:rowOff>
    </xdr:to>
    <xdr:pic>
      <xdr:nvPicPr>
        <xdr:cNvPr id="4" name="Obrázek 3" descr="KD3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467600" y="1647825"/>
          <a:ext cx="2323131" cy="2162175"/>
        </a:xfrm>
        <a:prstGeom prst="rect">
          <a:avLst/>
        </a:prstGeom>
      </xdr:spPr>
    </xdr:pic>
    <xdr:clientData/>
  </xdr:twoCellAnchor>
  <xdr:twoCellAnchor editAs="oneCell">
    <xdr:from>
      <xdr:col>10</xdr:col>
      <xdr:colOff>581025</xdr:colOff>
      <xdr:row>5</xdr:row>
      <xdr:rowOff>38101</xdr:rowOff>
    </xdr:from>
    <xdr:to>
      <xdr:col>12</xdr:col>
      <xdr:colOff>460956</xdr:colOff>
      <xdr:row>17</xdr:row>
      <xdr:rowOff>19051</xdr:rowOff>
    </xdr:to>
    <xdr:pic>
      <xdr:nvPicPr>
        <xdr:cNvPr id="5" name="Obrázek 4" descr="KD4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0582275" y="1609726"/>
          <a:ext cx="2289756" cy="2266950"/>
        </a:xfrm>
        <a:prstGeom prst="rect">
          <a:avLst/>
        </a:prstGeom>
      </xdr:spPr>
    </xdr:pic>
    <xdr:clientData/>
  </xdr:twoCellAnchor>
  <xdr:twoCellAnchor editAs="oneCell">
    <xdr:from>
      <xdr:col>12</xdr:col>
      <xdr:colOff>1352550</xdr:colOff>
      <xdr:row>4</xdr:row>
      <xdr:rowOff>171450</xdr:rowOff>
    </xdr:from>
    <xdr:to>
      <xdr:col>14</xdr:col>
      <xdr:colOff>297340</xdr:colOff>
      <xdr:row>18</xdr:row>
      <xdr:rowOff>142875</xdr:rowOff>
    </xdr:to>
    <xdr:pic>
      <xdr:nvPicPr>
        <xdr:cNvPr id="6" name="Obrázek 5" descr="KD5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763625" y="1504950"/>
          <a:ext cx="2421415" cy="2686050"/>
        </a:xfrm>
        <a:prstGeom prst="rect">
          <a:avLst/>
        </a:prstGeom>
      </xdr:spPr>
    </xdr:pic>
    <xdr:clientData/>
  </xdr:twoCellAnchor>
  <xdr:twoCellAnchor editAs="oneCell">
    <xdr:from>
      <xdr:col>14</xdr:col>
      <xdr:colOff>1238250</xdr:colOff>
      <xdr:row>4</xdr:row>
      <xdr:rowOff>104775</xdr:rowOff>
    </xdr:from>
    <xdr:to>
      <xdr:col>16</xdr:col>
      <xdr:colOff>970870</xdr:colOff>
      <xdr:row>18</xdr:row>
      <xdr:rowOff>142875</xdr:rowOff>
    </xdr:to>
    <xdr:pic>
      <xdr:nvPicPr>
        <xdr:cNvPr id="7" name="Obrázek 6" descr="KD6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7125950" y="1438275"/>
          <a:ext cx="3342595" cy="2752725"/>
        </a:xfrm>
        <a:prstGeom prst="rect">
          <a:avLst/>
        </a:prstGeom>
      </xdr:spPr>
    </xdr:pic>
    <xdr:clientData/>
  </xdr:twoCellAnchor>
  <xdr:twoCellAnchor editAs="oneCell">
    <xdr:from>
      <xdr:col>17</xdr:col>
      <xdr:colOff>47625</xdr:colOff>
      <xdr:row>4</xdr:row>
      <xdr:rowOff>171451</xdr:rowOff>
    </xdr:from>
    <xdr:to>
      <xdr:col>18</xdr:col>
      <xdr:colOff>1853213</xdr:colOff>
      <xdr:row>18</xdr:row>
      <xdr:rowOff>28576</xdr:rowOff>
    </xdr:to>
    <xdr:pic>
      <xdr:nvPicPr>
        <xdr:cNvPr id="8" name="Obrázek 7" descr="KD7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1355050" y="1504951"/>
          <a:ext cx="3891563" cy="257175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1200150</xdr:colOff>
      <xdr:row>4</xdr:row>
      <xdr:rowOff>171451</xdr:rowOff>
    </xdr:from>
    <xdr:to>
      <xdr:col>22</xdr:col>
      <xdr:colOff>17557</xdr:colOff>
      <xdr:row>18</xdr:row>
      <xdr:rowOff>161926</xdr:rowOff>
    </xdr:to>
    <xdr:pic>
      <xdr:nvPicPr>
        <xdr:cNvPr id="9" name="Obrázek 8" descr="KD8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6469975" y="1504951"/>
          <a:ext cx="2036857" cy="27051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37</xdr:row>
      <xdr:rowOff>133351</xdr:rowOff>
    </xdr:from>
    <xdr:to>
      <xdr:col>4</xdr:col>
      <xdr:colOff>628650</xdr:colOff>
      <xdr:row>51</xdr:row>
      <xdr:rowOff>66047</xdr:rowOff>
    </xdr:to>
    <xdr:pic>
      <xdr:nvPicPr>
        <xdr:cNvPr id="10" name="Obrázek 9" descr="KR1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904875" y="7953376"/>
          <a:ext cx="2638425" cy="2599696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37</xdr:row>
      <xdr:rowOff>104775</xdr:rowOff>
    </xdr:from>
    <xdr:to>
      <xdr:col>10</xdr:col>
      <xdr:colOff>666750</xdr:colOff>
      <xdr:row>52</xdr:row>
      <xdr:rowOff>38100</xdr:rowOff>
    </xdr:to>
    <xdr:pic>
      <xdr:nvPicPr>
        <xdr:cNvPr id="12" name="Obrázek 11" descr="KR3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7877175" y="7924800"/>
          <a:ext cx="2790825" cy="2790825"/>
        </a:xfrm>
        <a:prstGeom prst="rect">
          <a:avLst/>
        </a:prstGeom>
      </xdr:spPr>
    </xdr:pic>
    <xdr:clientData/>
  </xdr:twoCellAnchor>
  <xdr:twoCellAnchor editAs="oneCell">
    <xdr:from>
      <xdr:col>11</xdr:col>
      <xdr:colOff>923925</xdr:colOff>
      <xdr:row>37</xdr:row>
      <xdr:rowOff>66675</xdr:rowOff>
    </xdr:from>
    <xdr:to>
      <xdr:col>13</xdr:col>
      <xdr:colOff>609600</xdr:colOff>
      <xdr:row>52</xdr:row>
      <xdr:rowOff>56622</xdr:rowOff>
    </xdr:to>
    <xdr:pic>
      <xdr:nvPicPr>
        <xdr:cNvPr id="13" name="Obrázek 12" descr="KR4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1801475" y="7886700"/>
          <a:ext cx="2886075" cy="2847447"/>
        </a:xfrm>
        <a:prstGeom prst="rect">
          <a:avLst/>
        </a:prstGeom>
      </xdr:spPr>
    </xdr:pic>
    <xdr:clientData/>
  </xdr:twoCellAnchor>
  <xdr:twoCellAnchor editAs="oneCell">
    <xdr:from>
      <xdr:col>13</xdr:col>
      <xdr:colOff>1647825</xdr:colOff>
      <xdr:row>37</xdr:row>
      <xdr:rowOff>76201</xdr:rowOff>
    </xdr:from>
    <xdr:to>
      <xdr:col>15</xdr:col>
      <xdr:colOff>176602</xdr:colOff>
      <xdr:row>51</xdr:row>
      <xdr:rowOff>85725</xdr:rowOff>
    </xdr:to>
    <xdr:pic>
      <xdr:nvPicPr>
        <xdr:cNvPr id="14" name="Obrázek 13" descr="KR5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5725775" y="7896226"/>
          <a:ext cx="2281627" cy="2676524"/>
        </a:xfrm>
        <a:prstGeom prst="rect">
          <a:avLst/>
        </a:prstGeom>
      </xdr:spPr>
    </xdr:pic>
    <xdr:clientData/>
  </xdr:twoCellAnchor>
  <xdr:twoCellAnchor editAs="oneCell">
    <xdr:from>
      <xdr:col>15</xdr:col>
      <xdr:colOff>1066801</xdr:colOff>
      <xdr:row>37</xdr:row>
      <xdr:rowOff>95250</xdr:rowOff>
    </xdr:from>
    <xdr:to>
      <xdr:col>17</xdr:col>
      <xdr:colOff>504848</xdr:colOff>
      <xdr:row>51</xdr:row>
      <xdr:rowOff>161925</xdr:rowOff>
    </xdr:to>
    <xdr:pic>
      <xdr:nvPicPr>
        <xdr:cNvPr id="17" name="Obrázek 16" descr="KR6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8897601" y="7915275"/>
          <a:ext cx="2914672" cy="2733675"/>
        </a:xfrm>
        <a:prstGeom prst="rect">
          <a:avLst/>
        </a:prstGeom>
      </xdr:spPr>
    </xdr:pic>
    <xdr:clientData/>
  </xdr:twoCellAnchor>
  <xdr:twoCellAnchor editAs="oneCell">
    <xdr:from>
      <xdr:col>17</xdr:col>
      <xdr:colOff>1285875</xdr:colOff>
      <xdr:row>38</xdr:row>
      <xdr:rowOff>57150</xdr:rowOff>
    </xdr:from>
    <xdr:to>
      <xdr:col>19</xdr:col>
      <xdr:colOff>895350</xdr:colOff>
      <xdr:row>51</xdr:row>
      <xdr:rowOff>57697</xdr:rowOff>
    </xdr:to>
    <xdr:pic>
      <xdr:nvPicPr>
        <xdr:cNvPr id="18" name="Obrázek 17" descr="KR7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2593300" y="8067675"/>
          <a:ext cx="3571875" cy="2477047"/>
        </a:xfrm>
        <a:prstGeom prst="rect">
          <a:avLst/>
        </a:prstGeom>
      </xdr:spPr>
    </xdr:pic>
    <xdr:clientData/>
  </xdr:twoCellAnchor>
  <xdr:twoCellAnchor editAs="oneCell">
    <xdr:from>
      <xdr:col>20</xdr:col>
      <xdr:colOff>1</xdr:colOff>
      <xdr:row>37</xdr:row>
      <xdr:rowOff>133350</xdr:rowOff>
    </xdr:from>
    <xdr:to>
      <xdr:col>22</xdr:col>
      <xdr:colOff>723962</xdr:colOff>
      <xdr:row>52</xdr:row>
      <xdr:rowOff>47625</xdr:rowOff>
    </xdr:to>
    <xdr:pic>
      <xdr:nvPicPr>
        <xdr:cNvPr id="19" name="Obrázek 18" descr="KR8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27146251" y="7953375"/>
          <a:ext cx="2066986" cy="2771775"/>
        </a:xfrm>
        <a:prstGeom prst="rect">
          <a:avLst/>
        </a:prstGeom>
      </xdr:spPr>
    </xdr:pic>
    <xdr:clientData/>
  </xdr:twoCellAnchor>
  <xdr:twoCellAnchor editAs="oneCell">
    <xdr:from>
      <xdr:col>4</xdr:col>
      <xdr:colOff>1304926</xdr:colOff>
      <xdr:row>37</xdr:row>
      <xdr:rowOff>57150</xdr:rowOff>
    </xdr:from>
    <xdr:to>
      <xdr:col>7</xdr:col>
      <xdr:colOff>1011707</xdr:colOff>
      <xdr:row>51</xdr:row>
      <xdr:rowOff>104775</xdr:rowOff>
    </xdr:to>
    <xdr:pic>
      <xdr:nvPicPr>
        <xdr:cNvPr id="20" name="Obrázek 19" descr="KD3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219576" y="7877175"/>
          <a:ext cx="2916706" cy="2714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4</xdr:row>
      <xdr:rowOff>95250</xdr:rowOff>
    </xdr:from>
    <xdr:to>
      <xdr:col>3</xdr:col>
      <xdr:colOff>1028700</xdr:colOff>
      <xdr:row>21</xdr:row>
      <xdr:rowOff>59007</xdr:rowOff>
    </xdr:to>
    <xdr:pic>
      <xdr:nvPicPr>
        <xdr:cNvPr id="2" name="Obrázek 1" descr="KURT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52525" y="904875"/>
          <a:ext cx="2219325" cy="3202257"/>
        </a:xfrm>
        <a:prstGeom prst="rect">
          <a:avLst/>
        </a:prstGeom>
      </xdr:spPr>
    </xdr:pic>
    <xdr:clientData/>
  </xdr:twoCellAnchor>
  <xdr:twoCellAnchor editAs="oneCell">
    <xdr:from>
      <xdr:col>4</xdr:col>
      <xdr:colOff>638175</xdr:colOff>
      <xdr:row>4</xdr:row>
      <xdr:rowOff>123825</xdr:rowOff>
    </xdr:from>
    <xdr:to>
      <xdr:col>9</xdr:col>
      <xdr:colOff>514350</xdr:colOff>
      <xdr:row>21</xdr:row>
      <xdr:rowOff>32744</xdr:rowOff>
    </xdr:to>
    <xdr:pic>
      <xdr:nvPicPr>
        <xdr:cNvPr id="3" name="Obrázek 2" descr="KURT2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95750" y="933450"/>
          <a:ext cx="4600575" cy="3147419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190500</xdr:colOff>
      <xdr:row>4</xdr:row>
      <xdr:rowOff>85725</xdr:rowOff>
    </xdr:from>
    <xdr:to>
      <xdr:col>14</xdr:col>
      <xdr:colOff>123825</xdr:colOff>
      <xdr:row>21</xdr:row>
      <xdr:rowOff>166906</xdr:rowOff>
    </xdr:to>
    <xdr:pic>
      <xdr:nvPicPr>
        <xdr:cNvPr id="4" name="Obrázek 3" descr="KURT3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020300" y="895350"/>
          <a:ext cx="3876675" cy="3319681"/>
        </a:xfrm>
        <a:prstGeom prst="rect">
          <a:avLst/>
        </a:prstGeom>
      </xdr:spPr>
    </xdr:pic>
    <xdr:clientData/>
  </xdr:twoCellAnchor>
  <xdr:twoCellAnchor editAs="oneCell">
    <xdr:from>
      <xdr:col>15</xdr:col>
      <xdr:colOff>561975</xdr:colOff>
      <xdr:row>4</xdr:row>
      <xdr:rowOff>66675</xdr:rowOff>
    </xdr:from>
    <xdr:to>
      <xdr:col>17</xdr:col>
      <xdr:colOff>971550</xdr:colOff>
      <xdr:row>21</xdr:row>
      <xdr:rowOff>128806</xdr:rowOff>
    </xdr:to>
    <xdr:pic>
      <xdr:nvPicPr>
        <xdr:cNvPr id="5" name="Obrázek 4" descr="KURT4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5278100" y="876300"/>
          <a:ext cx="3705225" cy="3300631"/>
        </a:xfrm>
        <a:prstGeom prst="rect">
          <a:avLst/>
        </a:prstGeom>
      </xdr:spPr>
    </xdr:pic>
    <xdr:clientData/>
  </xdr:twoCellAnchor>
  <xdr:twoCellAnchor editAs="oneCell">
    <xdr:from>
      <xdr:col>17</xdr:col>
      <xdr:colOff>1209675</xdr:colOff>
      <xdr:row>4</xdr:row>
      <xdr:rowOff>38100</xdr:rowOff>
    </xdr:from>
    <xdr:to>
      <xdr:col>20</xdr:col>
      <xdr:colOff>346288</xdr:colOff>
      <xdr:row>21</xdr:row>
      <xdr:rowOff>57150</xdr:rowOff>
    </xdr:to>
    <xdr:pic>
      <xdr:nvPicPr>
        <xdr:cNvPr id="6" name="Obrázek 5" descr="KURT5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221450" y="933450"/>
          <a:ext cx="4394413" cy="3257550"/>
        </a:xfrm>
        <a:prstGeom prst="rect">
          <a:avLst/>
        </a:prstGeom>
      </xdr:spPr>
    </xdr:pic>
    <xdr:clientData/>
  </xdr:twoCellAnchor>
  <xdr:twoCellAnchor editAs="oneCell">
    <xdr:from>
      <xdr:col>20</xdr:col>
      <xdr:colOff>1400176</xdr:colOff>
      <xdr:row>5</xdr:row>
      <xdr:rowOff>38101</xdr:rowOff>
    </xdr:from>
    <xdr:to>
      <xdr:col>22</xdr:col>
      <xdr:colOff>657225</xdr:colOff>
      <xdr:row>21</xdr:row>
      <xdr:rowOff>171451</xdr:rowOff>
    </xdr:to>
    <xdr:pic>
      <xdr:nvPicPr>
        <xdr:cNvPr id="7" name="Obrázek 6" descr="KURT6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4669751" y="1123951"/>
          <a:ext cx="2981324" cy="3181350"/>
        </a:xfrm>
        <a:prstGeom prst="rect">
          <a:avLst/>
        </a:prstGeom>
      </xdr:spPr>
    </xdr:pic>
    <xdr:clientData/>
  </xdr:twoCellAnchor>
  <xdr:twoCellAnchor editAs="oneCell">
    <xdr:from>
      <xdr:col>22</xdr:col>
      <xdr:colOff>1590675</xdr:colOff>
      <xdr:row>5</xdr:row>
      <xdr:rowOff>0</xdr:rowOff>
    </xdr:from>
    <xdr:to>
      <xdr:col>25</xdr:col>
      <xdr:colOff>38789</xdr:colOff>
      <xdr:row>22</xdr:row>
      <xdr:rowOff>38100</xdr:rowOff>
    </xdr:to>
    <xdr:pic>
      <xdr:nvPicPr>
        <xdr:cNvPr id="8" name="Obrázek 7" descr="KURT7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8584525" y="1000125"/>
          <a:ext cx="3248714" cy="3276600"/>
        </a:xfrm>
        <a:prstGeom prst="rect">
          <a:avLst/>
        </a:prstGeom>
      </xdr:spPr>
    </xdr:pic>
    <xdr:clientData/>
  </xdr:twoCellAnchor>
  <xdr:twoCellAnchor editAs="oneCell">
    <xdr:from>
      <xdr:col>26</xdr:col>
      <xdr:colOff>247650</xdr:colOff>
      <xdr:row>4</xdr:row>
      <xdr:rowOff>66675</xdr:rowOff>
    </xdr:from>
    <xdr:to>
      <xdr:col>30</xdr:col>
      <xdr:colOff>428625</xdr:colOff>
      <xdr:row>21</xdr:row>
      <xdr:rowOff>35220</xdr:rowOff>
    </xdr:to>
    <xdr:pic>
      <xdr:nvPicPr>
        <xdr:cNvPr id="9" name="Obrázek 8" descr="KURT8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2956500" y="876300"/>
          <a:ext cx="3800475" cy="32070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</xdr:row>
      <xdr:rowOff>85726</xdr:rowOff>
    </xdr:from>
    <xdr:to>
      <xdr:col>3</xdr:col>
      <xdr:colOff>876300</xdr:colOff>
      <xdr:row>71</xdr:row>
      <xdr:rowOff>46678</xdr:rowOff>
    </xdr:to>
    <xdr:pic>
      <xdr:nvPicPr>
        <xdr:cNvPr id="10" name="Obrázek 9" descr="KUVT1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09625" y="10782301"/>
          <a:ext cx="2409825" cy="3199452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190501</xdr:colOff>
      <xdr:row>54</xdr:row>
      <xdr:rowOff>76200</xdr:rowOff>
    </xdr:from>
    <xdr:to>
      <xdr:col>8</xdr:col>
      <xdr:colOff>361951</xdr:colOff>
      <xdr:row>71</xdr:row>
      <xdr:rowOff>2931</xdr:rowOff>
    </xdr:to>
    <xdr:pic>
      <xdr:nvPicPr>
        <xdr:cNvPr id="11" name="Obrázek 10" descr="KUVT2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648076" y="10772775"/>
          <a:ext cx="3429000" cy="3165231"/>
        </a:xfrm>
        <a:prstGeom prst="rect">
          <a:avLst/>
        </a:prstGeom>
      </xdr:spPr>
    </xdr:pic>
    <xdr:clientData/>
  </xdr:twoCellAnchor>
  <xdr:twoCellAnchor editAs="oneCell">
    <xdr:from>
      <xdr:col>8</xdr:col>
      <xdr:colOff>619125</xdr:colOff>
      <xdr:row>54</xdr:row>
      <xdr:rowOff>57150</xdr:rowOff>
    </xdr:from>
    <xdr:to>
      <xdr:col>12</xdr:col>
      <xdr:colOff>609600</xdr:colOff>
      <xdr:row>70</xdr:row>
      <xdr:rowOff>114949</xdr:rowOff>
    </xdr:to>
    <xdr:pic>
      <xdr:nvPicPr>
        <xdr:cNvPr id="12" name="Obrázek 11" descr="KUVT3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7334250" y="10753725"/>
          <a:ext cx="4848225" cy="3105799"/>
        </a:xfrm>
        <a:prstGeom prst="rect">
          <a:avLst/>
        </a:prstGeom>
      </xdr:spPr>
    </xdr:pic>
    <xdr:clientData/>
  </xdr:twoCellAnchor>
  <xdr:twoCellAnchor editAs="oneCell">
    <xdr:from>
      <xdr:col>13</xdr:col>
      <xdr:colOff>1123950</xdr:colOff>
      <xdr:row>54</xdr:row>
      <xdr:rowOff>19050</xdr:rowOff>
    </xdr:from>
    <xdr:to>
      <xdr:col>16</xdr:col>
      <xdr:colOff>1205898</xdr:colOff>
      <xdr:row>70</xdr:row>
      <xdr:rowOff>142875</xdr:rowOff>
    </xdr:to>
    <xdr:pic>
      <xdr:nvPicPr>
        <xdr:cNvPr id="13" name="Obrázek 12" descr="KUVT4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3430250" y="10715625"/>
          <a:ext cx="4101498" cy="317182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54</xdr:row>
      <xdr:rowOff>28575</xdr:rowOff>
    </xdr:from>
    <xdr:to>
      <xdr:col>19</xdr:col>
      <xdr:colOff>238928</xdr:colOff>
      <xdr:row>71</xdr:row>
      <xdr:rowOff>9525</xdr:rowOff>
    </xdr:to>
    <xdr:pic>
      <xdr:nvPicPr>
        <xdr:cNvPr id="14" name="Obrázek 13" descr="KUVT5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8011775" y="10725150"/>
          <a:ext cx="3801278" cy="3219450"/>
        </a:xfrm>
        <a:prstGeom prst="rect">
          <a:avLst/>
        </a:prstGeom>
      </xdr:spPr>
    </xdr:pic>
    <xdr:clientData/>
  </xdr:twoCellAnchor>
  <xdr:twoCellAnchor editAs="oneCell">
    <xdr:from>
      <xdr:col>19</xdr:col>
      <xdr:colOff>733424</xdr:colOff>
      <xdr:row>54</xdr:row>
      <xdr:rowOff>0</xdr:rowOff>
    </xdr:from>
    <xdr:to>
      <xdr:col>21</xdr:col>
      <xdr:colOff>905330</xdr:colOff>
      <xdr:row>71</xdr:row>
      <xdr:rowOff>0</xdr:rowOff>
    </xdr:to>
    <xdr:pic>
      <xdr:nvPicPr>
        <xdr:cNvPr id="15" name="Obrázek 14" descr="KUVT6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2307549" y="10696575"/>
          <a:ext cx="3629481" cy="3238500"/>
        </a:xfrm>
        <a:prstGeom prst="rect">
          <a:avLst/>
        </a:prstGeom>
      </xdr:spPr>
    </xdr:pic>
    <xdr:clientData/>
  </xdr:twoCellAnchor>
  <xdr:twoCellAnchor editAs="oneCell">
    <xdr:from>
      <xdr:col>21</xdr:col>
      <xdr:colOff>1447800</xdr:colOff>
      <xdr:row>54</xdr:row>
      <xdr:rowOff>123826</xdr:rowOff>
    </xdr:from>
    <xdr:to>
      <xdr:col>23</xdr:col>
      <xdr:colOff>447676</xdr:colOff>
      <xdr:row>71</xdr:row>
      <xdr:rowOff>13302</xdr:rowOff>
    </xdr:to>
    <xdr:pic>
      <xdr:nvPicPr>
        <xdr:cNvPr id="16" name="Obrázek 15" descr="KUVT7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26479500" y="10820401"/>
          <a:ext cx="3057526" cy="3127976"/>
        </a:xfrm>
        <a:prstGeom prst="rect">
          <a:avLst/>
        </a:prstGeom>
      </xdr:spPr>
    </xdr:pic>
    <xdr:clientData/>
  </xdr:twoCellAnchor>
  <xdr:twoCellAnchor editAs="oneCell">
    <xdr:from>
      <xdr:col>23</xdr:col>
      <xdr:colOff>1533525</xdr:colOff>
      <xdr:row>54</xdr:row>
      <xdr:rowOff>19050</xdr:rowOff>
    </xdr:from>
    <xdr:to>
      <xdr:col>25</xdr:col>
      <xdr:colOff>857250</xdr:colOff>
      <xdr:row>71</xdr:row>
      <xdr:rowOff>112231</xdr:rowOff>
    </xdr:to>
    <xdr:pic>
      <xdr:nvPicPr>
        <xdr:cNvPr id="17" name="Obrázek 16" descr="KUVT8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0622875" y="10715625"/>
          <a:ext cx="2028825" cy="3331681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102</xdr:row>
      <xdr:rowOff>161925</xdr:rowOff>
    </xdr:from>
    <xdr:to>
      <xdr:col>3</xdr:col>
      <xdr:colOff>552450</xdr:colOff>
      <xdr:row>119</xdr:row>
      <xdr:rowOff>148024</xdr:rowOff>
    </xdr:to>
    <xdr:pic>
      <xdr:nvPicPr>
        <xdr:cNvPr id="18" name="Obrázek 17" descr="KURV1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428625" y="20088225"/>
          <a:ext cx="2466975" cy="3224599"/>
        </a:xfrm>
        <a:prstGeom prst="rect">
          <a:avLst/>
        </a:prstGeom>
      </xdr:spPr>
    </xdr:pic>
    <xdr:clientData/>
  </xdr:twoCellAnchor>
  <xdr:twoCellAnchor editAs="oneCell">
    <xdr:from>
      <xdr:col>3</xdr:col>
      <xdr:colOff>781051</xdr:colOff>
      <xdr:row>102</xdr:row>
      <xdr:rowOff>95251</xdr:rowOff>
    </xdr:from>
    <xdr:to>
      <xdr:col>8</xdr:col>
      <xdr:colOff>1339208</xdr:colOff>
      <xdr:row>120</xdr:row>
      <xdr:rowOff>76201</xdr:rowOff>
    </xdr:to>
    <xdr:pic>
      <xdr:nvPicPr>
        <xdr:cNvPr id="19" name="Obrázek 18" descr="KURV2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3124201" y="20021551"/>
          <a:ext cx="4930132" cy="3409950"/>
        </a:xfrm>
        <a:prstGeom prst="rect">
          <a:avLst/>
        </a:prstGeom>
      </xdr:spPr>
    </xdr:pic>
    <xdr:clientData/>
  </xdr:twoCellAnchor>
  <xdr:twoCellAnchor editAs="oneCell">
    <xdr:from>
      <xdr:col>9</xdr:col>
      <xdr:colOff>609600</xdr:colOff>
      <xdr:row>102</xdr:row>
      <xdr:rowOff>38100</xdr:rowOff>
    </xdr:from>
    <xdr:to>
      <xdr:col>13</xdr:col>
      <xdr:colOff>423132</xdr:colOff>
      <xdr:row>120</xdr:row>
      <xdr:rowOff>123825</xdr:rowOff>
    </xdr:to>
    <xdr:pic>
      <xdr:nvPicPr>
        <xdr:cNvPr id="20" name="Obrázek 19" descr="KURV3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8791575" y="19964400"/>
          <a:ext cx="3937857" cy="3514725"/>
        </a:xfrm>
        <a:prstGeom prst="rect">
          <a:avLst/>
        </a:prstGeom>
      </xdr:spPr>
    </xdr:pic>
    <xdr:clientData/>
  </xdr:twoCellAnchor>
  <xdr:twoCellAnchor editAs="oneCell">
    <xdr:from>
      <xdr:col>13</xdr:col>
      <xdr:colOff>1352550</xdr:colOff>
      <xdr:row>102</xdr:row>
      <xdr:rowOff>85725</xdr:rowOff>
    </xdr:from>
    <xdr:to>
      <xdr:col>16</xdr:col>
      <xdr:colOff>1133475</xdr:colOff>
      <xdr:row>120</xdr:row>
      <xdr:rowOff>82505</xdr:rowOff>
    </xdr:to>
    <xdr:pic>
      <xdr:nvPicPr>
        <xdr:cNvPr id="21" name="Obrázek 20" descr="KURV4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3658850" y="20012025"/>
          <a:ext cx="3800475" cy="3425780"/>
        </a:xfrm>
        <a:prstGeom prst="rect">
          <a:avLst/>
        </a:prstGeom>
      </xdr:spPr>
    </xdr:pic>
    <xdr:clientData/>
  </xdr:twoCellAnchor>
  <xdr:twoCellAnchor editAs="oneCell">
    <xdr:from>
      <xdr:col>17</xdr:col>
      <xdr:colOff>400050</xdr:colOff>
      <xdr:row>102</xdr:row>
      <xdr:rowOff>57150</xdr:rowOff>
    </xdr:from>
    <xdr:to>
      <xdr:col>19</xdr:col>
      <xdr:colOff>1517809</xdr:colOff>
      <xdr:row>120</xdr:row>
      <xdr:rowOff>171450</xdr:rowOff>
    </xdr:to>
    <xdr:pic>
      <xdr:nvPicPr>
        <xdr:cNvPr id="22" name="Obrázek 21" descr="KURV5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8411825" y="19983450"/>
          <a:ext cx="4680109" cy="3543300"/>
        </a:xfrm>
        <a:prstGeom prst="rect">
          <a:avLst/>
        </a:prstGeom>
      </xdr:spPr>
    </xdr:pic>
    <xdr:clientData/>
  </xdr:twoCellAnchor>
  <xdr:twoCellAnchor editAs="oneCell">
    <xdr:from>
      <xdr:col>20</xdr:col>
      <xdr:colOff>381000</xdr:colOff>
      <xdr:row>102</xdr:row>
      <xdr:rowOff>133351</xdr:rowOff>
    </xdr:from>
    <xdr:to>
      <xdr:col>21</xdr:col>
      <xdr:colOff>1756526</xdr:colOff>
      <xdr:row>120</xdr:row>
      <xdr:rowOff>47625</xdr:rowOff>
    </xdr:to>
    <xdr:pic>
      <xdr:nvPicPr>
        <xdr:cNvPr id="23" name="Obrázek 22" descr="KURV6.jp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3650575" y="20059651"/>
          <a:ext cx="3137651" cy="3343274"/>
        </a:xfrm>
        <a:prstGeom prst="rect">
          <a:avLst/>
        </a:prstGeom>
      </xdr:spPr>
    </xdr:pic>
    <xdr:clientData/>
  </xdr:twoCellAnchor>
  <xdr:twoCellAnchor editAs="oneCell">
    <xdr:from>
      <xdr:col>24</xdr:col>
      <xdr:colOff>142875</xdr:colOff>
      <xdr:row>102</xdr:row>
      <xdr:rowOff>133350</xdr:rowOff>
    </xdr:from>
    <xdr:to>
      <xdr:col>29</xdr:col>
      <xdr:colOff>19208</xdr:colOff>
      <xdr:row>120</xdr:row>
      <xdr:rowOff>66675</xdr:rowOff>
    </xdr:to>
    <xdr:pic>
      <xdr:nvPicPr>
        <xdr:cNvPr id="25" name="Obrázek 24" descr="KURV8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31327725" y="20059650"/>
          <a:ext cx="4162583" cy="3362325"/>
        </a:xfrm>
        <a:prstGeom prst="rect">
          <a:avLst/>
        </a:prstGeom>
      </xdr:spPr>
    </xdr:pic>
    <xdr:clientData/>
  </xdr:twoCellAnchor>
  <xdr:twoCellAnchor editAs="oneCell">
    <xdr:from>
      <xdr:col>22</xdr:col>
      <xdr:colOff>390525</xdr:colOff>
      <xdr:row>102</xdr:row>
      <xdr:rowOff>171450</xdr:rowOff>
    </xdr:from>
    <xdr:to>
      <xdr:col>23</xdr:col>
      <xdr:colOff>1543739</xdr:colOff>
      <xdr:row>120</xdr:row>
      <xdr:rowOff>19050</xdr:rowOff>
    </xdr:to>
    <xdr:pic>
      <xdr:nvPicPr>
        <xdr:cNvPr id="26" name="Obrázek 25" descr="KURT7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7384375" y="20097750"/>
          <a:ext cx="3248714" cy="3276600"/>
        </a:xfrm>
        <a:prstGeom prst="rect">
          <a:avLst/>
        </a:prstGeom>
      </xdr:spPr>
    </xdr:pic>
    <xdr:clientData/>
  </xdr:twoCellAnchor>
  <xdr:twoCellAnchor editAs="oneCell">
    <xdr:from>
      <xdr:col>0</xdr:col>
      <xdr:colOff>638174</xdr:colOff>
      <xdr:row>153</xdr:row>
      <xdr:rowOff>85725</xdr:rowOff>
    </xdr:from>
    <xdr:to>
      <xdr:col>4</xdr:col>
      <xdr:colOff>426012</xdr:colOff>
      <xdr:row>172</xdr:row>
      <xdr:rowOff>9525</xdr:rowOff>
    </xdr:to>
    <xdr:pic>
      <xdr:nvPicPr>
        <xdr:cNvPr id="27" name="Obrázek 26" descr="KURU1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638174" y="29813250"/>
          <a:ext cx="3245413" cy="3543300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153</xdr:row>
      <xdr:rowOff>123825</xdr:rowOff>
    </xdr:from>
    <xdr:to>
      <xdr:col>9</xdr:col>
      <xdr:colOff>455519</xdr:colOff>
      <xdr:row>171</xdr:row>
      <xdr:rowOff>171450</xdr:rowOff>
    </xdr:to>
    <xdr:pic>
      <xdr:nvPicPr>
        <xdr:cNvPr id="28" name="Obrázek 27" descr="KURU2.jp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4629150" y="29851350"/>
          <a:ext cx="4008344" cy="3476625"/>
        </a:xfrm>
        <a:prstGeom prst="rect">
          <a:avLst/>
        </a:prstGeom>
      </xdr:spPr>
    </xdr:pic>
    <xdr:clientData/>
  </xdr:twoCellAnchor>
  <xdr:twoCellAnchor editAs="oneCell">
    <xdr:from>
      <xdr:col>10</xdr:col>
      <xdr:colOff>781050</xdr:colOff>
      <xdr:row>154</xdr:row>
      <xdr:rowOff>28575</xdr:rowOff>
    </xdr:from>
    <xdr:to>
      <xdr:col>15</xdr:col>
      <xdr:colOff>129893</xdr:colOff>
      <xdr:row>171</xdr:row>
      <xdr:rowOff>180975</xdr:rowOff>
    </xdr:to>
    <xdr:pic>
      <xdr:nvPicPr>
        <xdr:cNvPr id="29" name="Obrázek 28" descr="KURU3.jp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9629775" y="29946600"/>
          <a:ext cx="5216243" cy="3390900"/>
        </a:xfrm>
        <a:prstGeom prst="rect">
          <a:avLst/>
        </a:prstGeom>
      </xdr:spPr>
    </xdr:pic>
    <xdr:clientData/>
  </xdr:twoCellAnchor>
  <xdr:twoCellAnchor editAs="oneCell">
    <xdr:from>
      <xdr:col>15</xdr:col>
      <xdr:colOff>1076326</xdr:colOff>
      <xdr:row>154</xdr:row>
      <xdr:rowOff>114300</xdr:rowOff>
    </xdr:from>
    <xdr:to>
      <xdr:col>18</xdr:col>
      <xdr:colOff>302098</xdr:colOff>
      <xdr:row>171</xdr:row>
      <xdr:rowOff>180975</xdr:rowOff>
    </xdr:to>
    <xdr:pic>
      <xdr:nvPicPr>
        <xdr:cNvPr id="30" name="Obrázek 29" descr="KURU4.jp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5792451" y="30032325"/>
          <a:ext cx="4331172" cy="3305175"/>
        </a:xfrm>
        <a:prstGeom prst="rect">
          <a:avLst/>
        </a:prstGeom>
      </xdr:spPr>
    </xdr:pic>
    <xdr:clientData/>
  </xdr:twoCellAnchor>
  <xdr:twoCellAnchor editAs="oneCell">
    <xdr:from>
      <xdr:col>18</xdr:col>
      <xdr:colOff>1295400</xdr:colOff>
      <xdr:row>154</xdr:row>
      <xdr:rowOff>104775</xdr:rowOff>
    </xdr:from>
    <xdr:to>
      <xdr:col>21</xdr:col>
      <xdr:colOff>171450</xdr:colOff>
      <xdr:row>172</xdr:row>
      <xdr:rowOff>5542</xdr:rowOff>
    </xdr:to>
    <xdr:pic>
      <xdr:nvPicPr>
        <xdr:cNvPr id="31" name="Obrázek 30" descr="KURU5.jp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21116925" y="30022800"/>
          <a:ext cx="4086225" cy="3329767"/>
        </a:xfrm>
        <a:prstGeom prst="rect">
          <a:avLst/>
        </a:prstGeom>
      </xdr:spPr>
    </xdr:pic>
    <xdr:clientData/>
  </xdr:twoCellAnchor>
  <xdr:twoCellAnchor editAs="oneCell">
    <xdr:from>
      <xdr:col>21</xdr:col>
      <xdr:colOff>904875</xdr:colOff>
      <xdr:row>154</xdr:row>
      <xdr:rowOff>66676</xdr:rowOff>
    </xdr:from>
    <xdr:to>
      <xdr:col>23</xdr:col>
      <xdr:colOff>1228815</xdr:colOff>
      <xdr:row>172</xdr:row>
      <xdr:rowOff>28576</xdr:rowOff>
    </xdr:to>
    <xdr:pic>
      <xdr:nvPicPr>
        <xdr:cNvPr id="32" name="Obrázek 31" descr="KURU6.jpg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25936575" y="29984701"/>
          <a:ext cx="4381590" cy="3390900"/>
        </a:xfrm>
        <a:prstGeom prst="rect">
          <a:avLst/>
        </a:prstGeom>
      </xdr:spPr>
    </xdr:pic>
    <xdr:clientData/>
  </xdr:twoCellAnchor>
  <xdr:twoCellAnchor editAs="oneCell">
    <xdr:from>
      <xdr:col>24</xdr:col>
      <xdr:colOff>47625</xdr:colOff>
      <xdr:row>154</xdr:row>
      <xdr:rowOff>123826</xdr:rowOff>
    </xdr:from>
    <xdr:to>
      <xdr:col>28</xdr:col>
      <xdr:colOff>721926</xdr:colOff>
      <xdr:row>171</xdr:row>
      <xdr:rowOff>123826</xdr:rowOff>
    </xdr:to>
    <xdr:pic>
      <xdr:nvPicPr>
        <xdr:cNvPr id="33" name="Obrázek 32" descr="KURU7.jpg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31232475" y="30041851"/>
          <a:ext cx="3703251" cy="3238500"/>
        </a:xfrm>
        <a:prstGeom prst="rect">
          <a:avLst/>
        </a:prstGeom>
      </xdr:spPr>
    </xdr:pic>
    <xdr:clientData/>
  </xdr:twoCellAnchor>
  <xdr:twoCellAnchor editAs="oneCell">
    <xdr:from>
      <xdr:col>29</xdr:col>
      <xdr:colOff>209551</xdr:colOff>
      <xdr:row>154</xdr:row>
      <xdr:rowOff>114300</xdr:rowOff>
    </xdr:from>
    <xdr:to>
      <xdr:col>32</xdr:col>
      <xdr:colOff>6547</xdr:colOff>
      <xdr:row>171</xdr:row>
      <xdr:rowOff>152400</xdr:rowOff>
    </xdr:to>
    <xdr:pic>
      <xdr:nvPicPr>
        <xdr:cNvPr id="34" name="Obrázek 33" descr="KURU8.jpg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35680651" y="30032325"/>
          <a:ext cx="2749746" cy="3276600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</xdr:colOff>
      <xdr:row>209</xdr:row>
      <xdr:rowOff>9525</xdr:rowOff>
    </xdr:from>
    <xdr:to>
      <xdr:col>13</xdr:col>
      <xdr:colOff>619125</xdr:colOff>
      <xdr:row>231</xdr:row>
      <xdr:rowOff>38100</xdr:rowOff>
    </xdr:to>
    <xdr:pic>
      <xdr:nvPicPr>
        <xdr:cNvPr id="36" name="Obrázek 35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5" y="40347900"/>
          <a:ext cx="6153150" cy="421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38100</xdr:colOff>
      <xdr:row>232</xdr:row>
      <xdr:rowOff>47625</xdr:rowOff>
    </xdr:from>
    <xdr:to>
      <xdr:col>13</xdr:col>
      <xdr:colOff>571500</xdr:colOff>
      <xdr:row>254</xdr:row>
      <xdr:rowOff>38100</xdr:rowOff>
    </xdr:to>
    <xdr:pic>
      <xdr:nvPicPr>
        <xdr:cNvPr id="38" name="Obrázek 37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44767500"/>
          <a:ext cx="6124575" cy="418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</xdr:colOff>
      <xdr:row>257</xdr:row>
      <xdr:rowOff>9525</xdr:rowOff>
    </xdr:from>
    <xdr:to>
      <xdr:col>13</xdr:col>
      <xdr:colOff>571500</xdr:colOff>
      <xdr:row>279</xdr:row>
      <xdr:rowOff>19050</xdr:rowOff>
    </xdr:to>
    <xdr:pic>
      <xdr:nvPicPr>
        <xdr:cNvPr id="40" name="Obrázek 39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49491900"/>
          <a:ext cx="6143625" cy="420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257</xdr:row>
      <xdr:rowOff>19050</xdr:rowOff>
    </xdr:from>
    <xdr:to>
      <xdr:col>5</xdr:col>
      <xdr:colOff>885825</xdr:colOff>
      <xdr:row>280</xdr:row>
      <xdr:rowOff>0</xdr:rowOff>
    </xdr:to>
    <xdr:pic>
      <xdr:nvPicPr>
        <xdr:cNvPr id="42" name="Obrázek 41"/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9501425"/>
          <a:ext cx="5086350" cy="436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232</xdr:row>
      <xdr:rowOff>57150</xdr:rowOff>
    </xdr:from>
    <xdr:to>
      <xdr:col>5</xdr:col>
      <xdr:colOff>968063</xdr:colOff>
      <xdr:row>250</xdr:row>
      <xdr:rowOff>133350</xdr:rowOff>
    </xdr:to>
    <xdr:pic>
      <xdr:nvPicPr>
        <xdr:cNvPr id="43" name="Obrázek 42"/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77025"/>
          <a:ext cx="5216213" cy="350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28575</xdr:colOff>
      <xdr:row>283</xdr:row>
      <xdr:rowOff>9525</xdr:rowOff>
    </xdr:from>
    <xdr:to>
      <xdr:col>13</xdr:col>
      <xdr:colOff>581025</xdr:colOff>
      <xdr:row>305</xdr:row>
      <xdr:rowOff>9525</xdr:rowOff>
    </xdr:to>
    <xdr:pic>
      <xdr:nvPicPr>
        <xdr:cNvPr id="49" name="Obrázek 48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54444900"/>
          <a:ext cx="6143625" cy="419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</xdr:colOff>
      <xdr:row>308</xdr:row>
      <xdr:rowOff>9525</xdr:rowOff>
    </xdr:from>
    <xdr:to>
      <xdr:col>13</xdr:col>
      <xdr:colOff>542925</xdr:colOff>
      <xdr:row>330</xdr:row>
      <xdr:rowOff>28575</xdr:rowOff>
    </xdr:to>
    <xdr:pic>
      <xdr:nvPicPr>
        <xdr:cNvPr id="50" name="Obrázek 49"/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59207400"/>
          <a:ext cx="6124575" cy="421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308</xdr:row>
      <xdr:rowOff>19050</xdr:rowOff>
    </xdr:from>
    <xdr:to>
      <xdr:col>6</xdr:col>
      <xdr:colOff>315554</xdr:colOff>
      <xdr:row>325</xdr:row>
      <xdr:rowOff>180975</xdr:rowOff>
    </xdr:to>
    <xdr:pic>
      <xdr:nvPicPr>
        <xdr:cNvPr id="52" name="Obrázek 51"/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59216925"/>
          <a:ext cx="5735279" cy="3400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283</xdr:row>
      <xdr:rowOff>19050</xdr:rowOff>
    </xdr:from>
    <xdr:to>
      <xdr:col>5</xdr:col>
      <xdr:colOff>352425</xdr:colOff>
      <xdr:row>301</xdr:row>
      <xdr:rowOff>123825</xdr:rowOff>
    </xdr:to>
    <xdr:pic>
      <xdr:nvPicPr>
        <xdr:cNvPr id="53" name="Obrázek 52"/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4454425"/>
          <a:ext cx="4562475" cy="3533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209</xdr:row>
      <xdr:rowOff>19050</xdr:rowOff>
    </xdr:from>
    <xdr:to>
      <xdr:col>7</xdr:col>
      <xdr:colOff>314325</xdr:colOff>
      <xdr:row>228</xdr:row>
      <xdr:rowOff>95250</xdr:rowOff>
    </xdr:to>
    <xdr:pic>
      <xdr:nvPicPr>
        <xdr:cNvPr id="54" name="Obrázek 53"/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0357425"/>
          <a:ext cx="6334125" cy="3695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331</xdr:row>
      <xdr:rowOff>38100</xdr:rowOff>
    </xdr:from>
    <xdr:to>
      <xdr:col>3</xdr:col>
      <xdr:colOff>847725</xdr:colOff>
      <xdr:row>348</xdr:row>
      <xdr:rowOff>104775</xdr:rowOff>
    </xdr:to>
    <xdr:pic>
      <xdr:nvPicPr>
        <xdr:cNvPr id="56" name="Obrázek 55"/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3617475"/>
          <a:ext cx="3171825" cy="3305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13</xdr:col>
      <xdr:colOff>552450</xdr:colOff>
      <xdr:row>353</xdr:row>
      <xdr:rowOff>0</xdr:rowOff>
    </xdr:to>
    <xdr:pic>
      <xdr:nvPicPr>
        <xdr:cNvPr id="57" name="Obrázek 56"/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63579375"/>
          <a:ext cx="6143625" cy="419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19051</xdr:colOff>
      <xdr:row>355</xdr:row>
      <xdr:rowOff>9526</xdr:rowOff>
    </xdr:from>
    <xdr:to>
      <xdr:col>5</xdr:col>
      <xdr:colOff>38101</xdr:colOff>
      <xdr:row>378</xdr:row>
      <xdr:rowOff>53596</xdr:rowOff>
    </xdr:to>
    <xdr:pic>
      <xdr:nvPicPr>
        <xdr:cNvPr id="58" name="Obrázek 57"/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68160901"/>
          <a:ext cx="4267200" cy="4425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354</xdr:row>
      <xdr:rowOff>9525</xdr:rowOff>
    </xdr:from>
    <xdr:to>
      <xdr:col>13</xdr:col>
      <xdr:colOff>552450</xdr:colOff>
      <xdr:row>376</xdr:row>
      <xdr:rowOff>0</xdr:rowOff>
    </xdr:to>
    <xdr:pic>
      <xdr:nvPicPr>
        <xdr:cNvPr id="59" name="Obrázek 58"/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67970400"/>
          <a:ext cx="6143625" cy="418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381</xdr:row>
      <xdr:rowOff>19050</xdr:rowOff>
    </xdr:from>
    <xdr:to>
      <xdr:col>6</xdr:col>
      <xdr:colOff>114300</xdr:colOff>
      <xdr:row>405</xdr:row>
      <xdr:rowOff>85725</xdr:rowOff>
    </xdr:to>
    <xdr:pic>
      <xdr:nvPicPr>
        <xdr:cNvPr id="60" name="Obrázek 59"/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23425"/>
          <a:ext cx="5553075" cy="463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</xdr:colOff>
      <xdr:row>381</xdr:row>
      <xdr:rowOff>0</xdr:rowOff>
    </xdr:from>
    <xdr:to>
      <xdr:col>13</xdr:col>
      <xdr:colOff>561975</xdr:colOff>
      <xdr:row>403</xdr:row>
      <xdr:rowOff>0</xdr:rowOff>
    </xdr:to>
    <xdr:pic>
      <xdr:nvPicPr>
        <xdr:cNvPr id="61" name="Obrázek 60"/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73104375"/>
          <a:ext cx="6143625" cy="419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408</xdr:row>
      <xdr:rowOff>19050</xdr:rowOff>
    </xdr:from>
    <xdr:to>
      <xdr:col>4</xdr:col>
      <xdr:colOff>123825</xdr:colOff>
      <xdr:row>431</xdr:row>
      <xdr:rowOff>152400</xdr:rowOff>
    </xdr:to>
    <xdr:pic>
      <xdr:nvPicPr>
        <xdr:cNvPr id="62" name="Obrázek 61"/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266925"/>
          <a:ext cx="3581400" cy="451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</xdr:colOff>
      <xdr:row>408</xdr:row>
      <xdr:rowOff>19050</xdr:rowOff>
    </xdr:from>
    <xdr:to>
      <xdr:col>13</xdr:col>
      <xdr:colOff>542925</xdr:colOff>
      <xdr:row>430</xdr:row>
      <xdr:rowOff>0</xdr:rowOff>
    </xdr:to>
    <xdr:pic>
      <xdr:nvPicPr>
        <xdr:cNvPr id="63" name="Obrázek 62"/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78266925"/>
          <a:ext cx="6124575" cy="417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435</xdr:row>
      <xdr:rowOff>28575</xdr:rowOff>
    </xdr:from>
    <xdr:to>
      <xdr:col>5</xdr:col>
      <xdr:colOff>962025</xdr:colOff>
      <xdr:row>455</xdr:row>
      <xdr:rowOff>19050</xdr:rowOff>
    </xdr:to>
    <xdr:pic>
      <xdr:nvPicPr>
        <xdr:cNvPr id="64" name="Obrázek 63"/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419950"/>
          <a:ext cx="5210175" cy="380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435</xdr:row>
      <xdr:rowOff>19050</xdr:rowOff>
    </xdr:from>
    <xdr:to>
      <xdr:col>13</xdr:col>
      <xdr:colOff>542925</xdr:colOff>
      <xdr:row>457</xdr:row>
      <xdr:rowOff>38100</xdr:rowOff>
    </xdr:to>
    <xdr:pic>
      <xdr:nvPicPr>
        <xdr:cNvPr id="65" name="Obrázek 64"/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3410425"/>
          <a:ext cx="6134100" cy="421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4</xdr:row>
      <xdr:rowOff>95251</xdr:rowOff>
    </xdr:from>
    <xdr:to>
      <xdr:col>3</xdr:col>
      <xdr:colOff>942975</xdr:colOff>
      <xdr:row>20</xdr:row>
      <xdr:rowOff>89601</xdr:rowOff>
    </xdr:to>
    <xdr:pic>
      <xdr:nvPicPr>
        <xdr:cNvPr id="2" name="Obrázek 1" descr="KV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33475" y="904876"/>
          <a:ext cx="2838450" cy="3137600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4</xdr:row>
      <xdr:rowOff>76200</xdr:rowOff>
    </xdr:from>
    <xdr:to>
      <xdr:col>10</xdr:col>
      <xdr:colOff>443563</xdr:colOff>
      <xdr:row>20</xdr:row>
      <xdr:rowOff>104775</xdr:rowOff>
    </xdr:to>
    <xdr:pic>
      <xdr:nvPicPr>
        <xdr:cNvPr id="3" name="Obrázek 2" descr="KV2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962525" y="885825"/>
          <a:ext cx="4834588" cy="3171825"/>
        </a:xfrm>
        <a:prstGeom prst="rect">
          <a:avLst/>
        </a:prstGeom>
      </xdr:spPr>
    </xdr:pic>
    <xdr:clientData/>
  </xdr:twoCellAnchor>
  <xdr:twoCellAnchor editAs="oneCell">
    <xdr:from>
      <xdr:col>11</xdr:col>
      <xdr:colOff>504825</xdr:colOff>
      <xdr:row>4</xdr:row>
      <xdr:rowOff>209550</xdr:rowOff>
    </xdr:from>
    <xdr:to>
      <xdr:col>14</xdr:col>
      <xdr:colOff>1386681</xdr:colOff>
      <xdr:row>20</xdr:row>
      <xdr:rowOff>161925</xdr:rowOff>
    </xdr:to>
    <xdr:pic>
      <xdr:nvPicPr>
        <xdr:cNvPr id="4" name="Obrázek 3" descr="KV3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591800" y="1019175"/>
          <a:ext cx="3948906" cy="3095625"/>
        </a:xfrm>
        <a:prstGeom prst="rect">
          <a:avLst/>
        </a:prstGeom>
      </xdr:spPr>
    </xdr:pic>
    <xdr:clientData/>
  </xdr:twoCellAnchor>
  <xdr:twoCellAnchor editAs="oneCell">
    <xdr:from>
      <xdr:col>15</xdr:col>
      <xdr:colOff>704851</xdr:colOff>
      <xdr:row>5</xdr:row>
      <xdr:rowOff>76200</xdr:rowOff>
    </xdr:from>
    <xdr:to>
      <xdr:col>17</xdr:col>
      <xdr:colOff>1057275</xdr:colOff>
      <xdr:row>20</xdr:row>
      <xdr:rowOff>160310</xdr:rowOff>
    </xdr:to>
    <xdr:pic>
      <xdr:nvPicPr>
        <xdr:cNvPr id="5" name="Obrázek 4" descr="KV4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5249526" y="1123950"/>
          <a:ext cx="3552824" cy="2989235"/>
        </a:xfrm>
        <a:prstGeom prst="rect">
          <a:avLst/>
        </a:prstGeom>
      </xdr:spPr>
    </xdr:pic>
    <xdr:clientData/>
  </xdr:twoCellAnchor>
  <xdr:twoCellAnchor editAs="oneCell">
    <xdr:from>
      <xdr:col>18</xdr:col>
      <xdr:colOff>552451</xdr:colOff>
      <xdr:row>5</xdr:row>
      <xdr:rowOff>85727</xdr:rowOff>
    </xdr:from>
    <xdr:to>
      <xdr:col>20</xdr:col>
      <xdr:colOff>980850</xdr:colOff>
      <xdr:row>20</xdr:row>
      <xdr:rowOff>66676</xdr:rowOff>
    </xdr:to>
    <xdr:pic>
      <xdr:nvPicPr>
        <xdr:cNvPr id="6" name="Obrázek 5" descr="KV5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831051" y="1133477"/>
          <a:ext cx="3905024" cy="2886074"/>
        </a:xfrm>
        <a:prstGeom prst="rect">
          <a:avLst/>
        </a:prstGeom>
      </xdr:spPr>
    </xdr:pic>
    <xdr:clientData/>
  </xdr:twoCellAnchor>
  <xdr:twoCellAnchor editAs="oneCell">
    <xdr:from>
      <xdr:col>21</xdr:col>
      <xdr:colOff>514351</xdr:colOff>
      <xdr:row>4</xdr:row>
      <xdr:rowOff>161925</xdr:rowOff>
    </xdr:from>
    <xdr:to>
      <xdr:col>24</xdr:col>
      <xdr:colOff>835951</xdr:colOff>
      <xdr:row>20</xdr:row>
      <xdr:rowOff>57150</xdr:rowOff>
    </xdr:to>
    <xdr:pic>
      <xdr:nvPicPr>
        <xdr:cNvPr id="7" name="Obrázek 6" descr="KV6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5146001" y="971550"/>
          <a:ext cx="3626775" cy="3038475"/>
        </a:xfrm>
        <a:prstGeom prst="rect">
          <a:avLst/>
        </a:prstGeom>
      </xdr:spPr>
    </xdr:pic>
    <xdr:clientData/>
  </xdr:twoCellAnchor>
  <xdr:twoCellAnchor editAs="oneCell">
    <xdr:from>
      <xdr:col>25</xdr:col>
      <xdr:colOff>619126</xdr:colOff>
      <xdr:row>4</xdr:row>
      <xdr:rowOff>171451</xdr:rowOff>
    </xdr:from>
    <xdr:to>
      <xdr:col>30</xdr:col>
      <xdr:colOff>171450</xdr:colOff>
      <xdr:row>20</xdr:row>
      <xdr:rowOff>175282</xdr:rowOff>
    </xdr:to>
    <xdr:pic>
      <xdr:nvPicPr>
        <xdr:cNvPr id="8" name="Obrázek 7" descr="KV7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0060901" y="981076"/>
          <a:ext cx="3562349" cy="3147081"/>
        </a:xfrm>
        <a:prstGeom prst="rect">
          <a:avLst/>
        </a:prstGeom>
      </xdr:spPr>
    </xdr:pic>
    <xdr:clientData/>
  </xdr:twoCellAnchor>
  <xdr:twoCellAnchor editAs="oneCell">
    <xdr:from>
      <xdr:col>31</xdr:col>
      <xdr:colOff>638175</xdr:colOff>
      <xdr:row>4</xdr:row>
      <xdr:rowOff>152400</xdr:rowOff>
    </xdr:from>
    <xdr:to>
      <xdr:col>33</xdr:col>
      <xdr:colOff>369325</xdr:colOff>
      <xdr:row>21</xdr:row>
      <xdr:rowOff>104775</xdr:rowOff>
    </xdr:to>
    <xdr:pic>
      <xdr:nvPicPr>
        <xdr:cNvPr id="9" name="Obrázek 8" descr="KV8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4737675" y="962025"/>
          <a:ext cx="2102875" cy="3286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9525</xdr:rowOff>
    </xdr:from>
    <xdr:to>
      <xdr:col>3</xdr:col>
      <xdr:colOff>1019175</xdr:colOff>
      <xdr:row>78</xdr:row>
      <xdr:rowOff>180975</xdr:rowOff>
    </xdr:to>
    <xdr:pic>
      <xdr:nvPicPr>
        <xdr:cNvPr id="10" name="Obrázek 9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29975"/>
          <a:ext cx="4048125" cy="417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57</xdr:row>
      <xdr:rowOff>19050</xdr:rowOff>
    </xdr:from>
    <xdr:to>
      <xdr:col>13</xdr:col>
      <xdr:colOff>666750</xdr:colOff>
      <xdr:row>79</xdr:row>
      <xdr:rowOff>19050</xdr:rowOff>
    </xdr:to>
    <xdr:pic>
      <xdr:nvPicPr>
        <xdr:cNvPr id="11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5" y="11239500"/>
          <a:ext cx="6134100" cy="419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</xdr:row>
      <xdr:rowOff>19050</xdr:rowOff>
    </xdr:from>
    <xdr:to>
      <xdr:col>6</xdr:col>
      <xdr:colOff>66675</xdr:colOff>
      <xdr:row>100</xdr:row>
      <xdr:rowOff>0</xdr:rowOff>
    </xdr:to>
    <xdr:pic>
      <xdr:nvPicPr>
        <xdr:cNvPr id="12" name="Obrázek 1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00"/>
          <a:ext cx="5610225" cy="3409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9525</xdr:colOff>
      <xdr:row>82</xdr:row>
      <xdr:rowOff>9525</xdr:rowOff>
    </xdr:from>
    <xdr:to>
      <xdr:col>13</xdr:col>
      <xdr:colOff>666750</xdr:colOff>
      <xdr:row>104</xdr:row>
      <xdr:rowOff>19050</xdr:rowOff>
    </xdr:to>
    <xdr:pic>
      <xdr:nvPicPr>
        <xdr:cNvPr id="13" name="Obrázek 12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15992475"/>
          <a:ext cx="6143625" cy="420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</xdr:row>
      <xdr:rowOff>38100</xdr:rowOff>
    </xdr:from>
    <xdr:to>
      <xdr:col>4</xdr:col>
      <xdr:colOff>419100</xdr:colOff>
      <xdr:row>127</xdr:row>
      <xdr:rowOff>47625</xdr:rowOff>
    </xdr:to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402550"/>
          <a:ext cx="4638675" cy="420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9525</xdr:colOff>
      <xdr:row>105</xdr:row>
      <xdr:rowOff>19050</xdr:rowOff>
    </xdr:from>
    <xdr:to>
      <xdr:col>13</xdr:col>
      <xdr:colOff>657225</xdr:colOff>
      <xdr:row>127</xdr:row>
      <xdr:rowOff>19050</xdr:rowOff>
    </xdr:to>
    <xdr:pic>
      <xdr:nvPicPr>
        <xdr:cNvPr id="15" name="Obrázek 14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20383500"/>
          <a:ext cx="6134100" cy="419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5</xdr:col>
      <xdr:colOff>314325</xdr:colOff>
      <xdr:row>151</xdr:row>
      <xdr:rowOff>142875</xdr:rowOff>
    </xdr:to>
    <xdr:pic>
      <xdr:nvPicPr>
        <xdr:cNvPr id="16" name="Obrázek 15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26950"/>
          <a:ext cx="5191125" cy="414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9525</xdr:colOff>
      <xdr:row>130</xdr:row>
      <xdr:rowOff>19050</xdr:rowOff>
    </xdr:from>
    <xdr:to>
      <xdr:col>13</xdr:col>
      <xdr:colOff>676275</xdr:colOff>
      <xdr:row>152</xdr:row>
      <xdr:rowOff>28575</xdr:rowOff>
    </xdr:to>
    <xdr:pic>
      <xdr:nvPicPr>
        <xdr:cNvPr id="17" name="Obrázek 16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25146000"/>
          <a:ext cx="6153150" cy="420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155</xdr:row>
      <xdr:rowOff>9525</xdr:rowOff>
    </xdr:from>
    <xdr:to>
      <xdr:col>5</xdr:col>
      <xdr:colOff>228600</xdr:colOff>
      <xdr:row>171</xdr:row>
      <xdr:rowOff>57150</xdr:rowOff>
    </xdr:to>
    <xdr:pic>
      <xdr:nvPicPr>
        <xdr:cNvPr id="18" name="Obrázek 17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898975"/>
          <a:ext cx="5105400" cy="3095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9525</xdr:colOff>
      <xdr:row>155</xdr:row>
      <xdr:rowOff>19050</xdr:rowOff>
    </xdr:from>
    <xdr:to>
      <xdr:col>13</xdr:col>
      <xdr:colOff>666750</xdr:colOff>
      <xdr:row>177</xdr:row>
      <xdr:rowOff>38100</xdr:rowOff>
    </xdr:to>
    <xdr:pic>
      <xdr:nvPicPr>
        <xdr:cNvPr id="19" name="Obrázek 18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29908500"/>
          <a:ext cx="6143625" cy="421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178</xdr:row>
      <xdr:rowOff>0</xdr:rowOff>
    </xdr:from>
    <xdr:to>
      <xdr:col>3</xdr:col>
      <xdr:colOff>866775</xdr:colOff>
      <xdr:row>193</xdr:row>
      <xdr:rowOff>85725</xdr:rowOff>
    </xdr:to>
    <xdr:pic>
      <xdr:nvPicPr>
        <xdr:cNvPr id="21" name="Obrázek 20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70950"/>
          <a:ext cx="3895725" cy="2943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178</xdr:row>
      <xdr:rowOff>0</xdr:rowOff>
    </xdr:from>
    <xdr:to>
      <xdr:col>13</xdr:col>
      <xdr:colOff>657225</xdr:colOff>
      <xdr:row>200</xdr:row>
      <xdr:rowOff>19050</xdr:rowOff>
    </xdr:to>
    <xdr:pic>
      <xdr:nvPicPr>
        <xdr:cNvPr id="22" name="Obrázek 21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4270950"/>
          <a:ext cx="6143625" cy="421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202</xdr:row>
      <xdr:rowOff>0</xdr:rowOff>
    </xdr:from>
    <xdr:to>
      <xdr:col>4</xdr:col>
      <xdr:colOff>0</xdr:colOff>
      <xdr:row>226</xdr:row>
      <xdr:rowOff>66675</xdr:rowOff>
    </xdr:to>
    <xdr:pic>
      <xdr:nvPicPr>
        <xdr:cNvPr id="23" name="Obrázek 22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223950"/>
          <a:ext cx="4219575" cy="463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202</xdr:row>
      <xdr:rowOff>0</xdr:rowOff>
    </xdr:from>
    <xdr:to>
      <xdr:col>13</xdr:col>
      <xdr:colOff>657225</xdr:colOff>
      <xdr:row>224</xdr:row>
      <xdr:rowOff>0</xdr:rowOff>
    </xdr:to>
    <xdr:pic>
      <xdr:nvPicPr>
        <xdr:cNvPr id="24" name="Obrázek 23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9223950"/>
          <a:ext cx="6143625" cy="419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229</xdr:row>
      <xdr:rowOff>9525</xdr:rowOff>
    </xdr:from>
    <xdr:to>
      <xdr:col>2</xdr:col>
      <xdr:colOff>628650</xdr:colOff>
      <xdr:row>247</xdr:row>
      <xdr:rowOff>76200</xdr:rowOff>
    </xdr:to>
    <xdr:pic>
      <xdr:nvPicPr>
        <xdr:cNvPr id="25" name="Obrázek 24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3995975"/>
          <a:ext cx="2676525" cy="3495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229</xdr:row>
      <xdr:rowOff>19050</xdr:rowOff>
    </xdr:from>
    <xdr:to>
      <xdr:col>13</xdr:col>
      <xdr:colOff>676275</xdr:colOff>
      <xdr:row>251</xdr:row>
      <xdr:rowOff>38100</xdr:rowOff>
    </xdr:to>
    <xdr:pic>
      <xdr:nvPicPr>
        <xdr:cNvPr id="26" name="Obrázek 25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5" y="44005500"/>
          <a:ext cx="6143625" cy="421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253</xdr:row>
      <xdr:rowOff>0</xdr:rowOff>
    </xdr:from>
    <xdr:to>
      <xdr:col>2</xdr:col>
      <xdr:colOff>552450</xdr:colOff>
      <xdr:row>269</xdr:row>
      <xdr:rowOff>28575</xdr:rowOff>
    </xdr:to>
    <xdr:pic>
      <xdr:nvPicPr>
        <xdr:cNvPr id="27" name="Obrázek 26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58450"/>
          <a:ext cx="2619375" cy="3076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253</xdr:row>
      <xdr:rowOff>0</xdr:rowOff>
    </xdr:from>
    <xdr:to>
      <xdr:col>13</xdr:col>
      <xdr:colOff>666750</xdr:colOff>
      <xdr:row>275</xdr:row>
      <xdr:rowOff>9525</xdr:rowOff>
    </xdr:to>
    <xdr:pic>
      <xdr:nvPicPr>
        <xdr:cNvPr id="28" name="Obrázek 27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48558450"/>
          <a:ext cx="6153150" cy="420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279</xdr:row>
      <xdr:rowOff>9525</xdr:rowOff>
    </xdr:from>
    <xdr:to>
      <xdr:col>6</xdr:col>
      <xdr:colOff>285750</xdr:colOff>
      <xdr:row>297</xdr:row>
      <xdr:rowOff>9525</xdr:rowOff>
    </xdr:to>
    <xdr:pic>
      <xdr:nvPicPr>
        <xdr:cNvPr id="29" name="Obrázek 28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520975"/>
          <a:ext cx="5829300" cy="342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279</xdr:row>
      <xdr:rowOff>19050</xdr:rowOff>
    </xdr:from>
    <xdr:to>
      <xdr:col>13</xdr:col>
      <xdr:colOff>666750</xdr:colOff>
      <xdr:row>301</xdr:row>
      <xdr:rowOff>28575</xdr:rowOff>
    </xdr:to>
    <xdr:pic>
      <xdr:nvPicPr>
        <xdr:cNvPr id="30" name="Obrázek 29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3530500"/>
          <a:ext cx="6153150" cy="420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4</xdr:row>
      <xdr:rowOff>104775</xdr:rowOff>
    </xdr:from>
    <xdr:to>
      <xdr:col>4</xdr:col>
      <xdr:colOff>257175</xdr:colOff>
      <xdr:row>15</xdr:row>
      <xdr:rowOff>177523</xdr:rowOff>
    </xdr:to>
    <xdr:pic>
      <xdr:nvPicPr>
        <xdr:cNvPr id="2" name="Obrázek 1" descr="OBSS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4850" y="1104900"/>
          <a:ext cx="3552825" cy="2215873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4</xdr:row>
      <xdr:rowOff>47626</xdr:rowOff>
    </xdr:from>
    <xdr:to>
      <xdr:col>10</xdr:col>
      <xdr:colOff>581026</xdr:colOff>
      <xdr:row>16</xdr:row>
      <xdr:rowOff>68887</xdr:rowOff>
    </xdr:to>
    <xdr:pic>
      <xdr:nvPicPr>
        <xdr:cNvPr id="3" name="Obrázek 2" descr="OBSS2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72101" y="1047751"/>
          <a:ext cx="4114800" cy="2354886"/>
        </a:xfrm>
        <a:prstGeom prst="rect">
          <a:avLst/>
        </a:prstGeom>
      </xdr:spPr>
    </xdr:pic>
    <xdr:clientData/>
  </xdr:twoCellAnchor>
  <xdr:twoCellAnchor editAs="oneCell">
    <xdr:from>
      <xdr:col>11</xdr:col>
      <xdr:colOff>857250</xdr:colOff>
      <xdr:row>4</xdr:row>
      <xdr:rowOff>85725</xdr:rowOff>
    </xdr:from>
    <xdr:to>
      <xdr:col>14</xdr:col>
      <xdr:colOff>1140261</xdr:colOff>
      <xdr:row>15</xdr:row>
      <xdr:rowOff>104775</xdr:rowOff>
    </xdr:to>
    <xdr:pic>
      <xdr:nvPicPr>
        <xdr:cNvPr id="4" name="Obrázek 3" descr="OBSS3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534650" y="1085850"/>
          <a:ext cx="3702486" cy="2162175"/>
        </a:xfrm>
        <a:prstGeom prst="rect">
          <a:avLst/>
        </a:prstGeom>
      </xdr:spPr>
    </xdr:pic>
    <xdr:clientData/>
  </xdr:twoCellAnchor>
  <xdr:twoCellAnchor editAs="oneCell">
    <xdr:from>
      <xdr:col>15</xdr:col>
      <xdr:colOff>523875</xdr:colOff>
      <xdr:row>4</xdr:row>
      <xdr:rowOff>28576</xdr:rowOff>
    </xdr:from>
    <xdr:to>
      <xdr:col>17</xdr:col>
      <xdr:colOff>1219200</xdr:colOff>
      <xdr:row>15</xdr:row>
      <xdr:rowOff>47649</xdr:rowOff>
    </xdr:to>
    <xdr:pic>
      <xdr:nvPicPr>
        <xdr:cNvPr id="5" name="Obrázek 4" descr="OBSS4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5154275" y="1028701"/>
          <a:ext cx="3895725" cy="2162198"/>
        </a:xfrm>
        <a:prstGeom prst="rect">
          <a:avLst/>
        </a:prstGeom>
      </xdr:spPr>
    </xdr:pic>
    <xdr:clientData/>
  </xdr:twoCellAnchor>
  <xdr:twoCellAnchor editAs="oneCell">
    <xdr:from>
      <xdr:col>18</xdr:col>
      <xdr:colOff>800099</xdr:colOff>
      <xdr:row>3</xdr:row>
      <xdr:rowOff>38100</xdr:rowOff>
    </xdr:from>
    <xdr:to>
      <xdr:col>19</xdr:col>
      <xdr:colOff>854128</xdr:colOff>
      <xdr:row>17</xdr:row>
      <xdr:rowOff>95250</xdr:rowOff>
    </xdr:to>
    <xdr:pic>
      <xdr:nvPicPr>
        <xdr:cNvPr id="6" name="Obrázek 5" descr="OBSS5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0440649" y="847725"/>
          <a:ext cx="1863779" cy="2771775"/>
        </a:xfrm>
        <a:prstGeom prst="rect">
          <a:avLst/>
        </a:prstGeom>
      </xdr:spPr>
    </xdr:pic>
    <xdr:clientData/>
  </xdr:twoCellAnchor>
  <xdr:twoCellAnchor editAs="oneCell">
    <xdr:from>
      <xdr:col>19</xdr:col>
      <xdr:colOff>1457325</xdr:colOff>
      <xdr:row>3</xdr:row>
      <xdr:rowOff>57150</xdr:rowOff>
    </xdr:from>
    <xdr:to>
      <xdr:col>21</xdr:col>
      <xdr:colOff>495300</xdr:colOff>
      <xdr:row>17</xdr:row>
      <xdr:rowOff>99191</xdr:rowOff>
    </xdr:to>
    <xdr:pic>
      <xdr:nvPicPr>
        <xdr:cNvPr id="7" name="Obrázek 6" descr="OBSS6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2907625" y="866775"/>
          <a:ext cx="2933700" cy="2756666"/>
        </a:xfrm>
        <a:prstGeom prst="rect">
          <a:avLst/>
        </a:prstGeom>
      </xdr:spPr>
    </xdr:pic>
    <xdr:clientData/>
  </xdr:twoCellAnchor>
  <xdr:twoCellAnchor editAs="oneCell">
    <xdr:from>
      <xdr:col>23</xdr:col>
      <xdr:colOff>85726</xdr:colOff>
      <xdr:row>3</xdr:row>
      <xdr:rowOff>161926</xdr:rowOff>
    </xdr:from>
    <xdr:to>
      <xdr:col>27</xdr:col>
      <xdr:colOff>702185</xdr:colOff>
      <xdr:row>16</xdr:row>
      <xdr:rowOff>95250</xdr:rowOff>
    </xdr:to>
    <xdr:pic>
      <xdr:nvPicPr>
        <xdr:cNvPr id="8" name="Obrázek 7" descr="OBSS7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6565226" y="971551"/>
          <a:ext cx="3350134" cy="2457449"/>
        </a:xfrm>
        <a:prstGeom prst="rect">
          <a:avLst/>
        </a:prstGeom>
      </xdr:spPr>
    </xdr:pic>
    <xdr:clientData/>
  </xdr:twoCellAnchor>
  <xdr:twoCellAnchor editAs="oneCell">
    <xdr:from>
      <xdr:col>28</xdr:col>
      <xdr:colOff>238125</xdr:colOff>
      <xdr:row>3</xdr:row>
      <xdr:rowOff>28576</xdr:rowOff>
    </xdr:from>
    <xdr:to>
      <xdr:col>32</xdr:col>
      <xdr:colOff>390525</xdr:colOff>
      <xdr:row>17</xdr:row>
      <xdr:rowOff>50117</xdr:rowOff>
    </xdr:to>
    <xdr:pic>
      <xdr:nvPicPr>
        <xdr:cNvPr id="9" name="Obrázek 8" descr="OBSS8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0222825" y="1028701"/>
          <a:ext cx="3657600" cy="2736166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</xdr:colOff>
      <xdr:row>33</xdr:row>
      <xdr:rowOff>142875</xdr:rowOff>
    </xdr:from>
    <xdr:to>
      <xdr:col>4</xdr:col>
      <xdr:colOff>503670</xdr:colOff>
      <xdr:row>46</xdr:row>
      <xdr:rowOff>180975</xdr:rowOff>
    </xdr:to>
    <xdr:pic>
      <xdr:nvPicPr>
        <xdr:cNvPr id="10" name="Obrázek 9" descr="OBSU1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66725" y="7248525"/>
          <a:ext cx="4037445" cy="2562225"/>
        </a:xfrm>
        <a:prstGeom prst="rect">
          <a:avLst/>
        </a:prstGeom>
      </xdr:spPr>
    </xdr:pic>
    <xdr:clientData/>
  </xdr:twoCellAnchor>
  <xdr:twoCellAnchor editAs="oneCell">
    <xdr:from>
      <xdr:col>10</xdr:col>
      <xdr:colOff>476250</xdr:colOff>
      <xdr:row>33</xdr:row>
      <xdr:rowOff>142875</xdr:rowOff>
    </xdr:from>
    <xdr:to>
      <xdr:col>16</xdr:col>
      <xdr:colOff>733425</xdr:colOff>
      <xdr:row>46</xdr:row>
      <xdr:rowOff>152400</xdr:rowOff>
    </xdr:to>
    <xdr:pic>
      <xdr:nvPicPr>
        <xdr:cNvPr id="12" name="Obrázek 11" descr="OBSU3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382125" y="7248525"/>
          <a:ext cx="7648575" cy="2533650"/>
        </a:xfrm>
        <a:prstGeom prst="rect">
          <a:avLst/>
        </a:prstGeom>
      </xdr:spPr>
    </xdr:pic>
    <xdr:clientData/>
  </xdr:twoCellAnchor>
  <xdr:twoCellAnchor editAs="oneCell">
    <xdr:from>
      <xdr:col>16</xdr:col>
      <xdr:colOff>1066800</xdr:colOff>
      <xdr:row>33</xdr:row>
      <xdr:rowOff>190500</xdr:rowOff>
    </xdr:from>
    <xdr:to>
      <xdr:col>20</xdr:col>
      <xdr:colOff>465337</xdr:colOff>
      <xdr:row>46</xdr:row>
      <xdr:rowOff>19050</xdr:rowOff>
    </xdr:to>
    <xdr:pic>
      <xdr:nvPicPr>
        <xdr:cNvPr id="13" name="Obrázek 12" descr="OBSU4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7364075" y="7296150"/>
          <a:ext cx="6427987" cy="2352675"/>
        </a:xfrm>
        <a:prstGeom prst="rect">
          <a:avLst/>
        </a:prstGeom>
      </xdr:spPr>
    </xdr:pic>
    <xdr:clientData/>
  </xdr:twoCellAnchor>
  <xdr:twoCellAnchor editAs="oneCell">
    <xdr:from>
      <xdr:col>20</xdr:col>
      <xdr:colOff>1276351</xdr:colOff>
      <xdr:row>33</xdr:row>
      <xdr:rowOff>190501</xdr:rowOff>
    </xdr:from>
    <xdr:to>
      <xdr:col>24</xdr:col>
      <xdr:colOff>705679</xdr:colOff>
      <xdr:row>47</xdr:row>
      <xdr:rowOff>9526</xdr:rowOff>
    </xdr:to>
    <xdr:pic>
      <xdr:nvPicPr>
        <xdr:cNvPr id="14" name="Obrázek 13" descr="OBSU5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4603076" y="7296151"/>
          <a:ext cx="3125028" cy="2533650"/>
        </a:xfrm>
        <a:prstGeom prst="rect">
          <a:avLst/>
        </a:prstGeom>
      </xdr:spPr>
    </xdr:pic>
    <xdr:clientData/>
  </xdr:twoCellAnchor>
  <xdr:twoCellAnchor editAs="oneCell">
    <xdr:from>
      <xdr:col>25</xdr:col>
      <xdr:colOff>266700</xdr:colOff>
      <xdr:row>33</xdr:row>
      <xdr:rowOff>171450</xdr:rowOff>
    </xdr:from>
    <xdr:to>
      <xdr:col>29</xdr:col>
      <xdr:colOff>410580</xdr:colOff>
      <xdr:row>46</xdr:row>
      <xdr:rowOff>161925</xdr:rowOff>
    </xdr:to>
    <xdr:pic>
      <xdr:nvPicPr>
        <xdr:cNvPr id="15" name="Obrázek 14" descr="OBSU6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28117800" y="7277100"/>
          <a:ext cx="2944230" cy="2514600"/>
        </a:xfrm>
        <a:prstGeom prst="rect">
          <a:avLst/>
        </a:prstGeom>
      </xdr:spPr>
    </xdr:pic>
    <xdr:clientData/>
  </xdr:twoCellAnchor>
  <xdr:twoCellAnchor editAs="oneCell">
    <xdr:from>
      <xdr:col>30</xdr:col>
      <xdr:colOff>790575</xdr:colOff>
      <xdr:row>33</xdr:row>
      <xdr:rowOff>142875</xdr:rowOff>
    </xdr:from>
    <xdr:to>
      <xdr:col>34</xdr:col>
      <xdr:colOff>666750</xdr:colOff>
      <xdr:row>47</xdr:row>
      <xdr:rowOff>4734</xdr:rowOff>
    </xdr:to>
    <xdr:pic>
      <xdr:nvPicPr>
        <xdr:cNvPr id="16" name="Obrázek 15" descr="OBSU7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2013525" y="7248525"/>
          <a:ext cx="3790950" cy="2576484"/>
        </a:xfrm>
        <a:prstGeom prst="rect">
          <a:avLst/>
        </a:prstGeom>
      </xdr:spPr>
    </xdr:pic>
    <xdr:clientData/>
  </xdr:twoCellAnchor>
  <xdr:twoCellAnchor editAs="oneCell">
    <xdr:from>
      <xdr:col>34</xdr:col>
      <xdr:colOff>1114426</xdr:colOff>
      <xdr:row>33</xdr:row>
      <xdr:rowOff>95250</xdr:rowOff>
    </xdr:from>
    <xdr:to>
      <xdr:col>38</xdr:col>
      <xdr:colOff>57151</xdr:colOff>
      <xdr:row>49</xdr:row>
      <xdr:rowOff>15452</xdr:rowOff>
    </xdr:to>
    <xdr:pic>
      <xdr:nvPicPr>
        <xdr:cNvPr id="17" name="Obrázek 16" descr="OBSU8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36252151" y="7200900"/>
          <a:ext cx="2609850" cy="3015827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33</xdr:row>
      <xdr:rowOff>76200</xdr:rowOff>
    </xdr:from>
    <xdr:to>
      <xdr:col>10</xdr:col>
      <xdr:colOff>52467</xdr:colOff>
      <xdr:row>46</xdr:row>
      <xdr:rowOff>133350</xdr:rowOff>
    </xdr:to>
    <xdr:pic>
      <xdr:nvPicPr>
        <xdr:cNvPr id="18" name="Obrázek 17" descr="OBSS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19650" y="7181850"/>
          <a:ext cx="4138692" cy="25812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57149</xdr:colOff>
      <xdr:row>4</xdr:row>
      <xdr:rowOff>161926</xdr:rowOff>
    </xdr:from>
    <xdr:to>
      <xdr:col>18</xdr:col>
      <xdr:colOff>1982518</xdr:colOff>
      <xdr:row>20</xdr:row>
      <xdr:rowOff>0</xdr:rowOff>
    </xdr:to>
    <xdr:pic>
      <xdr:nvPicPr>
        <xdr:cNvPr id="16" name="Obrázek 15" descr="trojuhelnikT4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992599" y="1209676"/>
          <a:ext cx="6425402" cy="2886074"/>
        </a:xfrm>
        <a:prstGeom prst="rect">
          <a:avLst/>
        </a:prstGeom>
      </xdr:spPr>
    </xdr:pic>
    <xdr:clientData/>
  </xdr:twoCellAnchor>
  <xdr:twoCellAnchor editAs="oneCell">
    <xdr:from>
      <xdr:col>11</xdr:col>
      <xdr:colOff>228600</xdr:colOff>
      <xdr:row>4</xdr:row>
      <xdr:rowOff>104775</xdr:rowOff>
    </xdr:from>
    <xdr:to>
      <xdr:col>12</xdr:col>
      <xdr:colOff>2710656</xdr:colOff>
      <xdr:row>20</xdr:row>
      <xdr:rowOff>56932</xdr:rowOff>
    </xdr:to>
    <xdr:pic>
      <xdr:nvPicPr>
        <xdr:cNvPr id="17" name="Obrázek 16" descr="trojuhelnikT3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82450" y="1152525"/>
          <a:ext cx="3555206" cy="3000157"/>
        </a:xfrm>
        <a:prstGeom prst="rect">
          <a:avLst/>
        </a:prstGeom>
      </xdr:spPr>
    </xdr:pic>
    <xdr:clientData/>
  </xdr:twoCellAnchor>
  <xdr:twoCellAnchor editAs="oneCell">
    <xdr:from>
      <xdr:col>6</xdr:col>
      <xdr:colOff>676275</xdr:colOff>
      <xdr:row>4</xdr:row>
      <xdr:rowOff>104775</xdr:rowOff>
    </xdr:from>
    <xdr:to>
      <xdr:col>9</xdr:col>
      <xdr:colOff>1388004</xdr:colOff>
      <xdr:row>20</xdr:row>
      <xdr:rowOff>33750</xdr:rowOff>
    </xdr:to>
    <xdr:pic>
      <xdr:nvPicPr>
        <xdr:cNvPr id="18" name="Obrázek 17" descr="trojuhelnikT2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343775" y="1152525"/>
          <a:ext cx="3738562" cy="2976975"/>
        </a:xfrm>
        <a:prstGeom prst="rect">
          <a:avLst/>
        </a:prstGeom>
      </xdr:spPr>
    </xdr:pic>
    <xdr:clientData/>
  </xdr:twoCellAnchor>
  <xdr:twoCellAnchor editAs="oneCell">
    <xdr:from>
      <xdr:col>0</xdr:col>
      <xdr:colOff>771526</xdr:colOff>
      <xdr:row>5</xdr:row>
      <xdr:rowOff>1</xdr:rowOff>
    </xdr:from>
    <xdr:to>
      <xdr:col>5</xdr:col>
      <xdr:colOff>953769</xdr:colOff>
      <xdr:row>19</xdr:row>
      <xdr:rowOff>57151</xdr:rowOff>
    </xdr:to>
    <xdr:pic>
      <xdr:nvPicPr>
        <xdr:cNvPr id="19" name="Obrázek 18" descr="trojuhelnikT1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6" y="1047751"/>
          <a:ext cx="5854910" cy="2724150"/>
        </a:xfrm>
        <a:prstGeom prst="rect">
          <a:avLst/>
        </a:prstGeom>
      </xdr:spPr>
    </xdr:pic>
    <xdr:clientData/>
  </xdr:twoCellAnchor>
  <xdr:twoCellAnchor editAs="oneCell">
    <xdr:from>
      <xdr:col>20</xdr:col>
      <xdr:colOff>19051</xdr:colOff>
      <xdr:row>4</xdr:row>
      <xdr:rowOff>133350</xdr:rowOff>
    </xdr:from>
    <xdr:to>
      <xdr:col>22</xdr:col>
      <xdr:colOff>1697568</xdr:colOff>
      <xdr:row>19</xdr:row>
      <xdr:rowOff>174681</xdr:rowOff>
    </xdr:to>
    <xdr:pic>
      <xdr:nvPicPr>
        <xdr:cNvPr id="20" name="Obrázek 19" descr="trojuhelnikT5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5412701" y="1181100"/>
          <a:ext cx="5514975" cy="2898831"/>
        </a:xfrm>
        <a:prstGeom prst="rect">
          <a:avLst/>
        </a:prstGeom>
      </xdr:spPr>
    </xdr:pic>
    <xdr:clientData/>
  </xdr:twoCellAnchor>
  <xdr:twoCellAnchor editAs="oneCell">
    <xdr:from>
      <xdr:col>23</xdr:col>
      <xdr:colOff>1476375</xdr:colOff>
      <xdr:row>3</xdr:row>
      <xdr:rowOff>114300</xdr:rowOff>
    </xdr:from>
    <xdr:to>
      <xdr:col>25</xdr:col>
      <xdr:colOff>417803</xdr:colOff>
      <xdr:row>21</xdr:row>
      <xdr:rowOff>66675</xdr:rowOff>
    </xdr:to>
    <xdr:pic>
      <xdr:nvPicPr>
        <xdr:cNvPr id="21" name="Obrázek 20" descr="trojuhelnikT6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2870775" y="923925"/>
          <a:ext cx="3408653" cy="3419475"/>
        </a:xfrm>
        <a:prstGeom prst="rect">
          <a:avLst/>
        </a:prstGeom>
      </xdr:spPr>
    </xdr:pic>
    <xdr:clientData/>
  </xdr:twoCellAnchor>
  <xdr:twoCellAnchor editAs="oneCell">
    <xdr:from>
      <xdr:col>26</xdr:col>
      <xdr:colOff>561975</xdr:colOff>
      <xdr:row>3</xdr:row>
      <xdr:rowOff>133350</xdr:rowOff>
    </xdr:from>
    <xdr:to>
      <xdr:col>34</xdr:col>
      <xdr:colOff>294481</xdr:colOff>
      <xdr:row>21</xdr:row>
      <xdr:rowOff>89052</xdr:rowOff>
    </xdr:to>
    <xdr:pic>
      <xdr:nvPicPr>
        <xdr:cNvPr id="22" name="Obrázek 21" descr="trojuhelnikT7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6833175" y="942975"/>
          <a:ext cx="7698581" cy="3422802"/>
        </a:xfrm>
        <a:prstGeom prst="rect">
          <a:avLst/>
        </a:prstGeom>
      </xdr:spPr>
    </xdr:pic>
    <xdr:clientData/>
  </xdr:twoCellAnchor>
  <xdr:twoCellAnchor editAs="oneCell">
    <xdr:from>
      <xdr:col>35</xdr:col>
      <xdr:colOff>1400176</xdr:colOff>
      <xdr:row>3</xdr:row>
      <xdr:rowOff>180976</xdr:rowOff>
    </xdr:from>
    <xdr:to>
      <xdr:col>40</xdr:col>
      <xdr:colOff>909108</xdr:colOff>
      <xdr:row>20</xdr:row>
      <xdr:rowOff>168697</xdr:rowOff>
    </xdr:to>
    <xdr:pic>
      <xdr:nvPicPr>
        <xdr:cNvPr id="23" name="Obrázek 22" descr="trojuhelnikT8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5929551" y="990601"/>
          <a:ext cx="5676899" cy="3273846"/>
        </a:xfrm>
        <a:prstGeom prst="rect">
          <a:avLst/>
        </a:prstGeom>
      </xdr:spPr>
    </xdr:pic>
    <xdr:clientData/>
  </xdr:twoCellAnchor>
  <xdr:twoCellAnchor editAs="oneCell">
    <xdr:from>
      <xdr:col>0</xdr:col>
      <xdr:colOff>1123950</xdr:colOff>
      <xdr:row>53</xdr:row>
      <xdr:rowOff>180976</xdr:rowOff>
    </xdr:from>
    <xdr:to>
      <xdr:col>5</xdr:col>
      <xdr:colOff>657122</xdr:colOff>
      <xdr:row>68</xdr:row>
      <xdr:rowOff>28575</xdr:rowOff>
    </xdr:to>
    <xdr:pic>
      <xdr:nvPicPr>
        <xdr:cNvPr id="24" name="Obrázek 23" descr="trojuhelnikSUS_T1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123950" y="10906126"/>
          <a:ext cx="5211130" cy="2752724"/>
        </a:xfrm>
        <a:prstGeom prst="rect">
          <a:avLst/>
        </a:prstGeom>
      </xdr:spPr>
    </xdr:pic>
    <xdr:clientData/>
  </xdr:twoCellAnchor>
  <xdr:twoCellAnchor editAs="oneCell">
    <xdr:from>
      <xdr:col>11</xdr:col>
      <xdr:colOff>219075</xdr:colOff>
      <xdr:row>53</xdr:row>
      <xdr:rowOff>85725</xdr:rowOff>
    </xdr:from>
    <xdr:to>
      <xdr:col>12</xdr:col>
      <xdr:colOff>2736850</xdr:colOff>
      <xdr:row>69</xdr:row>
      <xdr:rowOff>105929</xdr:rowOff>
    </xdr:to>
    <xdr:pic>
      <xdr:nvPicPr>
        <xdr:cNvPr id="26" name="Obrázek 25" descr="trojuhelnikSUS_T3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1972925" y="10810875"/>
          <a:ext cx="3590925" cy="3115829"/>
        </a:xfrm>
        <a:prstGeom prst="rect">
          <a:avLst/>
        </a:prstGeom>
      </xdr:spPr>
    </xdr:pic>
    <xdr:clientData/>
  </xdr:twoCellAnchor>
  <xdr:twoCellAnchor editAs="oneCell">
    <xdr:from>
      <xdr:col>14</xdr:col>
      <xdr:colOff>1085851</xdr:colOff>
      <xdr:row>54</xdr:row>
      <xdr:rowOff>180976</xdr:rowOff>
    </xdr:from>
    <xdr:to>
      <xdr:col>18</xdr:col>
      <xdr:colOff>673894</xdr:colOff>
      <xdr:row>68</xdr:row>
      <xdr:rowOff>100068</xdr:rowOff>
    </xdr:to>
    <xdr:pic>
      <xdr:nvPicPr>
        <xdr:cNvPr id="13" name="Obrázek 12" descr="trojuhelnikSUS_T4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6440151" y="11096626"/>
          <a:ext cx="5703093" cy="2586092"/>
        </a:xfrm>
        <a:prstGeom prst="rect">
          <a:avLst/>
        </a:prstGeom>
      </xdr:spPr>
    </xdr:pic>
    <xdr:clientData/>
  </xdr:twoCellAnchor>
  <xdr:twoCellAnchor editAs="oneCell">
    <xdr:from>
      <xdr:col>19</xdr:col>
      <xdr:colOff>238126</xdr:colOff>
      <xdr:row>54</xdr:row>
      <xdr:rowOff>0</xdr:rowOff>
    </xdr:from>
    <xdr:to>
      <xdr:col>21</xdr:col>
      <xdr:colOff>1963067</xdr:colOff>
      <xdr:row>71</xdr:row>
      <xdr:rowOff>0</xdr:rowOff>
    </xdr:to>
    <xdr:pic>
      <xdr:nvPicPr>
        <xdr:cNvPr id="14" name="Obrázek 13" descr="trojuhelnikSUS_T5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3536276" y="10915650"/>
          <a:ext cx="5705333" cy="3228975"/>
        </a:xfrm>
        <a:prstGeom prst="rect">
          <a:avLst/>
        </a:prstGeom>
      </xdr:spPr>
    </xdr:pic>
    <xdr:clientData/>
  </xdr:twoCellAnchor>
  <xdr:twoCellAnchor editAs="oneCell">
    <xdr:from>
      <xdr:col>22</xdr:col>
      <xdr:colOff>1581150</xdr:colOff>
      <xdr:row>53</xdr:row>
      <xdr:rowOff>1</xdr:rowOff>
    </xdr:from>
    <xdr:to>
      <xdr:col>24</xdr:col>
      <xdr:colOff>641086</xdr:colOff>
      <xdr:row>72</xdr:row>
      <xdr:rowOff>18384</xdr:rowOff>
    </xdr:to>
    <xdr:pic>
      <xdr:nvPicPr>
        <xdr:cNvPr id="15" name="Obrázek 14" descr="trojuhelnikSUS_T6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0727650" y="10725151"/>
          <a:ext cx="3445669" cy="3666458"/>
        </a:xfrm>
        <a:prstGeom prst="rect">
          <a:avLst/>
        </a:prstGeom>
      </xdr:spPr>
    </xdr:pic>
    <xdr:clientData/>
  </xdr:twoCellAnchor>
  <xdr:twoCellAnchor editAs="oneCell">
    <xdr:from>
      <xdr:col>24</xdr:col>
      <xdr:colOff>2200275</xdr:colOff>
      <xdr:row>53</xdr:row>
      <xdr:rowOff>66677</xdr:rowOff>
    </xdr:from>
    <xdr:to>
      <xdr:col>30</xdr:col>
      <xdr:colOff>193674</xdr:colOff>
      <xdr:row>71</xdr:row>
      <xdr:rowOff>38969</xdr:rowOff>
    </xdr:to>
    <xdr:pic>
      <xdr:nvPicPr>
        <xdr:cNvPr id="27" name="Obrázek 26" descr="trojuhelnikSUS_T7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5613975" y="10791827"/>
          <a:ext cx="4124325" cy="3439392"/>
        </a:xfrm>
        <a:prstGeom prst="rect">
          <a:avLst/>
        </a:prstGeom>
      </xdr:spPr>
    </xdr:pic>
    <xdr:clientData/>
  </xdr:twoCellAnchor>
  <xdr:twoCellAnchor editAs="oneCell">
    <xdr:from>
      <xdr:col>30</xdr:col>
      <xdr:colOff>1095375</xdr:colOff>
      <xdr:row>54</xdr:row>
      <xdr:rowOff>9525</xdr:rowOff>
    </xdr:from>
    <xdr:to>
      <xdr:col>35</xdr:col>
      <xdr:colOff>1222906</xdr:colOff>
      <xdr:row>71</xdr:row>
      <xdr:rowOff>33908</xdr:rowOff>
    </xdr:to>
    <xdr:pic>
      <xdr:nvPicPr>
        <xdr:cNvPr id="28" name="Obrázek 27" descr="trojuhelnikSUS_T8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40509825" y="10925175"/>
          <a:ext cx="5700713" cy="3253358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571501</xdr:colOff>
      <xdr:row>53</xdr:row>
      <xdr:rowOff>38100</xdr:rowOff>
    </xdr:from>
    <xdr:to>
      <xdr:col>9</xdr:col>
      <xdr:colOff>1022502</xdr:colOff>
      <xdr:row>69</xdr:row>
      <xdr:rowOff>19050</xdr:rowOff>
    </xdr:to>
    <xdr:pic>
      <xdr:nvPicPr>
        <xdr:cNvPr id="29" name="Obrázek 28" descr="trojuhelnikSUS_T2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7239001" y="10763250"/>
          <a:ext cx="3477834" cy="3076575"/>
        </a:xfrm>
        <a:prstGeom prst="rect">
          <a:avLst/>
        </a:prstGeom>
      </xdr:spPr>
    </xdr:pic>
    <xdr:clientData/>
  </xdr:twoCellAnchor>
  <xdr:twoCellAnchor editAs="oneCell">
    <xdr:from>
      <xdr:col>6</xdr:col>
      <xdr:colOff>514350</xdr:colOff>
      <xdr:row>103</xdr:row>
      <xdr:rowOff>219075</xdr:rowOff>
    </xdr:from>
    <xdr:to>
      <xdr:col>9</xdr:col>
      <xdr:colOff>1111780</xdr:colOff>
      <xdr:row>122</xdr:row>
      <xdr:rowOff>78749</xdr:rowOff>
    </xdr:to>
    <xdr:pic>
      <xdr:nvPicPr>
        <xdr:cNvPr id="30" name="Obrázek 29" descr="trojuhelnikUSU_T2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181850" y="20688300"/>
          <a:ext cx="3624263" cy="3526799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1066800</xdr:colOff>
      <xdr:row>105</xdr:row>
      <xdr:rowOff>38101</xdr:rowOff>
    </xdr:from>
    <xdr:to>
      <xdr:col>5</xdr:col>
      <xdr:colOff>854340</xdr:colOff>
      <xdr:row>119</xdr:row>
      <xdr:rowOff>84209</xdr:rowOff>
    </xdr:to>
    <xdr:pic>
      <xdr:nvPicPr>
        <xdr:cNvPr id="31" name="Obrázek 30" descr="trojuhelnikUSU_T1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066800" y="20935951"/>
          <a:ext cx="5460207" cy="2713108"/>
        </a:xfrm>
        <a:prstGeom prst="rect">
          <a:avLst/>
        </a:prstGeom>
      </xdr:spPr>
    </xdr:pic>
    <xdr:clientData/>
  </xdr:twoCellAnchor>
  <xdr:twoCellAnchor editAs="oneCell">
    <xdr:from>
      <xdr:col>11</xdr:col>
      <xdr:colOff>142876</xdr:colOff>
      <xdr:row>104</xdr:row>
      <xdr:rowOff>76200</xdr:rowOff>
    </xdr:from>
    <xdr:to>
      <xdr:col>12</xdr:col>
      <xdr:colOff>2727326</xdr:colOff>
      <xdr:row>121</xdr:row>
      <xdr:rowOff>179713</xdr:rowOff>
    </xdr:to>
    <xdr:pic>
      <xdr:nvPicPr>
        <xdr:cNvPr id="32" name="Obrázek 31" descr="trojuhelnikUSU_T3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1896726" y="20783550"/>
          <a:ext cx="3657600" cy="3342013"/>
        </a:xfrm>
        <a:prstGeom prst="rect">
          <a:avLst/>
        </a:prstGeom>
      </xdr:spPr>
    </xdr:pic>
    <xdr:clientData/>
  </xdr:twoCellAnchor>
  <xdr:twoCellAnchor editAs="oneCell">
    <xdr:from>
      <xdr:col>14</xdr:col>
      <xdr:colOff>1019176</xdr:colOff>
      <xdr:row>104</xdr:row>
      <xdr:rowOff>104775</xdr:rowOff>
    </xdr:from>
    <xdr:to>
      <xdr:col>18</xdr:col>
      <xdr:colOff>1824038</xdr:colOff>
      <xdr:row>121</xdr:row>
      <xdr:rowOff>135513</xdr:rowOff>
    </xdr:to>
    <xdr:pic>
      <xdr:nvPicPr>
        <xdr:cNvPr id="33" name="Obrázek 32" descr="trojuhelnikUSU_T4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6373476" y="20812125"/>
          <a:ext cx="6919912" cy="3269238"/>
        </a:xfrm>
        <a:prstGeom prst="rect">
          <a:avLst/>
        </a:prstGeom>
      </xdr:spPr>
    </xdr:pic>
    <xdr:clientData/>
  </xdr:twoCellAnchor>
  <xdr:twoCellAnchor editAs="oneCell">
    <xdr:from>
      <xdr:col>19</xdr:col>
      <xdr:colOff>866776</xdr:colOff>
      <xdr:row>105</xdr:row>
      <xdr:rowOff>47626</xdr:rowOff>
    </xdr:from>
    <xdr:to>
      <xdr:col>22</xdr:col>
      <xdr:colOff>636853</xdr:colOff>
      <xdr:row>122</xdr:row>
      <xdr:rowOff>166938</xdr:rowOff>
    </xdr:to>
    <xdr:pic>
      <xdr:nvPicPr>
        <xdr:cNvPr id="34" name="Obrázek 33" descr="trojuhelnikUSU_T5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24164926" y="20945476"/>
          <a:ext cx="5750719" cy="3357812"/>
        </a:xfrm>
        <a:prstGeom prst="rect">
          <a:avLst/>
        </a:prstGeom>
      </xdr:spPr>
    </xdr:pic>
    <xdr:clientData/>
  </xdr:twoCellAnchor>
  <xdr:twoCellAnchor editAs="oneCell">
    <xdr:from>
      <xdr:col>22</xdr:col>
      <xdr:colOff>1343025</xdr:colOff>
      <xdr:row>104</xdr:row>
      <xdr:rowOff>114300</xdr:rowOff>
    </xdr:from>
    <xdr:to>
      <xdr:col>24</xdr:col>
      <xdr:colOff>879211</xdr:colOff>
      <xdr:row>122</xdr:row>
      <xdr:rowOff>77675</xdr:rowOff>
    </xdr:to>
    <xdr:pic>
      <xdr:nvPicPr>
        <xdr:cNvPr id="35" name="Obrázek 34" descr="trojuhelnikUSU_T6.jp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30489525" y="20821650"/>
          <a:ext cx="3921919" cy="3392375"/>
        </a:xfrm>
        <a:prstGeom prst="rect">
          <a:avLst/>
        </a:prstGeom>
      </xdr:spPr>
    </xdr:pic>
    <xdr:clientData/>
  </xdr:twoCellAnchor>
  <xdr:twoCellAnchor editAs="oneCell">
    <xdr:from>
      <xdr:col>24</xdr:col>
      <xdr:colOff>1838325</xdr:colOff>
      <xdr:row>104</xdr:row>
      <xdr:rowOff>57150</xdr:rowOff>
    </xdr:from>
    <xdr:to>
      <xdr:col>29</xdr:col>
      <xdr:colOff>750292</xdr:colOff>
      <xdr:row>121</xdr:row>
      <xdr:rowOff>171450</xdr:rowOff>
    </xdr:to>
    <xdr:pic>
      <xdr:nvPicPr>
        <xdr:cNvPr id="36" name="Obrázek 35" descr="trojuhelnikUSU_T7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35252025" y="20764500"/>
          <a:ext cx="4280893" cy="3352800"/>
        </a:xfrm>
        <a:prstGeom prst="rect">
          <a:avLst/>
        </a:prstGeom>
      </xdr:spPr>
    </xdr:pic>
    <xdr:clientData/>
  </xdr:twoCellAnchor>
  <xdr:twoCellAnchor editAs="oneCell">
    <xdr:from>
      <xdr:col>30</xdr:col>
      <xdr:colOff>1200150</xdr:colOff>
      <xdr:row>104</xdr:row>
      <xdr:rowOff>133350</xdr:rowOff>
    </xdr:from>
    <xdr:to>
      <xdr:col>35</xdr:col>
      <xdr:colOff>1522943</xdr:colOff>
      <xdr:row>122</xdr:row>
      <xdr:rowOff>128519</xdr:rowOff>
    </xdr:to>
    <xdr:pic>
      <xdr:nvPicPr>
        <xdr:cNvPr id="37" name="Obrázek 36" descr="trojuhelnikUSU_T8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40614600" y="20840700"/>
          <a:ext cx="5895975" cy="342416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154</xdr:row>
      <xdr:rowOff>161925</xdr:rowOff>
    </xdr:from>
    <xdr:to>
      <xdr:col>5</xdr:col>
      <xdr:colOff>295937</xdr:colOff>
      <xdr:row>168</xdr:row>
      <xdr:rowOff>180975</xdr:rowOff>
    </xdr:to>
    <xdr:pic>
      <xdr:nvPicPr>
        <xdr:cNvPr id="38" name="Obrázek 37" descr="trojuhelnikSSU_T1.jp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209676" y="29946600"/>
          <a:ext cx="4594886" cy="2686050"/>
        </a:xfrm>
        <a:prstGeom prst="rect">
          <a:avLst/>
        </a:prstGeom>
      </xdr:spPr>
    </xdr:pic>
    <xdr:clientData/>
  </xdr:twoCellAnchor>
  <xdr:twoCellAnchor editAs="oneCell">
    <xdr:from>
      <xdr:col>5</xdr:col>
      <xdr:colOff>1057276</xdr:colOff>
      <xdr:row>154</xdr:row>
      <xdr:rowOff>19051</xdr:rowOff>
    </xdr:from>
    <xdr:to>
      <xdr:col>9</xdr:col>
      <xdr:colOff>254529</xdr:colOff>
      <xdr:row>171</xdr:row>
      <xdr:rowOff>83339</xdr:rowOff>
    </xdr:to>
    <xdr:pic>
      <xdr:nvPicPr>
        <xdr:cNvPr id="39" name="Obrázek 38" descr="trojuhelnikSSU_T2.jp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6438901" y="30365701"/>
          <a:ext cx="3662362" cy="3302788"/>
        </a:xfrm>
        <a:prstGeom prst="rect">
          <a:avLst/>
        </a:prstGeom>
      </xdr:spPr>
    </xdr:pic>
    <xdr:clientData/>
  </xdr:twoCellAnchor>
  <xdr:twoCellAnchor editAs="oneCell">
    <xdr:from>
      <xdr:col>9</xdr:col>
      <xdr:colOff>1104900</xdr:colOff>
      <xdr:row>154</xdr:row>
      <xdr:rowOff>9526</xdr:rowOff>
    </xdr:from>
    <xdr:to>
      <xdr:col>12</xdr:col>
      <xdr:colOff>1385104</xdr:colOff>
      <xdr:row>171</xdr:row>
      <xdr:rowOff>66676</xdr:rowOff>
    </xdr:to>
    <xdr:pic>
      <xdr:nvPicPr>
        <xdr:cNvPr id="40" name="Obrázek 39" descr="trojuhelnikSSU_T3.jp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0477500" y="30356176"/>
          <a:ext cx="3856312" cy="3295650"/>
        </a:xfrm>
        <a:prstGeom prst="rect">
          <a:avLst/>
        </a:prstGeom>
      </xdr:spPr>
    </xdr:pic>
    <xdr:clientData/>
  </xdr:twoCellAnchor>
  <xdr:twoCellAnchor editAs="oneCell">
    <xdr:from>
      <xdr:col>13</xdr:col>
      <xdr:colOff>571500</xdr:colOff>
      <xdr:row>154</xdr:row>
      <xdr:rowOff>19050</xdr:rowOff>
    </xdr:from>
    <xdr:to>
      <xdr:col>18</xdr:col>
      <xdr:colOff>757204</xdr:colOff>
      <xdr:row>171</xdr:row>
      <xdr:rowOff>19049</xdr:rowOff>
    </xdr:to>
    <xdr:pic>
      <xdr:nvPicPr>
        <xdr:cNvPr id="41" name="Obrázek 40" descr="trojuhelnikSSU_T4.jp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15259050" y="30365700"/>
          <a:ext cx="7041587" cy="3238499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154</xdr:row>
      <xdr:rowOff>76200</xdr:rowOff>
    </xdr:from>
    <xdr:to>
      <xdr:col>21</xdr:col>
      <xdr:colOff>1715557</xdr:colOff>
      <xdr:row>171</xdr:row>
      <xdr:rowOff>57455</xdr:rowOff>
    </xdr:to>
    <xdr:pic>
      <xdr:nvPicPr>
        <xdr:cNvPr id="42" name="Obrázek 41" descr="trojuhelnikSSU_T5.jpg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23298150" y="30422850"/>
          <a:ext cx="5695949" cy="3219755"/>
        </a:xfrm>
        <a:prstGeom prst="rect">
          <a:avLst/>
        </a:prstGeom>
      </xdr:spPr>
    </xdr:pic>
    <xdr:clientData/>
  </xdr:twoCellAnchor>
  <xdr:twoCellAnchor editAs="oneCell">
    <xdr:from>
      <xdr:col>22</xdr:col>
      <xdr:colOff>1133475</xdr:colOff>
      <xdr:row>154</xdr:row>
      <xdr:rowOff>38101</xdr:rowOff>
    </xdr:from>
    <xdr:to>
      <xdr:col>24</xdr:col>
      <xdr:colOff>757767</xdr:colOff>
      <xdr:row>171</xdr:row>
      <xdr:rowOff>53461</xdr:rowOff>
    </xdr:to>
    <xdr:pic>
      <xdr:nvPicPr>
        <xdr:cNvPr id="43" name="Obrázek 42" descr="trojuhelnikSSU_T6.jpg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30279975" y="30384751"/>
          <a:ext cx="4010025" cy="3253860"/>
        </a:xfrm>
        <a:prstGeom prst="rect">
          <a:avLst/>
        </a:prstGeom>
      </xdr:spPr>
    </xdr:pic>
    <xdr:clientData/>
  </xdr:twoCellAnchor>
  <xdr:twoCellAnchor editAs="oneCell">
    <xdr:from>
      <xdr:col>31</xdr:col>
      <xdr:colOff>266700</xdr:colOff>
      <xdr:row>154</xdr:row>
      <xdr:rowOff>19051</xdr:rowOff>
    </xdr:from>
    <xdr:to>
      <xdr:col>35</xdr:col>
      <xdr:colOff>944034</xdr:colOff>
      <xdr:row>170</xdr:row>
      <xdr:rowOff>134954</xdr:rowOff>
    </xdr:to>
    <xdr:pic>
      <xdr:nvPicPr>
        <xdr:cNvPr id="45" name="Obrázek 44" descr="trojuhelnikSSU_T8.jpg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40967025" y="30365701"/>
          <a:ext cx="4943475" cy="3163903"/>
        </a:xfrm>
        <a:prstGeom prst="rect">
          <a:avLst/>
        </a:prstGeom>
      </xdr:spPr>
    </xdr:pic>
    <xdr:clientData/>
  </xdr:twoCellAnchor>
  <xdr:twoCellAnchor editAs="oneCell">
    <xdr:from>
      <xdr:col>24</xdr:col>
      <xdr:colOff>1752601</xdr:colOff>
      <xdr:row>154</xdr:row>
      <xdr:rowOff>38100</xdr:rowOff>
    </xdr:from>
    <xdr:to>
      <xdr:col>30</xdr:col>
      <xdr:colOff>498475</xdr:colOff>
      <xdr:row>170</xdr:row>
      <xdr:rowOff>179490</xdr:rowOff>
    </xdr:to>
    <xdr:pic>
      <xdr:nvPicPr>
        <xdr:cNvPr id="46" name="Obrázek 45" descr="trojuhelnikT7SSU.jpg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33061276" y="29822775"/>
          <a:ext cx="4876800" cy="318939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207</xdr:row>
      <xdr:rowOff>58145</xdr:rowOff>
    </xdr:from>
    <xdr:to>
      <xdr:col>12</xdr:col>
      <xdr:colOff>3302000</xdr:colOff>
      <xdr:row>233</xdr:row>
      <xdr:rowOff>17525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40291745"/>
          <a:ext cx="16983075" cy="4912380"/>
        </a:xfrm>
        <a:prstGeom prst="rect">
          <a:avLst/>
        </a:prstGeom>
      </xdr:spPr>
    </xdr:pic>
    <xdr:clientData/>
  </xdr:twoCellAnchor>
  <xdr:twoCellAnchor editAs="oneCell">
    <xdr:from>
      <xdr:col>0</xdr:col>
      <xdr:colOff>42887</xdr:colOff>
      <xdr:row>236</xdr:row>
      <xdr:rowOff>9523</xdr:rowOff>
    </xdr:from>
    <xdr:to>
      <xdr:col>4</xdr:col>
      <xdr:colOff>435135</xdr:colOff>
      <xdr:row>261</xdr:row>
      <xdr:rowOff>10188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87" y="45386623"/>
          <a:ext cx="4763165" cy="476316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236</xdr:row>
      <xdr:rowOff>0</xdr:rowOff>
    </xdr:from>
    <xdr:to>
      <xdr:col>10</xdr:col>
      <xdr:colOff>68591</xdr:colOff>
      <xdr:row>258</xdr:row>
      <xdr:rowOff>48217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1125" y="45377100"/>
          <a:ext cx="6144483" cy="4239217"/>
        </a:xfrm>
        <a:prstGeom prst="rect">
          <a:avLst/>
        </a:prstGeom>
      </xdr:spPr>
    </xdr:pic>
    <xdr:clientData/>
  </xdr:twoCellAnchor>
  <xdr:twoCellAnchor editAs="oneCell">
    <xdr:from>
      <xdr:col>12</xdr:col>
      <xdr:colOff>13614</xdr:colOff>
      <xdr:row>235</xdr:row>
      <xdr:rowOff>190498</xdr:rowOff>
    </xdr:from>
    <xdr:to>
      <xdr:col>13</xdr:col>
      <xdr:colOff>341304</xdr:colOff>
      <xdr:row>261</xdr:row>
      <xdr:rowOff>663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77039" y="45948598"/>
          <a:ext cx="4763165" cy="47631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264</xdr:row>
      <xdr:rowOff>0</xdr:rowOff>
    </xdr:from>
    <xdr:to>
      <xdr:col>4</xdr:col>
      <xdr:colOff>392248</xdr:colOff>
      <xdr:row>289</xdr:row>
      <xdr:rowOff>665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711100"/>
          <a:ext cx="4763165" cy="476316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264</xdr:row>
      <xdr:rowOff>0</xdr:rowOff>
    </xdr:from>
    <xdr:to>
      <xdr:col>10</xdr:col>
      <xdr:colOff>78117</xdr:colOff>
      <xdr:row>286</xdr:row>
      <xdr:rowOff>48217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1125" y="50711100"/>
          <a:ext cx="6154009" cy="4239217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264</xdr:row>
      <xdr:rowOff>0</xdr:rowOff>
    </xdr:from>
    <xdr:to>
      <xdr:col>13</xdr:col>
      <xdr:colOff>327690</xdr:colOff>
      <xdr:row>289</xdr:row>
      <xdr:rowOff>665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3425" y="50711100"/>
          <a:ext cx="4763165" cy="47631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292</xdr:row>
      <xdr:rowOff>0</xdr:rowOff>
    </xdr:from>
    <xdr:to>
      <xdr:col>4</xdr:col>
      <xdr:colOff>392248</xdr:colOff>
      <xdr:row>317</xdr:row>
      <xdr:rowOff>665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045100"/>
          <a:ext cx="4763165" cy="476316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292</xdr:row>
      <xdr:rowOff>0</xdr:rowOff>
    </xdr:from>
    <xdr:to>
      <xdr:col>10</xdr:col>
      <xdr:colOff>78117</xdr:colOff>
      <xdr:row>314</xdr:row>
      <xdr:rowOff>48217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1125" y="56045100"/>
          <a:ext cx="6154009" cy="4239217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292</xdr:row>
      <xdr:rowOff>0</xdr:rowOff>
    </xdr:from>
    <xdr:to>
      <xdr:col>13</xdr:col>
      <xdr:colOff>327690</xdr:colOff>
      <xdr:row>317</xdr:row>
      <xdr:rowOff>665</xdr:rowOff>
    </xdr:to>
    <xdr:pic>
      <xdr:nvPicPr>
        <xdr:cNvPr id="25" name="Obrázek 24"/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3425" y="56045100"/>
          <a:ext cx="4763165" cy="47631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320</xdr:row>
      <xdr:rowOff>0</xdr:rowOff>
    </xdr:from>
    <xdr:to>
      <xdr:col>4</xdr:col>
      <xdr:colOff>392248</xdr:colOff>
      <xdr:row>345</xdr:row>
      <xdr:rowOff>665</xdr:rowOff>
    </xdr:to>
    <xdr:pic>
      <xdr:nvPicPr>
        <xdr:cNvPr id="50" name="Obrázek 49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379100"/>
          <a:ext cx="4763165" cy="476316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320</xdr:row>
      <xdr:rowOff>0</xdr:rowOff>
    </xdr:from>
    <xdr:to>
      <xdr:col>10</xdr:col>
      <xdr:colOff>87644</xdr:colOff>
      <xdr:row>342</xdr:row>
      <xdr:rowOff>48217</xdr:rowOff>
    </xdr:to>
    <xdr:pic>
      <xdr:nvPicPr>
        <xdr:cNvPr id="51" name="Obrázek 50"/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1125" y="61379100"/>
          <a:ext cx="6163536" cy="4239217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320</xdr:row>
      <xdr:rowOff>0</xdr:rowOff>
    </xdr:from>
    <xdr:to>
      <xdr:col>13</xdr:col>
      <xdr:colOff>327690</xdr:colOff>
      <xdr:row>345</xdr:row>
      <xdr:rowOff>665</xdr:rowOff>
    </xdr:to>
    <xdr:pic>
      <xdr:nvPicPr>
        <xdr:cNvPr id="52" name="Obrázek 51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3425" y="61379100"/>
          <a:ext cx="4763165" cy="47631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348</xdr:row>
      <xdr:rowOff>0</xdr:rowOff>
    </xdr:from>
    <xdr:to>
      <xdr:col>4</xdr:col>
      <xdr:colOff>392248</xdr:colOff>
      <xdr:row>373</xdr:row>
      <xdr:rowOff>665</xdr:rowOff>
    </xdr:to>
    <xdr:pic>
      <xdr:nvPicPr>
        <xdr:cNvPr id="53" name="Obrázek 52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094100"/>
          <a:ext cx="4763165" cy="476316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347</xdr:row>
      <xdr:rowOff>189012</xdr:rowOff>
    </xdr:from>
    <xdr:to>
      <xdr:col>10</xdr:col>
      <xdr:colOff>68591</xdr:colOff>
      <xdr:row>370</xdr:row>
      <xdr:rowOff>30655</xdr:rowOff>
    </xdr:to>
    <xdr:pic>
      <xdr:nvPicPr>
        <xdr:cNvPr id="54" name="Obrázek 53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1125" y="67092612"/>
          <a:ext cx="6144483" cy="4223143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348</xdr:row>
      <xdr:rowOff>0</xdr:rowOff>
    </xdr:from>
    <xdr:to>
      <xdr:col>13</xdr:col>
      <xdr:colOff>327690</xdr:colOff>
      <xdr:row>373</xdr:row>
      <xdr:rowOff>665</xdr:rowOff>
    </xdr:to>
    <xdr:pic>
      <xdr:nvPicPr>
        <xdr:cNvPr id="55" name="Obrázek 54"/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3425" y="67094100"/>
          <a:ext cx="4763165" cy="476316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376</xdr:row>
      <xdr:rowOff>0</xdr:rowOff>
    </xdr:from>
    <xdr:to>
      <xdr:col>10</xdr:col>
      <xdr:colOff>78117</xdr:colOff>
      <xdr:row>398</xdr:row>
      <xdr:rowOff>48217</xdr:rowOff>
    </xdr:to>
    <xdr:pic>
      <xdr:nvPicPr>
        <xdr:cNvPr id="57" name="Obrázek 56"/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1125" y="72428100"/>
          <a:ext cx="6154009" cy="42392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376</xdr:row>
      <xdr:rowOff>0</xdr:rowOff>
    </xdr:from>
    <xdr:to>
      <xdr:col>4</xdr:col>
      <xdr:colOff>392248</xdr:colOff>
      <xdr:row>401</xdr:row>
      <xdr:rowOff>665</xdr:rowOff>
    </xdr:to>
    <xdr:pic>
      <xdr:nvPicPr>
        <xdr:cNvPr id="58" name="Obrázek 57"/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428100"/>
          <a:ext cx="4763165" cy="476316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376</xdr:row>
      <xdr:rowOff>0</xdr:rowOff>
    </xdr:from>
    <xdr:to>
      <xdr:col>13</xdr:col>
      <xdr:colOff>327690</xdr:colOff>
      <xdr:row>401</xdr:row>
      <xdr:rowOff>665</xdr:rowOff>
    </xdr:to>
    <xdr:pic>
      <xdr:nvPicPr>
        <xdr:cNvPr id="59" name="Obrázek 58"/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3425" y="72428100"/>
          <a:ext cx="4763165" cy="47631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404</xdr:row>
      <xdr:rowOff>0</xdr:rowOff>
    </xdr:from>
    <xdr:to>
      <xdr:col>4</xdr:col>
      <xdr:colOff>392248</xdr:colOff>
      <xdr:row>429</xdr:row>
      <xdr:rowOff>665</xdr:rowOff>
    </xdr:to>
    <xdr:pic>
      <xdr:nvPicPr>
        <xdr:cNvPr id="61" name="Obrázek 60"/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762100"/>
          <a:ext cx="4763165" cy="476316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404</xdr:row>
      <xdr:rowOff>0</xdr:rowOff>
    </xdr:from>
    <xdr:to>
      <xdr:col>10</xdr:col>
      <xdr:colOff>78117</xdr:colOff>
      <xdr:row>426</xdr:row>
      <xdr:rowOff>38691</xdr:rowOff>
    </xdr:to>
    <xdr:pic>
      <xdr:nvPicPr>
        <xdr:cNvPr id="62" name="Obrázek 61"/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1125" y="77762100"/>
          <a:ext cx="6154009" cy="422969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404</xdr:row>
      <xdr:rowOff>0</xdr:rowOff>
    </xdr:from>
    <xdr:to>
      <xdr:col>13</xdr:col>
      <xdr:colOff>327690</xdr:colOff>
      <xdr:row>429</xdr:row>
      <xdr:rowOff>665</xdr:rowOff>
    </xdr:to>
    <xdr:pic>
      <xdr:nvPicPr>
        <xdr:cNvPr id="63" name="Obrázek 62"/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3425" y="77762100"/>
          <a:ext cx="4763165" cy="47631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432</xdr:row>
      <xdr:rowOff>0</xdr:rowOff>
    </xdr:from>
    <xdr:to>
      <xdr:col>4</xdr:col>
      <xdr:colOff>392248</xdr:colOff>
      <xdr:row>457</xdr:row>
      <xdr:rowOff>665</xdr:rowOff>
    </xdr:to>
    <xdr:pic>
      <xdr:nvPicPr>
        <xdr:cNvPr id="64" name="Obrázek 63"/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905600"/>
          <a:ext cx="4763165" cy="4763165"/>
        </a:xfrm>
        <a:prstGeom prst="rect">
          <a:avLst/>
        </a:prstGeom>
      </xdr:spPr>
    </xdr:pic>
    <xdr:clientData/>
  </xdr:twoCellAnchor>
  <xdr:twoCellAnchor editAs="oneCell">
    <xdr:from>
      <xdr:col>5</xdr:col>
      <xdr:colOff>2162</xdr:colOff>
      <xdr:row>432</xdr:row>
      <xdr:rowOff>0</xdr:rowOff>
    </xdr:from>
    <xdr:to>
      <xdr:col>10</xdr:col>
      <xdr:colOff>75955</xdr:colOff>
      <xdr:row>454</xdr:row>
      <xdr:rowOff>38691</xdr:rowOff>
    </xdr:to>
    <xdr:pic>
      <xdr:nvPicPr>
        <xdr:cNvPr id="65" name="Obrázek 64"/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3287" y="82905600"/>
          <a:ext cx="6149685" cy="422969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432</xdr:row>
      <xdr:rowOff>0</xdr:rowOff>
    </xdr:from>
    <xdr:to>
      <xdr:col>13</xdr:col>
      <xdr:colOff>327690</xdr:colOff>
      <xdr:row>457</xdr:row>
      <xdr:rowOff>665</xdr:rowOff>
    </xdr:to>
    <xdr:pic>
      <xdr:nvPicPr>
        <xdr:cNvPr id="66" name="Obrázek 65"/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3425" y="82905600"/>
          <a:ext cx="4763165" cy="47631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460</xdr:row>
      <xdr:rowOff>0</xdr:rowOff>
    </xdr:from>
    <xdr:to>
      <xdr:col>4</xdr:col>
      <xdr:colOff>392248</xdr:colOff>
      <xdr:row>485</xdr:row>
      <xdr:rowOff>665</xdr:rowOff>
    </xdr:to>
    <xdr:pic>
      <xdr:nvPicPr>
        <xdr:cNvPr id="67" name="Obrázek 66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239600"/>
          <a:ext cx="4763165" cy="476316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460</xdr:row>
      <xdr:rowOff>0</xdr:rowOff>
    </xdr:from>
    <xdr:to>
      <xdr:col>10</xdr:col>
      <xdr:colOff>78117</xdr:colOff>
      <xdr:row>482</xdr:row>
      <xdr:rowOff>38691</xdr:rowOff>
    </xdr:to>
    <xdr:pic>
      <xdr:nvPicPr>
        <xdr:cNvPr id="68" name="Obrázek 67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1125" y="88239600"/>
          <a:ext cx="6154009" cy="422969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460</xdr:row>
      <xdr:rowOff>0</xdr:rowOff>
    </xdr:from>
    <xdr:to>
      <xdr:col>13</xdr:col>
      <xdr:colOff>327690</xdr:colOff>
      <xdr:row>485</xdr:row>
      <xdr:rowOff>665</xdr:rowOff>
    </xdr:to>
    <xdr:pic>
      <xdr:nvPicPr>
        <xdr:cNvPr id="69" name="Obrázek 68"/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3425" y="88239600"/>
          <a:ext cx="4763165" cy="476316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39</xdr:row>
      <xdr:rowOff>19050</xdr:rowOff>
    </xdr:from>
    <xdr:to>
      <xdr:col>15</xdr:col>
      <xdr:colOff>571500</xdr:colOff>
      <xdr:row>61</xdr:row>
      <xdr:rowOff>28575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0" y="7924800"/>
          <a:ext cx="6153150" cy="420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</xdr:colOff>
      <xdr:row>64</xdr:row>
      <xdr:rowOff>9525</xdr:rowOff>
    </xdr:from>
    <xdr:to>
      <xdr:col>15</xdr:col>
      <xdr:colOff>552450</xdr:colOff>
      <xdr:row>86</xdr:row>
      <xdr:rowOff>19050</xdr:rowOff>
    </xdr:to>
    <xdr:pic>
      <xdr:nvPicPr>
        <xdr:cNvPr id="5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12677775"/>
          <a:ext cx="6143625" cy="420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</xdr:row>
      <xdr:rowOff>9525</xdr:rowOff>
    </xdr:from>
    <xdr:to>
      <xdr:col>6</xdr:col>
      <xdr:colOff>47625</xdr:colOff>
      <xdr:row>86</xdr:row>
      <xdr:rowOff>3999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77775"/>
          <a:ext cx="3514725" cy="4185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89</xdr:row>
      <xdr:rowOff>0</xdr:rowOff>
    </xdr:from>
    <xdr:to>
      <xdr:col>7</xdr:col>
      <xdr:colOff>435197</xdr:colOff>
      <xdr:row>105</xdr:row>
      <xdr:rowOff>9525</xdr:rowOff>
    </xdr:to>
    <xdr:pic>
      <xdr:nvPicPr>
        <xdr:cNvPr id="8" name="Obrázek 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7430750"/>
          <a:ext cx="4702396" cy="305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89</xdr:row>
      <xdr:rowOff>9525</xdr:rowOff>
    </xdr:from>
    <xdr:to>
      <xdr:col>15</xdr:col>
      <xdr:colOff>552450</xdr:colOff>
      <xdr:row>111</xdr:row>
      <xdr:rowOff>28575</xdr:rowOff>
    </xdr:to>
    <xdr:pic>
      <xdr:nvPicPr>
        <xdr:cNvPr id="9" name="Obrázek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7440275"/>
          <a:ext cx="6153150" cy="421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</xdr:row>
      <xdr:rowOff>9526</xdr:rowOff>
    </xdr:from>
    <xdr:to>
      <xdr:col>7</xdr:col>
      <xdr:colOff>352425</xdr:colOff>
      <xdr:row>127</xdr:row>
      <xdr:rowOff>110076</xdr:rowOff>
    </xdr:to>
    <xdr:pic>
      <xdr:nvPicPr>
        <xdr:cNvPr id="10" name="Obrázek 9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12276"/>
          <a:ext cx="4619625" cy="276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15</xdr:col>
      <xdr:colOff>523875</xdr:colOff>
      <xdr:row>135</xdr:row>
      <xdr:rowOff>0</xdr:rowOff>
    </xdr:to>
    <xdr:pic>
      <xdr:nvPicPr>
        <xdr:cNvPr id="11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22002750"/>
          <a:ext cx="6124575" cy="419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</xdr:colOff>
      <xdr:row>137</xdr:row>
      <xdr:rowOff>0</xdr:rowOff>
    </xdr:from>
    <xdr:to>
      <xdr:col>15</xdr:col>
      <xdr:colOff>561975</xdr:colOff>
      <xdr:row>159</xdr:row>
      <xdr:rowOff>0</xdr:rowOff>
    </xdr:to>
    <xdr:pic>
      <xdr:nvPicPr>
        <xdr:cNvPr id="13" name="Obrázek 12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26574750"/>
          <a:ext cx="6153150" cy="419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137</xdr:row>
      <xdr:rowOff>9525</xdr:rowOff>
    </xdr:from>
    <xdr:to>
      <xdr:col>7</xdr:col>
      <xdr:colOff>355305</xdr:colOff>
      <xdr:row>154</xdr:row>
      <xdr:rowOff>19050</xdr:rowOff>
    </xdr:to>
    <xdr:pic>
      <xdr:nvPicPr>
        <xdr:cNvPr id="15" name="Obrázek 14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6584275"/>
          <a:ext cx="4622504" cy="32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161</xdr:row>
      <xdr:rowOff>9525</xdr:rowOff>
    </xdr:from>
    <xdr:to>
      <xdr:col>7</xdr:col>
      <xdr:colOff>645899</xdr:colOff>
      <xdr:row>178</xdr:row>
      <xdr:rowOff>76200</xdr:rowOff>
    </xdr:to>
    <xdr:pic>
      <xdr:nvPicPr>
        <xdr:cNvPr id="16" name="Obrázek 15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1156275"/>
          <a:ext cx="4913098" cy="3305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</xdr:colOff>
      <xdr:row>161</xdr:row>
      <xdr:rowOff>19050</xdr:rowOff>
    </xdr:from>
    <xdr:to>
      <xdr:col>15</xdr:col>
      <xdr:colOff>523875</xdr:colOff>
      <xdr:row>183</xdr:row>
      <xdr:rowOff>38100</xdr:rowOff>
    </xdr:to>
    <xdr:pic>
      <xdr:nvPicPr>
        <xdr:cNvPr id="17" name="Obrázek 16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31165800"/>
          <a:ext cx="6115050" cy="421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185</xdr:row>
      <xdr:rowOff>9526</xdr:rowOff>
    </xdr:from>
    <xdr:to>
      <xdr:col>7</xdr:col>
      <xdr:colOff>708534</xdr:colOff>
      <xdr:row>206</xdr:row>
      <xdr:rowOff>47625</xdr:rowOff>
    </xdr:to>
    <xdr:pic>
      <xdr:nvPicPr>
        <xdr:cNvPr id="18" name="Obrázek 17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5728276"/>
          <a:ext cx="4975733" cy="4038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</xdr:colOff>
      <xdr:row>185</xdr:row>
      <xdr:rowOff>9525</xdr:rowOff>
    </xdr:from>
    <xdr:to>
      <xdr:col>15</xdr:col>
      <xdr:colOff>561975</xdr:colOff>
      <xdr:row>207</xdr:row>
      <xdr:rowOff>28575</xdr:rowOff>
    </xdr:to>
    <xdr:pic>
      <xdr:nvPicPr>
        <xdr:cNvPr id="19" name="Obrázek 18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35728275"/>
          <a:ext cx="6153150" cy="421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209</xdr:row>
      <xdr:rowOff>9525</xdr:rowOff>
    </xdr:from>
    <xdr:to>
      <xdr:col>6</xdr:col>
      <xdr:colOff>676275</xdr:colOff>
      <xdr:row>232</xdr:row>
      <xdr:rowOff>0</xdr:rowOff>
    </xdr:to>
    <xdr:pic>
      <xdr:nvPicPr>
        <xdr:cNvPr id="21" name="Obrázek 20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0300275"/>
          <a:ext cx="4133850" cy="437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</xdr:colOff>
      <xdr:row>209</xdr:row>
      <xdr:rowOff>19050</xdr:rowOff>
    </xdr:from>
    <xdr:to>
      <xdr:col>15</xdr:col>
      <xdr:colOff>542925</xdr:colOff>
      <xdr:row>231</xdr:row>
      <xdr:rowOff>38100</xdr:rowOff>
    </xdr:to>
    <xdr:pic>
      <xdr:nvPicPr>
        <xdr:cNvPr id="22" name="Obrázek 21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40309800"/>
          <a:ext cx="6134100" cy="421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234</xdr:row>
      <xdr:rowOff>9525</xdr:rowOff>
    </xdr:from>
    <xdr:to>
      <xdr:col>7</xdr:col>
      <xdr:colOff>118311</xdr:colOff>
      <xdr:row>258</xdr:row>
      <xdr:rowOff>66675</xdr:rowOff>
    </xdr:to>
    <xdr:pic>
      <xdr:nvPicPr>
        <xdr:cNvPr id="23" name="Obrázek 22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062775"/>
          <a:ext cx="4385511" cy="462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</xdr:colOff>
      <xdr:row>234</xdr:row>
      <xdr:rowOff>19050</xdr:rowOff>
    </xdr:from>
    <xdr:to>
      <xdr:col>15</xdr:col>
      <xdr:colOff>571500</xdr:colOff>
      <xdr:row>256</xdr:row>
      <xdr:rowOff>9525</xdr:rowOff>
    </xdr:to>
    <xdr:pic>
      <xdr:nvPicPr>
        <xdr:cNvPr id="24" name="Obrázek 23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0" y="45072300"/>
          <a:ext cx="6153150" cy="418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261</xdr:row>
      <xdr:rowOff>9525</xdr:rowOff>
    </xdr:from>
    <xdr:to>
      <xdr:col>6</xdr:col>
      <xdr:colOff>600075</xdr:colOff>
      <xdr:row>285</xdr:row>
      <xdr:rowOff>28575</xdr:rowOff>
    </xdr:to>
    <xdr:pic>
      <xdr:nvPicPr>
        <xdr:cNvPr id="25" name="Obrázek 24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206275"/>
          <a:ext cx="4067175" cy="459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261</xdr:row>
      <xdr:rowOff>0</xdr:rowOff>
    </xdr:from>
    <xdr:to>
      <xdr:col>15</xdr:col>
      <xdr:colOff>542925</xdr:colOff>
      <xdr:row>283</xdr:row>
      <xdr:rowOff>0</xdr:rowOff>
    </xdr:to>
    <xdr:pic>
      <xdr:nvPicPr>
        <xdr:cNvPr id="26" name="Obrázek 25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50196750"/>
          <a:ext cx="6143625" cy="419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39</xdr:row>
      <xdr:rowOff>9525</xdr:rowOff>
    </xdr:from>
    <xdr:to>
      <xdr:col>4</xdr:col>
      <xdr:colOff>266700</xdr:colOff>
      <xdr:row>59</xdr:row>
      <xdr:rowOff>152400</xdr:rowOff>
    </xdr:to>
    <xdr:pic>
      <xdr:nvPicPr>
        <xdr:cNvPr id="27" name="Obrázek 26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915275"/>
          <a:ext cx="2609850" cy="395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64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2" width="16.7109375" bestFit="1" customWidth="1"/>
    <col min="3" max="3" width="14.42578125" bestFit="1" customWidth="1"/>
    <col min="4" max="4" width="10" bestFit="1" customWidth="1"/>
    <col min="5" max="5" width="11.5703125" bestFit="1" customWidth="1"/>
    <col min="6" max="6" width="10" bestFit="1" customWidth="1"/>
    <col min="7" max="7" width="11.5703125" bestFit="1" customWidth="1"/>
    <col min="8" max="8" width="24" bestFit="1" customWidth="1"/>
    <col min="9" max="9" width="11" bestFit="1" customWidth="1"/>
    <col min="10" max="10" width="11.5703125" bestFit="1" customWidth="1"/>
    <col min="11" max="11" width="13.140625" bestFit="1" customWidth="1"/>
    <col min="12" max="12" width="19.28515625" bestFit="1" customWidth="1"/>
    <col min="13" max="13" width="22" bestFit="1" customWidth="1"/>
    <col min="14" max="14" width="24" bestFit="1" customWidth="1"/>
    <col min="15" max="15" width="26.140625" bestFit="1" customWidth="1"/>
    <col min="16" max="16" width="23" bestFit="1" customWidth="1"/>
    <col min="17" max="17" width="25" bestFit="1" customWidth="1"/>
    <col min="18" max="18" width="28.140625" bestFit="1" customWidth="1"/>
    <col min="19" max="19" width="27.140625" bestFit="1" customWidth="1"/>
    <col min="20" max="20" width="29.140625" bestFit="1" customWidth="1"/>
    <col min="21" max="21" width="8" bestFit="1" customWidth="1"/>
    <col min="22" max="22" width="11" bestFit="1" customWidth="1"/>
    <col min="23" max="23" width="12.42578125" bestFit="1" customWidth="1"/>
    <col min="24" max="24" width="11.42578125" bestFit="1" customWidth="1"/>
    <col min="25" max="25" width="10" bestFit="1" customWidth="1"/>
    <col min="26" max="26" width="11.5703125" bestFit="1" customWidth="1"/>
    <col min="27" max="27" width="10" bestFit="1" customWidth="1"/>
    <col min="28" max="28" width="12.5703125" bestFit="1" customWidth="1"/>
    <col min="29" max="29" width="24" bestFit="1" customWidth="1"/>
    <col min="30" max="30" width="11" bestFit="1" customWidth="1"/>
    <col min="31" max="31" width="11.5703125" bestFit="1" customWidth="1"/>
    <col min="32" max="32" width="13.140625" bestFit="1" customWidth="1"/>
    <col min="33" max="33" width="19.28515625" bestFit="1" customWidth="1"/>
    <col min="35" max="35" width="12.5703125" bestFit="1" customWidth="1"/>
    <col min="36" max="36" width="14.7109375" bestFit="1" customWidth="1"/>
    <col min="37" max="37" width="23" bestFit="1" customWidth="1"/>
    <col min="38" max="38" width="25" bestFit="1" customWidth="1"/>
    <col min="39" max="39" width="16.7109375" bestFit="1" customWidth="1"/>
    <col min="40" max="40" width="18.85546875" bestFit="1" customWidth="1"/>
    <col min="41" max="41" width="23" bestFit="1" customWidth="1"/>
    <col min="42" max="42" width="14.42578125" bestFit="1" customWidth="1"/>
    <col min="43" max="51" width="23" bestFit="1" customWidth="1"/>
    <col min="52" max="60" width="22.7109375" bestFit="1" customWidth="1"/>
  </cols>
  <sheetData>
    <row r="1" spans="1:60" ht="21.75" thickBot="1" x14ac:dyDescent="0.3">
      <c r="A1" s="894" t="s">
        <v>33</v>
      </c>
      <c r="B1" s="895"/>
      <c r="C1" s="895"/>
      <c r="D1" s="895"/>
      <c r="E1" s="895"/>
      <c r="F1" s="895"/>
      <c r="G1" s="895"/>
      <c r="H1" s="895"/>
      <c r="I1" s="895"/>
      <c r="J1" s="895"/>
      <c r="K1" s="895"/>
      <c r="L1" s="895"/>
      <c r="M1" s="895"/>
      <c r="N1" s="895"/>
      <c r="O1" s="895"/>
      <c r="P1" s="895"/>
      <c r="Q1" s="895"/>
      <c r="R1" s="895"/>
      <c r="S1" s="895"/>
      <c r="T1" s="896"/>
      <c r="U1" s="894" t="s">
        <v>34</v>
      </c>
      <c r="V1" s="895"/>
      <c r="W1" s="895"/>
      <c r="X1" s="895"/>
      <c r="Y1" s="895"/>
      <c r="Z1" s="895"/>
      <c r="AA1" s="895"/>
      <c r="AB1" s="895"/>
      <c r="AC1" s="895"/>
      <c r="AD1" s="895"/>
      <c r="AE1" s="895"/>
      <c r="AF1" s="895"/>
      <c r="AG1" s="895"/>
      <c r="AH1" s="895"/>
      <c r="AI1" s="895"/>
      <c r="AJ1" s="895"/>
      <c r="AK1" s="895"/>
      <c r="AL1" s="895"/>
      <c r="AM1" s="895"/>
      <c r="AN1" s="895"/>
      <c r="AO1" s="896"/>
      <c r="AP1" s="894" t="s">
        <v>35</v>
      </c>
      <c r="AQ1" s="895"/>
      <c r="AR1" s="895"/>
      <c r="AS1" s="895"/>
      <c r="AT1" s="895"/>
      <c r="AU1" s="895"/>
      <c r="AV1" s="895"/>
      <c r="AW1" s="895"/>
      <c r="AX1" s="895"/>
      <c r="AY1" s="895"/>
      <c r="AZ1" s="895"/>
      <c r="BA1" s="895"/>
      <c r="BB1" s="895"/>
      <c r="BC1" s="895"/>
      <c r="BD1" s="895"/>
      <c r="BE1" s="895"/>
      <c r="BF1" s="895"/>
      <c r="BG1" s="895"/>
      <c r="BH1" s="896"/>
    </row>
    <row r="3" spans="1:60" ht="21" x14ac:dyDescent="0.35">
      <c r="A3" s="625"/>
      <c r="B3" s="625"/>
      <c r="C3" s="625"/>
      <c r="D3" s="625"/>
      <c r="E3" s="625"/>
      <c r="F3" s="625"/>
      <c r="G3" s="625"/>
      <c r="H3" s="625"/>
      <c r="I3" s="625"/>
      <c r="J3" s="625"/>
      <c r="K3" s="625"/>
      <c r="L3" s="625"/>
      <c r="M3" s="625"/>
      <c r="N3" s="625"/>
      <c r="O3" s="625"/>
      <c r="P3" s="625"/>
      <c r="Q3" s="625"/>
      <c r="R3" s="625"/>
      <c r="S3" s="625"/>
      <c r="T3" s="625"/>
      <c r="W3" s="300"/>
      <c r="Z3" s="300"/>
    </row>
    <row r="4" spans="1:60" ht="21" x14ac:dyDescent="0.35">
      <c r="A4" s="625"/>
      <c r="B4" s="626">
        <v>1</v>
      </c>
      <c r="C4" s="627"/>
      <c r="D4" s="627"/>
      <c r="E4" s="627"/>
      <c r="F4" s="628">
        <v>2</v>
      </c>
      <c r="G4" s="627"/>
      <c r="H4" s="627"/>
      <c r="I4" s="629">
        <v>3</v>
      </c>
      <c r="J4" s="625"/>
      <c r="K4" s="625"/>
      <c r="L4" s="629">
        <v>4</v>
      </c>
      <c r="M4" s="625"/>
      <c r="N4" s="629">
        <v>5</v>
      </c>
      <c r="O4" s="625"/>
      <c r="P4" s="629">
        <v>6</v>
      </c>
      <c r="Q4" s="625"/>
      <c r="R4" s="630">
        <v>7</v>
      </c>
      <c r="S4" s="625"/>
      <c r="T4" s="631">
        <v>8</v>
      </c>
    </row>
    <row r="5" spans="1:60" ht="21" x14ac:dyDescent="0.35">
      <c r="A5" s="625"/>
      <c r="B5" s="626"/>
      <c r="C5" s="627"/>
      <c r="D5" s="627"/>
      <c r="E5" s="627"/>
      <c r="F5" s="627"/>
      <c r="G5" s="627"/>
      <c r="H5" s="627"/>
      <c r="I5" s="625"/>
      <c r="J5" s="625"/>
      <c r="K5" s="625"/>
      <c r="L5" s="625"/>
      <c r="M5" s="625"/>
      <c r="N5" s="625"/>
      <c r="O5" s="629"/>
      <c r="P5" s="625"/>
      <c r="Q5" s="625"/>
      <c r="R5" s="625"/>
      <c r="S5" s="625"/>
      <c r="T5" s="629"/>
      <c r="AF5" s="300"/>
    </row>
    <row r="6" spans="1:60" x14ac:dyDescent="0.25">
      <c r="A6" s="625"/>
      <c r="B6" s="627"/>
      <c r="C6" s="627"/>
      <c r="D6" s="627"/>
      <c r="E6" s="627"/>
      <c r="F6" s="627"/>
      <c r="G6" s="627"/>
      <c r="H6" s="627"/>
      <c r="I6" s="625"/>
      <c r="J6" s="625"/>
      <c r="K6" s="625"/>
      <c r="L6" s="625"/>
      <c r="M6" s="625"/>
      <c r="N6" s="625"/>
      <c r="O6" s="625"/>
      <c r="P6" s="625"/>
      <c r="Q6" s="625"/>
      <c r="R6" s="625"/>
      <c r="S6" s="625"/>
      <c r="T6" s="625"/>
    </row>
    <row r="7" spans="1:60" x14ac:dyDescent="0.25">
      <c r="A7" s="625"/>
      <c r="B7" s="627"/>
      <c r="C7" s="627"/>
      <c r="D7" s="627"/>
      <c r="E7" s="627"/>
      <c r="F7" s="627"/>
      <c r="G7" s="627"/>
      <c r="H7" s="627"/>
      <c r="I7" s="625"/>
      <c r="J7" s="625"/>
      <c r="K7" s="625"/>
      <c r="L7" s="625"/>
      <c r="M7" s="625"/>
      <c r="N7" s="625"/>
      <c r="O7" s="625"/>
      <c r="P7" s="625"/>
      <c r="Q7" s="625"/>
      <c r="R7" s="625"/>
      <c r="S7" s="625"/>
      <c r="T7" s="625"/>
    </row>
    <row r="8" spans="1:60" x14ac:dyDescent="0.25">
      <c r="A8" s="625"/>
      <c r="B8" s="627"/>
      <c r="C8" s="627"/>
      <c r="D8" s="627"/>
      <c r="E8" s="627"/>
      <c r="F8" s="627"/>
      <c r="G8" s="627"/>
      <c r="H8" s="627"/>
      <c r="I8" s="625"/>
      <c r="J8" s="625"/>
      <c r="K8" s="625"/>
      <c r="L8" s="625"/>
      <c r="M8" s="625"/>
      <c r="N8" s="625"/>
      <c r="O8" s="625"/>
      <c r="P8" s="625"/>
      <c r="Q8" s="625"/>
      <c r="R8" s="625"/>
      <c r="S8" s="625"/>
      <c r="T8" s="625"/>
    </row>
    <row r="9" spans="1:60" x14ac:dyDescent="0.25">
      <c r="A9" s="625"/>
      <c r="B9" s="627"/>
      <c r="C9" s="627"/>
      <c r="D9" s="627"/>
      <c r="E9" s="627"/>
      <c r="F9" s="627"/>
      <c r="G9" s="627"/>
      <c r="H9" s="627"/>
      <c r="I9" s="625"/>
      <c r="J9" s="625"/>
      <c r="K9" s="625"/>
      <c r="L9" s="625"/>
      <c r="M9" s="625"/>
      <c r="N9" s="625"/>
      <c r="O9" s="625"/>
      <c r="P9" s="625"/>
      <c r="Q9" s="625"/>
      <c r="R9" s="625"/>
      <c r="S9" s="625"/>
      <c r="T9" s="625"/>
    </row>
    <row r="10" spans="1:60" x14ac:dyDescent="0.25">
      <c r="A10" s="625"/>
      <c r="B10" s="627"/>
      <c r="C10" s="627"/>
      <c r="D10" s="627"/>
      <c r="E10" s="627"/>
      <c r="F10" s="627"/>
      <c r="G10" s="627"/>
      <c r="H10" s="627"/>
      <c r="I10" s="625"/>
      <c r="J10" s="625"/>
      <c r="K10" s="625"/>
      <c r="L10" s="625"/>
      <c r="M10" s="625"/>
      <c r="N10" s="625"/>
      <c r="O10" s="625"/>
      <c r="P10" s="625"/>
      <c r="Q10" s="625"/>
      <c r="R10" s="625"/>
      <c r="S10" s="625"/>
      <c r="T10" s="625"/>
    </row>
    <row r="11" spans="1:60" x14ac:dyDescent="0.25">
      <c r="A11" s="625"/>
      <c r="B11" s="627"/>
      <c r="C11" s="627"/>
      <c r="D11" s="627"/>
      <c r="E11" s="627"/>
      <c r="F11" s="627"/>
      <c r="G11" s="627"/>
      <c r="H11" s="627"/>
      <c r="I11" s="625"/>
      <c r="J11" s="625"/>
      <c r="K11" s="625"/>
      <c r="L11" s="625"/>
      <c r="M11" s="625"/>
      <c r="N11" s="625"/>
      <c r="O11" s="625"/>
      <c r="P11" s="625"/>
      <c r="Q11" s="625"/>
      <c r="R11" s="625"/>
      <c r="S11" s="625"/>
      <c r="T11" s="625"/>
    </row>
    <row r="12" spans="1:60" x14ac:dyDescent="0.25">
      <c r="A12" s="625"/>
      <c r="B12" s="627"/>
      <c r="C12" s="627"/>
      <c r="D12" s="627"/>
      <c r="E12" s="627"/>
      <c r="F12" s="627"/>
      <c r="G12" s="627"/>
      <c r="H12" s="627"/>
      <c r="I12" s="625"/>
      <c r="J12" s="625"/>
      <c r="K12" s="625"/>
      <c r="L12" s="625"/>
      <c r="M12" s="625"/>
      <c r="N12" s="625"/>
      <c r="O12" s="625"/>
      <c r="P12" s="625"/>
      <c r="Q12" s="625"/>
      <c r="R12" s="625"/>
      <c r="S12" s="625"/>
      <c r="T12" s="625"/>
    </row>
    <row r="13" spans="1:60" x14ac:dyDescent="0.25">
      <c r="A13" s="625"/>
      <c r="B13" s="627"/>
      <c r="C13" s="627"/>
      <c r="D13" s="627"/>
      <c r="E13" s="627"/>
      <c r="F13" s="627"/>
      <c r="G13" s="627"/>
      <c r="H13" s="627"/>
      <c r="I13" s="625"/>
      <c r="J13" s="625"/>
      <c r="K13" s="625"/>
      <c r="L13" s="625"/>
      <c r="M13" s="625"/>
      <c r="N13" s="625"/>
      <c r="O13" s="625"/>
      <c r="P13" s="625"/>
      <c r="Q13" s="625"/>
      <c r="R13" s="625"/>
      <c r="S13" s="625"/>
      <c r="T13" s="625"/>
    </row>
    <row r="14" spans="1:60" x14ac:dyDescent="0.25">
      <c r="A14" s="625"/>
      <c r="B14" s="627"/>
      <c r="C14" s="627"/>
      <c r="D14" s="627"/>
      <c r="E14" s="627"/>
      <c r="F14" s="627"/>
      <c r="G14" s="627"/>
      <c r="H14" s="627"/>
      <c r="I14" s="625"/>
      <c r="J14" s="625"/>
      <c r="K14" s="625"/>
      <c r="L14" s="625"/>
      <c r="M14" s="625"/>
      <c r="N14" s="625"/>
      <c r="O14" s="625"/>
      <c r="P14" s="625"/>
      <c r="Q14" s="625"/>
      <c r="R14" s="625"/>
      <c r="S14" s="625"/>
      <c r="T14" s="625"/>
    </row>
    <row r="15" spans="1:60" x14ac:dyDescent="0.25">
      <c r="A15" s="625"/>
      <c r="B15" s="627"/>
      <c r="C15" s="627"/>
      <c r="D15" s="627"/>
      <c r="E15" s="627"/>
      <c r="F15" s="627"/>
      <c r="G15" s="627"/>
      <c r="H15" s="627"/>
      <c r="I15" s="625"/>
      <c r="J15" s="625"/>
      <c r="K15" s="625"/>
      <c r="L15" s="625"/>
      <c r="M15" s="625"/>
      <c r="N15" s="625"/>
      <c r="O15" s="625"/>
      <c r="P15" s="625"/>
      <c r="Q15" s="625"/>
      <c r="R15" s="625"/>
      <c r="S15" s="625"/>
      <c r="T15" s="625"/>
    </row>
    <row r="16" spans="1:60" x14ac:dyDescent="0.25">
      <c r="A16" s="625"/>
      <c r="B16" s="627"/>
      <c r="C16" s="627"/>
      <c r="D16" s="627"/>
      <c r="E16" s="627"/>
      <c r="F16" s="627"/>
      <c r="G16" s="627"/>
      <c r="H16" s="627"/>
      <c r="I16" s="625"/>
      <c r="J16" s="625"/>
      <c r="K16" s="625"/>
      <c r="L16" s="625"/>
      <c r="M16" s="625"/>
      <c r="N16" s="625"/>
      <c r="O16" s="625"/>
      <c r="P16" s="625"/>
      <c r="Q16" s="625"/>
      <c r="R16" s="625"/>
      <c r="S16" s="625"/>
      <c r="T16" s="625"/>
    </row>
    <row r="17" spans="1:60" x14ac:dyDescent="0.25">
      <c r="A17" s="625"/>
      <c r="B17" s="627"/>
      <c r="C17" s="627"/>
      <c r="D17" s="627"/>
      <c r="E17" s="627"/>
      <c r="F17" s="627"/>
      <c r="G17" s="627"/>
      <c r="H17" s="627"/>
      <c r="I17" s="625"/>
      <c r="J17" s="625"/>
      <c r="K17" s="625"/>
      <c r="L17" s="625"/>
      <c r="M17" s="625"/>
      <c r="N17" s="625"/>
      <c r="O17" s="625"/>
      <c r="P17" s="625"/>
      <c r="Q17" s="625"/>
      <c r="R17" s="625"/>
      <c r="S17" s="625"/>
      <c r="T17" s="625"/>
    </row>
    <row r="18" spans="1:60" x14ac:dyDescent="0.25">
      <c r="A18" s="625"/>
      <c r="B18" s="627"/>
      <c r="C18" s="627"/>
      <c r="D18" s="627"/>
      <c r="E18" s="627"/>
      <c r="F18" s="627"/>
      <c r="G18" s="627"/>
      <c r="H18" s="627"/>
      <c r="I18" s="625"/>
      <c r="J18" s="625"/>
      <c r="K18" s="625"/>
      <c r="L18" s="625"/>
      <c r="M18" s="625"/>
      <c r="N18" s="625"/>
      <c r="O18" s="625"/>
      <c r="P18" s="625"/>
      <c r="Q18" s="625"/>
      <c r="R18" s="625"/>
      <c r="S18" s="625"/>
      <c r="T18" s="625"/>
    </row>
    <row r="19" spans="1:60" x14ac:dyDescent="0.25">
      <c r="A19" s="625"/>
      <c r="B19" s="627"/>
      <c r="C19" s="627"/>
      <c r="D19" s="627"/>
      <c r="E19" s="627"/>
      <c r="F19" s="627"/>
      <c r="G19" s="627"/>
      <c r="H19" s="627"/>
      <c r="I19" s="625"/>
      <c r="J19" s="625"/>
      <c r="K19" s="625"/>
      <c r="L19" s="625"/>
      <c r="M19" s="625"/>
      <c r="N19" s="625"/>
      <c r="O19" s="625"/>
      <c r="P19" s="625"/>
      <c r="Q19" s="625"/>
      <c r="R19" s="625"/>
      <c r="S19" s="625"/>
      <c r="T19" s="625"/>
    </row>
    <row r="20" spans="1:60" s="4" customFormat="1" ht="15.75" thickBot="1" x14ac:dyDescent="0.3">
      <c r="B20" s="3"/>
      <c r="C20" s="3"/>
      <c r="D20" s="3"/>
      <c r="E20" s="3"/>
      <c r="F20" s="3"/>
      <c r="G20" s="3"/>
      <c r="H20" s="3"/>
    </row>
    <row r="21" spans="1:60" ht="14.25" customHeight="1" thickBot="1" x14ac:dyDescent="0.3">
      <c r="A21" s="915" t="s">
        <v>38</v>
      </c>
      <c r="B21" s="916"/>
      <c r="C21" s="916"/>
      <c r="D21" s="917" t="s">
        <v>1</v>
      </c>
      <c r="E21" s="902"/>
      <c r="F21" s="902"/>
      <c r="G21" s="902"/>
      <c r="H21" s="902"/>
      <c r="I21" s="902"/>
      <c r="J21" s="902"/>
      <c r="K21" s="903"/>
      <c r="L21" s="917" t="s">
        <v>0</v>
      </c>
      <c r="M21" s="902"/>
      <c r="N21" s="902"/>
      <c r="O21" s="902"/>
      <c r="P21" s="902"/>
      <c r="Q21" s="902"/>
      <c r="R21" s="902"/>
      <c r="S21" s="902"/>
      <c r="T21" s="903"/>
      <c r="U21" s="918"/>
      <c r="V21" s="919"/>
      <c r="W21" s="919"/>
      <c r="X21" s="919"/>
      <c r="Y21" s="888" t="s">
        <v>48</v>
      </c>
      <c r="Z21" s="889"/>
      <c r="AA21" s="889"/>
      <c r="AB21" s="889"/>
      <c r="AC21" s="889"/>
      <c r="AD21" s="889"/>
      <c r="AE21" s="889"/>
      <c r="AF21" s="890"/>
      <c r="AG21" s="888" t="s">
        <v>49</v>
      </c>
      <c r="AH21" s="902"/>
      <c r="AI21" s="902"/>
      <c r="AJ21" s="902"/>
      <c r="AK21" s="902"/>
      <c r="AL21" s="902"/>
      <c r="AM21" s="902"/>
      <c r="AN21" s="902"/>
      <c r="AO21" s="903"/>
      <c r="AP21" s="900"/>
      <c r="AQ21" s="900"/>
      <c r="AR21" s="901" t="s">
        <v>1</v>
      </c>
      <c r="AS21" s="902"/>
      <c r="AT21" s="902"/>
      <c r="AU21" s="902"/>
      <c r="AV21" s="902"/>
      <c r="AW21" s="902"/>
      <c r="AX21" s="902"/>
      <c r="AY21" s="903"/>
      <c r="AZ21" s="901" t="s">
        <v>0</v>
      </c>
      <c r="BA21" s="902"/>
      <c r="BB21" s="902"/>
      <c r="BC21" s="902"/>
      <c r="BD21" s="902"/>
      <c r="BE21" s="902"/>
      <c r="BF21" s="902"/>
      <c r="BG21" s="902"/>
      <c r="BH21" s="903"/>
    </row>
    <row r="22" spans="1:60" ht="15" customHeight="1" thickBot="1" x14ac:dyDescent="0.3">
      <c r="A22" s="907" t="s">
        <v>12</v>
      </c>
      <c r="B22" s="909" t="s">
        <v>47</v>
      </c>
      <c r="C22" s="911" t="s">
        <v>15</v>
      </c>
      <c r="D22" s="906"/>
      <c r="E22" s="904"/>
      <c r="F22" s="904"/>
      <c r="G22" s="904"/>
      <c r="H22" s="904"/>
      <c r="I22" s="904"/>
      <c r="J22" s="904"/>
      <c r="K22" s="905"/>
      <c r="L22" s="906"/>
      <c r="M22" s="904"/>
      <c r="N22" s="904"/>
      <c r="O22" s="904"/>
      <c r="P22" s="904"/>
      <c r="Q22" s="904"/>
      <c r="R22" s="904"/>
      <c r="S22" s="904"/>
      <c r="T22" s="905"/>
      <c r="U22" s="912" t="s">
        <v>40</v>
      </c>
      <c r="V22" s="914" t="s">
        <v>12</v>
      </c>
      <c r="W22" s="914" t="s">
        <v>47</v>
      </c>
      <c r="X22" s="912" t="s">
        <v>41</v>
      </c>
      <c r="Y22" s="891"/>
      <c r="Z22" s="892"/>
      <c r="AA22" s="892"/>
      <c r="AB22" s="892"/>
      <c r="AC22" s="892"/>
      <c r="AD22" s="892"/>
      <c r="AE22" s="892"/>
      <c r="AF22" s="893"/>
      <c r="AG22" s="906"/>
      <c r="AH22" s="904"/>
      <c r="AI22" s="904"/>
      <c r="AJ22" s="904"/>
      <c r="AK22" s="904"/>
      <c r="AL22" s="904"/>
      <c r="AM22" s="904"/>
      <c r="AN22" s="904"/>
      <c r="AO22" s="905"/>
      <c r="AP22" s="897" t="s">
        <v>15</v>
      </c>
      <c r="AQ22" s="886" t="s">
        <v>47</v>
      </c>
      <c r="AR22" s="904"/>
      <c r="AS22" s="904"/>
      <c r="AT22" s="904"/>
      <c r="AU22" s="904"/>
      <c r="AV22" s="904"/>
      <c r="AW22" s="904"/>
      <c r="AX22" s="904"/>
      <c r="AY22" s="905"/>
      <c r="AZ22" s="906"/>
      <c r="BA22" s="904"/>
      <c r="BB22" s="904"/>
      <c r="BC22" s="904"/>
      <c r="BD22" s="904"/>
      <c r="BE22" s="904"/>
      <c r="BF22" s="904"/>
      <c r="BG22" s="904"/>
      <c r="BH22" s="905"/>
    </row>
    <row r="23" spans="1:60" ht="15.75" thickBot="1" x14ac:dyDescent="0.3">
      <c r="A23" s="908"/>
      <c r="B23" s="910"/>
      <c r="C23" s="910"/>
      <c r="D23" s="104" t="s">
        <v>9</v>
      </c>
      <c r="E23" s="104" t="s">
        <v>5</v>
      </c>
      <c r="F23" s="104" t="s">
        <v>8</v>
      </c>
      <c r="G23" s="104" t="s">
        <v>4</v>
      </c>
      <c r="H23" s="104" t="s">
        <v>10</v>
      </c>
      <c r="I23" s="104" t="s">
        <v>6</v>
      </c>
      <c r="J23" s="104" t="s">
        <v>7</v>
      </c>
      <c r="K23" s="105" t="s">
        <v>20</v>
      </c>
      <c r="L23" s="103" t="s">
        <v>22</v>
      </c>
      <c r="M23" s="104" t="s">
        <v>23</v>
      </c>
      <c r="N23" s="104" t="s">
        <v>24</v>
      </c>
      <c r="O23" s="104" t="s">
        <v>25</v>
      </c>
      <c r="P23" s="104" t="s">
        <v>26</v>
      </c>
      <c r="Q23" s="104" t="s">
        <v>27</v>
      </c>
      <c r="R23" s="104" t="s">
        <v>28</v>
      </c>
      <c r="S23" s="104" t="s">
        <v>29</v>
      </c>
      <c r="T23" s="105" t="s">
        <v>30</v>
      </c>
      <c r="U23" s="913"/>
      <c r="V23" s="913"/>
      <c r="W23" s="913"/>
      <c r="X23" s="913"/>
      <c r="Y23" s="109" t="s">
        <v>9</v>
      </c>
      <c r="Z23" s="110" t="s">
        <v>5</v>
      </c>
      <c r="AA23" s="110" t="s">
        <v>8</v>
      </c>
      <c r="AB23" s="110" t="s">
        <v>4</v>
      </c>
      <c r="AC23" s="110" t="s">
        <v>10</v>
      </c>
      <c r="AD23" s="110" t="s">
        <v>6</v>
      </c>
      <c r="AE23" s="110" t="s">
        <v>7</v>
      </c>
      <c r="AF23" s="111" t="s">
        <v>20</v>
      </c>
      <c r="AG23" s="106" t="s">
        <v>22</v>
      </c>
      <c r="AH23" s="107" t="s">
        <v>23</v>
      </c>
      <c r="AI23" s="107" t="s">
        <v>24</v>
      </c>
      <c r="AJ23" s="107" t="s">
        <v>25</v>
      </c>
      <c r="AK23" s="107" t="s">
        <v>26</v>
      </c>
      <c r="AL23" s="107" t="s">
        <v>27</v>
      </c>
      <c r="AM23" s="107" t="s">
        <v>28</v>
      </c>
      <c r="AN23" s="107" t="s">
        <v>29</v>
      </c>
      <c r="AO23" s="108" t="s">
        <v>30</v>
      </c>
      <c r="AP23" s="920"/>
      <c r="AQ23" s="887"/>
      <c r="AR23" s="130" t="s">
        <v>9</v>
      </c>
      <c r="AS23" s="131" t="s">
        <v>5</v>
      </c>
      <c r="AT23" s="131" t="s">
        <v>8</v>
      </c>
      <c r="AU23" s="131" t="s">
        <v>4</v>
      </c>
      <c r="AV23" s="131" t="s">
        <v>10</v>
      </c>
      <c r="AW23" s="131" t="s">
        <v>6</v>
      </c>
      <c r="AX23" s="131" t="s">
        <v>7</v>
      </c>
      <c r="AY23" s="132" t="s">
        <v>20</v>
      </c>
      <c r="AZ23" s="130" t="s">
        <v>22</v>
      </c>
      <c r="BA23" s="131" t="s">
        <v>23</v>
      </c>
      <c r="BB23" s="131" t="s">
        <v>24</v>
      </c>
      <c r="BC23" s="131" t="s">
        <v>25</v>
      </c>
      <c r="BD23" s="131" t="s">
        <v>26</v>
      </c>
      <c r="BE23" s="131" t="s">
        <v>27</v>
      </c>
      <c r="BF23" s="131" t="s">
        <v>28</v>
      </c>
      <c r="BG23" s="131" t="s">
        <v>29</v>
      </c>
      <c r="BH23" s="132" t="s">
        <v>30</v>
      </c>
    </row>
    <row r="24" spans="1:60" x14ac:dyDescent="0.25">
      <c r="A24" s="310">
        <v>50</v>
      </c>
      <c r="B24" s="60">
        <v>70.710678118654798</v>
      </c>
      <c r="C24" s="210" t="s">
        <v>9</v>
      </c>
      <c r="D24" s="114">
        <v>200</v>
      </c>
      <c r="E24" s="115">
        <v>6.56168</v>
      </c>
      <c r="F24" s="115">
        <v>78.740200000000002</v>
      </c>
      <c r="G24" s="115">
        <v>2</v>
      </c>
      <c r="H24" s="311">
        <v>1.24274E-3</v>
      </c>
      <c r="I24" s="115">
        <v>2000</v>
      </c>
      <c r="J24" s="115">
        <v>2.18723</v>
      </c>
      <c r="K24" s="117">
        <v>2000000</v>
      </c>
      <c r="L24" s="114">
        <v>250000</v>
      </c>
      <c r="M24" s="115">
        <v>2500</v>
      </c>
      <c r="N24" s="115">
        <v>25</v>
      </c>
      <c r="O24" s="115">
        <v>0.25</v>
      </c>
      <c r="P24" s="115">
        <v>387.50099999999998</v>
      </c>
      <c r="Q24" s="115">
        <v>2.6909800000000001</v>
      </c>
      <c r="R24" s="312">
        <v>2.5000000000000001E-3</v>
      </c>
      <c r="S24" s="313">
        <v>2.5000000000000001E-5</v>
      </c>
      <c r="T24" s="314">
        <v>6.1776345366791304E-5</v>
      </c>
      <c r="U24" s="142">
        <v>1</v>
      </c>
      <c r="V24" s="13">
        <v>50</v>
      </c>
      <c r="W24" s="359">
        <v>70.710660000000004</v>
      </c>
      <c r="X24" s="18" t="s">
        <v>9</v>
      </c>
      <c r="Y24" s="13">
        <f>4*V24</f>
        <v>200</v>
      </c>
      <c r="Z24" s="7">
        <v>6.56168</v>
      </c>
      <c r="AA24" s="7">
        <v>78.740200000000002</v>
      </c>
      <c r="AB24" s="7">
        <v>2</v>
      </c>
      <c r="AC24" s="301">
        <v>1.24274E-3</v>
      </c>
      <c r="AD24" s="7">
        <v>2000</v>
      </c>
      <c r="AE24" s="7">
        <v>2.18723</v>
      </c>
      <c r="AF24" s="14">
        <v>2000000</v>
      </c>
      <c r="AG24" s="8">
        <v>250000</v>
      </c>
      <c r="AH24" s="12">
        <f>V24*V24</f>
        <v>2500</v>
      </c>
      <c r="AI24" s="7">
        <v>25</v>
      </c>
      <c r="AJ24" s="7">
        <v>0.25</v>
      </c>
      <c r="AK24" s="7">
        <v>387.50099999999998</v>
      </c>
      <c r="AL24" s="7">
        <v>2.6909800000000001</v>
      </c>
      <c r="AM24" s="304">
        <v>2.5000000000000001E-3</v>
      </c>
      <c r="AN24" s="305">
        <v>2.5000000000000001E-5</v>
      </c>
      <c r="AO24" s="306">
        <v>6.1776345366791304E-5</v>
      </c>
      <c r="AP24" s="237" t="s">
        <v>9</v>
      </c>
      <c r="AQ24" s="653">
        <f>(100*(B24-W24))/W24</f>
        <v>2.5623653906493845E-5</v>
      </c>
      <c r="AR24" s="283">
        <f>(100*(D24-Y24))/Y24</f>
        <v>0</v>
      </c>
      <c r="AS24" s="90">
        <f t="shared" ref="AS24:AY31" si="0">(100*(E24-Z24))/Z24</f>
        <v>0</v>
      </c>
      <c r="AT24" s="90">
        <f t="shared" si="0"/>
        <v>0</v>
      </c>
      <c r="AU24" s="90">
        <f t="shared" si="0"/>
        <v>0</v>
      </c>
      <c r="AV24" s="90">
        <f t="shared" si="0"/>
        <v>0</v>
      </c>
      <c r="AW24" s="90">
        <f t="shared" si="0"/>
        <v>0</v>
      </c>
      <c r="AX24" s="90">
        <f t="shared" si="0"/>
        <v>0</v>
      </c>
      <c r="AY24" s="233">
        <f t="shared" si="0"/>
        <v>0</v>
      </c>
      <c r="AZ24" s="138">
        <f>(100*(L24-AG24))/AG24</f>
        <v>0</v>
      </c>
      <c r="BA24" s="93">
        <f>(100*(M24-AH24))/AH24</f>
        <v>0</v>
      </c>
      <c r="BB24" s="93">
        <f t="shared" ref="BB24:BH31" si="1">(100*(N24-AI24))/AI24</f>
        <v>0</v>
      </c>
      <c r="BC24" s="93">
        <f t="shared" si="1"/>
        <v>0</v>
      </c>
      <c r="BD24" s="93">
        <f t="shared" si="1"/>
        <v>0</v>
      </c>
      <c r="BE24" s="93">
        <f t="shared" si="1"/>
        <v>0</v>
      </c>
      <c r="BF24" s="93">
        <f t="shared" si="1"/>
        <v>0</v>
      </c>
      <c r="BG24" s="93">
        <f t="shared" si="1"/>
        <v>0</v>
      </c>
      <c r="BH24" s="95">
        <f t="shared" si="1"/>
        <v>0</v>
      </c>
    </row>
    <row r="25" spans="1:60" x14ac:dyDescent="0.25">
      <c r="A25" s="118">
        <v>100</v>
      </c>
      <c r="B25" s="52">
        <v>141.42135623730999</v>
      </c>
      <c r="C25" s="211" t="s">
        <v>5</v>
      </c>
      <c r="D25" s="118">
        <v>12192</v>
      </c>
      <c r="E25" s="1">
        <v>400</v>
      </c>
      <c r="F25" s="1">
        <v>4800</v>
      </c>
      <c r="G25" s="1">
        <v>121.92</v>
      </c>
      <c r="H25" s="1">
        <v>7.5757599999999994E-2</v>
      </c>
      <c r="I25" s="1">
        <v>121920</v>
      </c>
      <c r="J25" s="1">
        <v>133.333</v>
      </c>
      <c r="K25" s="119">
        <v>121920000</v>
      </c>
      <c r="L25" s="118">
        <v>929030400</v>
      </c>
      <c r="M25" s="1">
        <v>9290304</v>
      </c>
      <c r="N25" s="1">
        <v>92903</v>
      </c>
      <c r="O25" s="1">
        <v>929.03</v>
      </c>
      <c r="P25" s="1">
        <v>1440000</v>
      </c>
      <c r="Q25" s="1">
        <v>10000</v>
      </c>
      <c r="R25" s="1">
        <v>9.2903000000000002</v>
      </c>
      <c r="S25" s="315">
        <v>9.2902999999999999E-2</v>
      </c>
      <c r="T25" s="119">
        <v>0.22956799999999999</v>
      </c>
      <c r="U25" s="143">
        <v>2</v>
      </c>
      <c r="V25" s="15">
        <v>100</v>
      </c>
      <c r="W25" s="34">
        <v>141.421336</v>
      </c>
      <c r="X25" s="19" t="s">
        <v>5</v>
      </c>
      <c r="Y25" s="15">
        <v>12192</v>
      </c>
      <c r="Z25" s="12">
        <f>4*V25</f>
        <v>400</v>
      </c>
      <c r="AA25" s="2">
        <v>4800</v>
      </c>
      <c r="AB25" s="2">
        <v>121.92</v>
      </c>
      <c r="AC25" s="2">
        <v>7.5757599999999994E-2</v>
      </c>
      <c r="AD25" s="2">
        <v>121920</v>
      </c>
      <c r="AE25" s="2">
        <v>133.333</v>
      </c>
      <c r="AF25" s="185">
        <v>121920000</v>
      </c>
      <c r="AG25" s="15">
        <v>929030400</v>
      </c>
      <c r="AH25" s="12">
        <v>9290304</v>
      </c>
      <c r="AI25" s="2">
        <v>92903</v>
      </c>
      <c r="AJ25" s="2">
        <v>929.03</v>
      </c>
      <c r="AK25" s="2">
        <v>1440000</v>
      </c>
      <c r="AL25" s="2">
        <f>V25*V25</f>
        <v>10000</v>
      </c>
      <c r="AM25" s="308">
        <v>9.2903000000000002</v>
      </c>
      <c r="AN25" s="76">
        <v>9.2902999999999999E-2</v>
      </c>
      <c r="AO25" s="42">
        <v>0.22956799999999999</v>
      </c>
      <c r="AP25" s="238" t="s">
        <v>5</v>
      </c>
      <c r="AQ25" s="654">
        <f t="shared" ref="AQ25:AQ31" si="2">(100*(B25-W25))/W25</f>
        <v>1.4309941179365964E-5</v>
      </c>
      <c r="AR25" s="251">
        <f t="shared" ref="AR25:AR31" si="3">(100*(D25-Y25))/Y25</f>
        <v>0</v>
      </c>
      <c r="AS25" s="73">
        <f t="shared" si="0"/>
        <v>0</v>
      </c>
      <c r="AT25" s="73">
        <f t="shared" si="0"/>
        <v>0</v>
      </c>
      <c r="AU25" s="73">
        <f t="shared" si="0"/>
        <v>0</v>
      </c>
      <c r="AV25" s="73">
        <f t="shared" si="0"/>
        <v>0</v>
      </c>
      <c r="AW25" s="73">
        <f t="shared" si="0"/>
        <v>0</v>
      </c>
      <c r="AX25" s="73">
        <f t="shared" si="0"/>
        <v>0</v>
      </c>
      <c r="AY25" s="234">
        <f t="shared" si="0"/>
        <v>0</v>
      </c>
      <c r="AZ25" s="139">
        <f t="shared" ref="AZ25:AZ31" si="4">(100*(L25-AG25))/AG25</f>
        <v>0</v>
      </c>
      <c r="BA25" s="80">
        <f t="shared" ref="BA25:BA31" si="5">(100*(M25-AH25))/AH25</f>
        <v>0</v>
      </c>
      <c r="BB25" s="80">
        <f t="shared" si="1"/>
        <v>0</v>
      </c>
      <c r="BC25" s="80">
        <f t="shared" si="1"/>
        <v>0</v>
      </c>
      <c r="BD25" s="80">
        <f t="shared" si="1"/>
        <v>0</v>
      </c>
      <c r="BE25" s="80">
        <f t="shared" si="1"/>
        <v>0</v>
      </c>
      <c r="BF25" s="80">
        <f t="shared" si="1"/>
        <v>0</v>
      </c>
      <c r="BG25" s="80">
        <f t="shared" si="1"/>
        <v>0</v>
      </c>
      <c r="BH25" s="96">
        <f t="shared" si="1"/>
        <v>0</v>
      </c>
    </row>
    <row r="26" spans="1:60" x14ac:dyDescent="0.25">
      <c r="A26" s="118">
        <v>40</v>
      </c>
      <c r="B26" s="54">
        <v>56.568542494923797</v>
      </c>
      <c r="C26" s="211" t="s">
        <v>8</v>
      </c>
      <c r="D26" s="118">
        <v>406.4</v>
      </c>
      <c r="E26" s="1">
        <v>13.333299999999999</v>
      </c>
      <c r="F26" s="1">
        <v>160</v>
      </c>
      <c r="G26" s="1">
        <v>4.0640000000000001</v>
      </c>
      <c r="H26" s="1">
        <v>2.5252500000000002E-3</v>
      </c>
      <c r="I26" s="1">
        <v>4064</v>
      </c>
      <c r="J26" s="1">
        <v>4.4444400000000002</v>
      </c>
      <c r="K26" s="119">
        <v>4064000</v>
      </c>
      <c r="L26" s="118">
        <v>1032256</v>
      </c>
      <c r="M26" s="1">
        <v>10322.6</v>
      </c>
      <c r="N26" s="1">
        <v>103.226</v>
      </c>
      <c r="O26" s="1">
        <v>1.03226</v>
      </c>
      <c r="P26" s="1">
        <v>1600</v>
      </c>
      <c r="Q26" s="1">
        <v>11.1111</v>
      </c>
      <c r="R26" s="78">
        <v>1.0322599999999999E-2</v>
      </c>
      <c r="S26" s="316">
        <v>1.03226E-4</v>
      </c>
      <c r="T26" s="317">
        <v>2.5507600000000002E-4</v>
      </c>
      <c r="U26" s="143">
        <v>3</v>
      </c>
      <c r="V26" s="15">
        <v>40</v>
      </c>
      <c r="W26" s="2">
        <v>56.568541000000003</v>
      </c>
      <c r="X26" s="19" t="s">
        <v>8</v>
      </c>
      <c r="Y26" s="13">
        <v>406.4</v>
      </c>
      <c r="Z26" s="2">
        <v>13.333299999999999</v>
      </c>
      <c r="AA26" s="2">
        <f>4*V26</f>
        <v>160</v>
      </c>
      <c r="AB26" s="2">
        <v>4.0640000000000001</v>
      </c>
      <c r="AC26" s="2">
        <v>2.5252500000000002E-3</v>
      </c>
      <c r="AD26" s="2">
        <v>4064</v>
      </c>
      <c r="AE26" s="2">
        <v>4.4444400000000002</v>
      </c>
      <c r="AF26" s="16">
        <v>4064000</v>
      </c>
      <c r="AG26" s="28">
        <v>1032256</v>
      </c>
      <c r="AH26" s="12">
        <v>10322.6</v>
      </c>
      <c r="AI26" s="2">
        <v>103.226</v>
      </c>
      <c r="AJ26" s="2">
        <v>1.03226</v>
      </c>
      <c r="AK26" s="2">
        <f>V26*V26</f>
        <v>1600</v>
      </c>
      <c r="AL26" s="2">
        <v>11.1111</v>
      </c>
      <c r="AM26" s="321">
        <v>1.0322599999999999E-2</v>
      </c>
      <c r="AN26" s="302">
        <v>1.03226E-4</v>
      </c>
      <c r="AO26" s="188">
        <v>2.5507600000000002E-4</v>
      </c>
      <c r="AP26" s="238" t="s">
        <v>8</v>
      </c>
      <c r="AQ26" s="654">
        <f t="shared" si="2"/>
        <v>2.642676949443447E-6</v>
      </c>
      <c r="AR26" s="251">
        <f t="shared" si="3"/>
        <v>0</v>
      </c>
      <c r="AS26" s="73">
        <f t="shared" si="0"/>
        <v>0</v>
      </c>
      <c r="AT26" s="73">
        <f t="shared" si="0"/>
        <v>0</v>
      </c>
      <c r="AU26" s="73">
        <f t="shared" si="0"/>
        <v>0</v>
      </c>
      <c r="AV26" s="73">
        <f t="shared" si="0"/>
        <v>0</v>
      </c>
      <c r="AW26" s="73">
        <f t="shared" si="0"/>
        <v>0</v>
      </c>
      <c r="AX26" s="73">
        <f t="shared" si="0"/>
        <v>0</v>
      </c>
      <c r="AY26" s="234">
        <f t="shared" si="0"/>
        <v>0</v>
      </c>
      <c r="AZ26" s="139">
        <f t="shared" si="4"/>
        <v>0</v>
      </c>
      <c r="BA26" s="80">
        <f t="shared" si="5"/>
        <v>0</v>
      </c>
      <c r="BB26" s="80">
        <f t="shared" si="1"/>
        <v>0</v>
      </c>
      <c r="BC26" s="80">
        <f t="shared" si="1"/>
        <v>0</v>
      </c>
      <c r="BD26" s="80">
        <f t="shared" si="1"/>
        <v>0</v>
      </c>
      <c r="BE26" s="80">
        <f t="shared" si="1"/>
        <v>0</v>
      </c>
      <c r="BF26" s="80">
        <f t="shared" si="1"/>
        <v>0</v>
      </c>
      <c r="BG26" s="80">
        <f t="shared" si="1"/>
        <v>0</v>
      </c>
      <c r="BH26" s="96">
        <f t="shared" si="1"/>
        <v>0</v>
      </c>
    </row>
    <row r="27" spans="1:60" x14ac:dyDescent="0.25">
      <c r="A27" s="1">
        <v>60</v>
      </c>
      <c r="B27" s="54">
        <v>84.852813742385706</v>
      </c>
      <c r="C27" s="211" t="s">
        <v>4</v>
      </c>
      <c r="D27" s="118">
        <v>24000</v>
      </c>
      <c r="E27" s="1">
        <v>787.40200000000004</v>
      </c>
      <c r="F27" s="1">
        <v>9448.82</v>
      </c>
      <c r="G27" s="1">
        <v>240</v>
      </c>
      <c r="H27" s="1">
        <v>0.14912900000000001</v>
      </c>
      <c r="I27" s="1">
        <v>240000</v>
      </c>
      <c r="J27" s="1">
        <v>262.46699999999998</v>
      </c>
      <c r="K27" s="119">
        <v>240000000</v>
      </c>
      <c r="L27" s="118">
        <v>3600000000</v>
      </c>
      <c r="M27" s="1">
        <v>36000000</v>
      </c>
      <c r="N27" s="1">
        <v>360000</v>
      </c>
      <c r="O27" s="1">
        <v>3600</v>
      </c>
      <c r="P27" s="1">
        <v>5580011</v>
      </c>
      <c r="Q27" s="1">
        <v>38750.1</v>
      </c>
      <c r="R27" s="1">
        <v>36</v>
      </c>
      <c r="S27" s="1">
        <v>0.36</v>
      </c>
      <c r="T27" s="119">
        <v>0.88957900000000001</v>
      </c>
      <c r="U27" s="143">
        <v>4</v>
      </c>
      <c r="V27" s="2">
        <v>60</v>
      </c>
      <c r="W27" s="2">
        <v>84.852811000000003</v>
      </c>
      <c r="X27" s="19" t="s">
        <v>4</v>
      </c>
      <c r="Y27" s="13">
        <v>24000</v>
      </c>
      <c r="Z27" s="2">
        <v>787.40200000000004</v>
      </c>
      <c r="AA27" s="2">
        <v>9448.82</v>
      </c>
      <c r="AB27" s="2">
        <v>240</v>
      </c>
      <c r="AC27" s="2">
        <v>0.14912900000000001</v>
      </c>
      <c r="AD27" s="2">
        <v>240000</v>
      </c>
      <c r="AE27" s="2">
        <v>262.46699999999998</v>
      </c>
      <c r="AF27" s="16">
        <v>240000000</v>
      </c>
      <c r="AG27" s="15">
        <v>3600000000</v>
      </c>
      <c r="AH27" s="12">
        <v>36000000</v>
      </c>
      <c r="AI27" s="2">
        <v>360000</v>
      </c>
      <c r="AJ27" s="2">
        <f>V27*V27</f>
        <v>3600</v>
      </c>
      <c r="AK27" s="2">
        <v>5580011</v>
      </c>
      <c r="AL27" s="2">
        <v>38750.1</v>
      </c>
      <c r="AM27" s="288">
        <v>36</v>
      </c>
      <c r="AN27" s="396">
        <v>0.36</v>
      </c>
      <c r="AO27" s="322">
        <v>0.88957900000000001</v>
      </c>
      <c r="AP27" s="238" t="s">
        <v>4</v>
      </c>
      <c r="AQ27" s="654">
        <f t="shared" si="2"/>
        <v>3.2319326503086321E-6</v>
      </c>
      <c r="AR27" s="251">
        <f t="shared" si="3"/>
        <v>0</v>
      </c>
      <c r="AS27" s="73">
        <f t="shared" si="0"/>
        <v>0</v>
      </c>
      <c r="AT27" s="73">
        <f t="shared" si="0"/>
        <v>0</v>
      </c>
      <c r="AU27" s="73">
        <f t="shared" si="0"/>
        <v>0</v>
      </c>
      <c r="AV27" s="73">
        <f t="shared" si="0"/>
        <v>0</v>
      </c>
      <c r="AW27" s="73">
        <f t="shared" si="0"/>
        <v>0</v>
      </c>
      <c r="AX27" s="73">
        <f t="shared" si="0"/>
        <v>0</v>
      </c>
      <c r="AY27" s="234">
        <f t="shared" si="0"/>
        <v>0</v>
      </c>
      <c r="AZ27" s="139">
        <f t="shared" si="4"/>
        <v>0</v>
      </c>
      <c r="BA27" s="80">
        <f t="shared" si="5"/>
        <v>0</v>
      </c>
      <c r="BB27" s="80">
        <f t="shared" si="1"/>
        <v>0</v>
      </c>
      <c r="BC27" s="80">
        <f t="shared" si="1"/>
        <v>0</v>
      </c>
      <c r="BD27" s="80">
        <f t="shared" si="1"/>
        <v>0</v>
      </c>
      <c r="BE27" s="80">
        <f t="shared" si="1"/>
        <v>0</v>
      </c>
      <c r="BF27" s="80">
        <f t="shared" si="1"/>
        <v>0</v>
      </c>
      <c r="BG27" s="80">
        <f t="shared" si="1"/>
        <v>0</v>
      </c>
      <c r="BH27" s="96">
        <f t="shared" si="1"/>
        <v>0</v>
      </c>
    </row>
    <row r="28" spans="1:60" x14ac:dyDescent="0.25">
      <c r="A28" s="310">
        <v>90</v>
      </c>
      <c r="B28" s="53">
        <v>127.279220613579</v>
      </c>
      <c r="C28" s="211" t="s">
        <v>10</v>
      </c>
      <c r="D28" s="120">
        <v>57936384</v>
      </c>
      <c r="E28" s="1">
        <v>1900800</v>
      </c>
      <c r="F28" s="1">
        <v>22809600</v>
      </c>
      <c r="G28" s="1">
        <v>579364</v>
      </c>
      <c r="H28" s="1">
        <v>360</v>
      </c>
      <c r="I28" s="1">
        <v>579363840</v>
      </c>
      <c r="J28" s="1">
        <v>633600</v>
      </c>
      <c r="K28" s="164">
        <v>579363840000</v>
      </c>
      <c r="L28" s="120">
        <v>2.09789036937216E+16</v>
      </c>
      <c r="M28" s="59">
        <v>209789036937216</v>
      </c>
      <c r="N28" s="59">
        <v>2097890369372</v>
      </c>
      <c r="O28" s="1">
        <v>20978903694</v>
      </c>
      <c r="P28" s="59">
        <v>32517365760000</v>
      </c>
      <c r="Q28" s="59">
        <v>225815040000</v>
      </c>
      <c r="R28" s="1">
        <v>209789037</v>
      </c>
      <c r="S28" s="1">
        <v>2097890</v>
      </c>
      <c r="T28" s="119">
        <v>5184000</v>
      </c>
      <c r="U28" s="143">
        <v>5</v>
      </c>
      <c r="V28" s="13">
        <v>90</v>
      </c>
      <c r="W28" s="305">
        <v>127.27921600000001</v>
      </c>
      <c r="X28" s="19" t="s">
        <v>10</v>
      </c>
      <c r="Y28" s="13">
        <v>57936384</v>
      </c>
      <c r="Z28" s="2">
        <v>1900800</v>
      </c>
      <c r="AA28" s="2">
        <v>22809600</v>
      </c>
      <c r="AB28" s="2">
        <v>579364</v>
      </c>
      <c r="AC28" s="2">
        <f>4*V28</f>
        <v>360</v>
      </c>
      <c r="AD28" s="2">
        <v>579363840</v>
      </c>
      <c r="AE28" s="2">
        <v>633600</v>
      </c>
      <c r="AF28" s="185">
        <v>579363840000</v>
      </c>
      <c r="AG28" s="28">
        <v>2.0978915281E+16</v>
      </c>
      <c r="AH28" s="12">
        <v>209789152810000</v>
      </c>
      <c r="AI28" s="2">
        <v>2097891528100</v>
      </c>
      <c r="AJ28" s="29">
        <v>20978915281</v>
      </c>
      <c r="AK28" s="29">
        <v>32517383720317</v>
      </c>
      <c r="AL28" s="2">
        <v>225815164724</v>
      </c>
      <c r="AM28" s="288">
        <v>209789153</v>
      </c>
      <c r="AN28" s="29">
        <v>2097892</v>
      </c>
      <c r="AO28" s="42">
        <v>5184003</v>
      </c>
      <c r="AP28" s="238" t="s">
        <v>10</v>
      </c>
      <c r="AQ28" s="654">
        <f t="shared" si="2"/>
        <v>3.6247701230298504E-6</v>
      </c>
      <c r="AR28" s="251">
        <f t="shared" si="3"/>
        <v>0</v>
      </c>
      <c r="AS28" s="73">
        <f t="shared" si="0"/>
        <v>0</v>
      </c>
      <c r="AT28" s="73">
        <f t="shared" si="0"/>
        <v>0</v>
      </c>
      <c r="AU28" s="73">
        <f t="shared" si="0"/>
        <v>0</v>
      </c>
      <c r="AV28" s="73">
        <f t="shared" si="0"/>
        <v>0</v>
      </c>
      <c r="AW28" s="73">
        <f t="shared" si="0"/>
        <v>0</v>
      </c>
      <c r="AX28" s="73">
        <f t="shared" si="0"/>
        <v>0</v>
      </c>
      <c r="AY28" s="234">
        <f t="shared" si="0"/>
        <v>0</v>
      </c>
      <c r="AZ28" s="139">
        <f t="shared" si="4"/>
        <v>-5.5232971985421311E-5</v>
      </c>
      <c r="BA28" s="80">
        <f t="shared" si="5"/>
        <v>-5.5232971985421311E-5</v>
      </c>
      <c r="BB28" s="80">
        <f t="shared" si="1"/>
        <v>-5.5232979612126398E-5</v>
      </c>
      <c r="BC28" s="80">
        <f t="shared" si="1"/>
        <v>-5.5231644938735284E-5</v>
      </c>
      <c r="BD28" s="80">
        <f t="shared" si="1"/>
        <v>-5.5232970630347231E-5</v>
      </c>
      <c r="BE28" s="80">
        <f t="shared" si="1"/>
        <v>-5.5232783038483035E-5</v>
      </c>
      <c r="BF28" s="80">
        <f t="shared" si="1"/>
        <v>-5.5293611867530635E-5</v>
      </c>
      <c r="BG28" s="80">
        <f t="shared" si="1"/>
        <v>-9.5333792206653159E-5</v>
      </c>
      <c r="BH28" s="96">
        <f t="shared" si="1"/>
        <v>-5.787033688059208E-5</v>
      </c>
    </row>
    <row r="29" spans="1:60" x14ac:dyDescent="0.25">
      <c r="A29" s="118">
        <v>18</v>
      </c>
      <c r="B29" s="54">
        <v>25.4558441227157</v>
      </c>
      <c r="C29" s="211" t="s">
        <v>6</v>
      </c>
      <c r="D29" s="118">
        <v>7.2</v>
      </c>
      <c r="E29" s="1">
        <v>0.23622000000000001</v>
      </c>
      <c r="F29" s="1">
        <v>2.8346499999999999</v>
      </c>
      <c r="G29" s="1">
        <v>7.1999999999999995E-2</v>
      </c>
      <c r="H29" s="49">
        <v>4.4738725841088098E-5</v>
      </c>
      <c r="I29" s="1">
        <v>72</v>
      </c>
      <c r="J29" s="1">
        <v>7.8740199999999996E-2</v>
      </c>
      <c r="K29" s="119">
        <v>72000</v>
      </c>
      <c r="L29" s="120">
        <v>324</v>
      </c>
      <c r="M29" s="325">
        <v>3.24</v>
      </c>
      <c r="N29" s="347">
        <v>3.2399999999999998E-2</v>
      </c>
      <c r="O29" s="315">
        <v>3.2400000000000001E-4</v>
      </c>
      <c r="P29" s="315">
        <v>0.50220100000000001</v>
      </c>
      <c r="Q29" s="326">
        <v>3.4875100000000001E-3</v>
      </c>
      <c r="R29" s="326">
        <v>3.2399999999999999E-6</v>
      </c>
      <c r="S29" s="327">
        <v>3.2399999999999999E-8</v>
      </c>
      <c r="T29" s="328">
        <v>8.00621435953616E-8</v>
      </c>
      <c r="U29" s="143">
        <v>6</v>
      </c>
      <c r="V29" s="15">
        <v>18</v>
      </c>
      <c r="W29" s="34">
        <v>25.455839999999998</v>
      </c>
      <c r="X29" s="19" t="s">
        <v>6</v>
      </c>
      <c r="Y29" s="13">
        <v>7.2</v>
      </c>
      <c r="Z29" s="2">
        <v>0.23622000000000001</v>
      </c>
      <c r="AA29" s="2">
        <v>2.8346499999999999</v>
      </c>
      <c r="AB29" s="2">
        <v>7.1999999999999995E-2</v>
      </c>
      <c r="AC29" s="30">
        <v>4.4738725841088098E-5</v>
      </c>
      <c r="AD29" s="2">
        <v>72</v>
      </c>
      <c r="AE29" s="2">
        <v>7.8740199999999996E-2</v>
      </c>
      <c r="AF29" s="16">
        <v>72000</v>
      </c>
      <c r="AG29" s="15">
        <f>V29*V29</f>
        <v>324</v>
      </c>
      <c r="AH29" s="12">
        <v>3.24</v>
      </c>
      <c r="AI29" s="2">
        <v>3.2399999999999998E-2</v>
      </c>
      <c r="AJ29" s="307">
        <v>3.2400000000000001E-4</v>
      </c>
      <c r="AK29" s="2">
        <v>0.50220100000000001</v>
      </c>
      <c r="AL29" s="76">
        <v>3.4875100000000001E-3</v>
      </c>
      <c r="AM29" s="301">
        <v>3.2399999999999999E-6</v>
      </c>
      <c r="AN29" s="323">
        <v>3.2399999999999999E-8</v>
      </c>
      <c r="AO29" s="43">
        <v>8.00621435953616E-8</v>
      </c>
      <c r="AP29" s="238" t="s">
        <v>6</v>
      </c>
      <c r="AQ29" s="654">
        <f t="shared" si="2"/>
        <v>1.6195559452256606E-5</v>
      </c>
      <c r="AR29" s="251">
        <f t="shared" si="3"/>
        <v>0</v>
      </c>
      <c r="AS29" s="73">
        <f t="shared" si="0"/>
        <v>0</v>
      </c>
      <c r="AT29" s="73">
        <f t="shared" si="0"/>
        <v>0</v>
      </c>
      <c r="AU29" s="73">
        <f t="shared" si="0"/>
        <v>0</v>
      </c>
      <c r="AV29" s="73">
        <f t="shared" si="0"/>
        <v>0</v>
      </c>
      <c r="AW29" s="73">
        <f t="shared" si="0"/>
        <v>0</v>
      </c>
      <c r="AX29" s="73">
        <f t="shared" si="0"/>
        <v>0</v>
      </c>
      <c r="AY29" s="234">
        <f t="shared" si="0"/>
        <v>0</v>
      </c>
      <c r="AZ29" s="139">
        <f t="shared" si="4"/>
        <v>0</v>
      </c>
      <c r="BA29" s="80">
        <f t="shared" si="5"/>
        <v>0</v>
      </c>
      <c r="BB29" s="80">
        <f t="shared" si="1"/>
        <v>0</v>
      </c>
      <c r="BC29" s="80">
        <f t="shared" si="1"/>
        <v>0</v>
      </c>
      <c r="BD29" s="80">
        <f t="shared" si="1"/>
        <v>0</v>
      </c>
      <c r="BE29" s="80">
        <f t="shared" si="1"/>
        <v>0</v>
      </c>
      <c r="BF29" s="80">
        <f t="shared" si="1"/>
        <v>0</v>
      </c>
      <c r="BG29" s="80">
        <f t="shared" si="1"/>
        <v>0</v>
      </c>
      <c r="BH29" s="96">
        <f t="shared" si="1"/>
        <v>0</v>
      </c>
    </row>
    <row r="30" spans="1:60" x14ac:dyDescent="0.25">
      <c r="A30" s="118">
        <v>9</v>
      </c>
      <c r="B30" s="54">
        <v>12.7279220613579</v>
      </c>
      <c r="C30" s="211" t="s">
        <v>7</v>
      </c>
      <c r="D30" s="118">
        <v>3291.84</v>
      </c>
      <c r="E30" s="1">
        <v>108</v>
      </c>
      <c r="F30" s="1">
        <v>1296</v>
      </c>
      <c r="G30" s="1">
        <v>32.918399999999998</v>
      </c>
      <c r="H30" s="1">
        <v>2.04545E-2</v>
      </c>
      <c r="I30" s="1">
        <v>32918.400000000001</v>
      </c>
      <c r="J30" s="1">
        <v>36</v>
      </c>
      <c r="K30" s="119">
        <v>32918400</v>
      </c>
      <c r="L30" s="118">
        <v>67726316</v>
      </c>
      <c r="M30" s="1">
        <v>677263</v>
      </c>
      <c r="N30" s="1">
        <v>6772.63</v>
      </c>
      <c r="O30" s="1">
        <v>67.726299999999995</v>
      </c>
      <c r="P30" s="1">
        <v>104976</v>
      </c>
      <c r="Q30" s="1">
        <v>729</v>
      </c>
      <c r="R30" s="1">
        <v>0.67726299999999995</v>
      </c>
      <c r="S30" s="1">
        <v>6.77263E-3</v>
      </c>
      <c r="T30" s="119">
        <v>1.67355E-2</v>
      </c>
      <c r="U30" s="143">
        <v>7</v>
      </c>
      <c r="V30" s="15">
        <v>9</v>
      </c>
      <c r="W30" s="2">
        <v>12.727919999999999</v>
      </c>
      <c r="X30" s="19" t="s">
        <v>7</v>
      </c>
      <c r="Y30" s="13">
        <v>3291.84</v>
      </c>
      <c r="Z30" s="2">
        <v>108</v>
      </c>
      <c r="AA30" s="2">
        <v>1296</v>
      </c>
      <c r="AB30" s="2">
        <v>32.918399999999998</v>
      </c>
      <c r="AC30" s="2">
        <v>2.04545E-2</v>
      </c>
      <c r="AD30" s="2">
        <v>32918.400000000001</v>
      </c>
      <c r="AE30" s="2">
        <f>4*V30</f>
        <v>36</v>
      </c>
      <c r="AF30" s="16">
        <v>32918400</v>
      </c>
      <c r="AG30" s="15">
        <v>67726300</v>
      </c>
      <c r="AH30" s="12">
        <v>677263</v>
      </c>
      <c r="AI30" s="2">
        <v>6772.63</v>
      </c>
      <c r="AJ30" s="2">
        <v>67.726299999999995</v>
      </c>
      <c r="AK30" s="2">
        <v>104976</v>
      </c>
      <c r="AL30" s="2">
        <v>729</v>
      </c>
      <c r="AM30" s="305">
        <v>0.67726299999999995</v>
      </c>
      <c r="AN30" s="309">
        <v>6.77263E-3</v>
      </c>
      <c r="AO30" s="324">
        <v>1.67355E-2</v>
      </c>
      <c r="AP30" s="238" t="s">
        <v>7</v>
      </c>
      <c r="AQ30" s="654">
        <f t="shared" si="2"/>
        <v>1.6195559843035235E-5</v>
      </c>
      <c r="AR30" s="251">
        <f t="shared" si="3"/>
        <v>0</v>
      </c>
      <c r="AS30" s="73">
        <f t="shared" si="0"/>
        <v>0</v>
      </c>
      <c r="AT30" s="73">
        <f t="shared" si="0"/>
        <v>0</v>
      </c>
      <c r="AU30" s="73">
        <f t="shared" si="0"/>
        <v>0</v>
      </c>
      <c r="AV30" s="73">
        <f t="shared" si="0"/>
        <v>0</v>
      </c>
      <c r="AW30" s="73">
        <f t="shared" si="0"/>
        <v>0</v>
      </c>
      <c r="AX30" s="73">
        <f t="shared" si="0"/>
        <v>0</v>
      </c>
      <c r="AY30" s="234">
        <f t="shared" si="0"/>
        <v>0</v>
      </c>
      <c r="AZ30" s="139">
        <f t="shared" si="4"/>
        <v>2.3624500378730271E-5</v>
      </c>
      <c r="BA30" s="80">
        <f t="shared" si="5"/>
        <v>0</v>
      </c>
      <c r="BB30" s="80">
        <f t="shared" si="1"/>
        <v>0</v>
      </c>
      <c r="BC30" s="80">
        <f t="shared" si="1"/>
        <v>0</v>
      </c>
      <c r="BD30" s="80">
        <f t="shared" si="1"/>
        <v>0</v>
      </c>
      <c r="BE30" s="80">
        <f t="shared" si="1"/>
        <v>0</v>
      </c>
      <c r="BF30" s="80">
        <f t="shared" si="1"/>
        <v>0</v>
      </c>
      <c r="BG30" s="80">
        <f t="shared" si="1"/>
        <v>0</v>
      </c>
      <c r="BH30" s="96">
        <f t="shared" si="1"/>
        <v>0</v>
      </c>
    </row>
    <row r="31" spans="1:60" ht="15.75" thickBot="1" x14ac:dyDescent="0.3">
      <c r="A31" s="55">
        <v>72</v>
      </c>
      <c r="B31" s="62">
        <v>101.823376490863</v>
      </c>
      <c r="C31" s="212" t="s">
        <v>20</v>
      </c>
      <c r="D31" s="121">
        <v>2.8799999999999999E-2</v>
      </c>
      <c r="E31" s="329">
        <v>9.4488199999999997E-4</v>
      </c>
      <c r="F31" s="55">
        <v>1.1338600000000001E-2</v>
      </c>
      <c r="G31" s="351">
        <v>2.8800000000000001E-4</v>
      </c>
      <c r="H31" s="353">
        <v>1.7895490336435201E-7</v>
      </c>
      <c r="I31" s="368">
        <v>0.28799999999999998</v>
      </c>
      <c r="J31" s="329">
        <v>3.14961E-4</v>
      </c>
      <c r="K31" s="122">
        <v>288</v>
      </c>
      <c r="L31" s="334">
        <v>5.1840000000000002E-3</v>
      </c>
      <c r="M31" s="335">
        <v>5.1839999999999998E-5</v>
      </c>
      <c r="N31" s="336">
        <v>5.1839999999999998E-7</v>
      </c>
      <c r="O31" s="62">
        <v>5.1840000000000003E-9</v>
      </c>
      <c r="P31" s="333">
        <v>8.0352160704321408E-6</v>
      </c>
      <c r="Q31" s="67">
        <v>5.5800111600223199E-8</v>
      </c>
      <c r="R31" s="332">
        <v>5.1839999999999999E-11</v>
      </c>
      <c r="S31" s="330">
        <v>5.1839999999999999E-13</v>
      </c>
      <c r="T31" s="331">
        <v>1.2809942975257899E-12</v>
      </c>
      <c r="U31" s="144">
        <v>8</v>
      </c>
      <c r="V31" s="9">
        <v>72</v>
      </c>
      <c r="W31" s="9">
        <v>101.823239</v>
      </c>
      <c r="X31" s="20" t="s">
        <v>20</v>
      </c>
      <c r="Y31" s="17">
        <v>2.8799999999999999E-2</v>
      </c>
      <c r="Z31" s="318">
        <v>9.4488199999999997E-4</v>
      </c>
      <c r="AA31" s="9">
        <v>1.1338600000000001E-2</v>
      </c>
      <c r="AB31" s="319">
        <v>2.8800000000000001E-4</v>
      </c>
      <c r="AC31" s="320">
        <v>1.7895490336435201E-7</v>
      </c>
      <c r="AD31" s="9">
        <v>0.28799999999999998</v>
      </c>
      <c r="AE31" s="303">
        <v>3.14961E-4</v>
      </c>
      <c r="AF31" s="10">
        <f>4*V31</f>
        <v>288</v>
      </c>
      <c r="AG31" s="17">
        <v>5.1840000000000002E-3</v>
      </c>
      <c r="AH31" s="337">
        <v>5.1839999999999998E-5</v>
      </c>
      <c r="AI31" s="37">
        <v>5.1839999999999998E-7</v>
      </c>
      <c r="AJ31" s="189">
        <v>5.1840000000000003E-9</v>
      </c>
      <c r="AK31" s="203">
        <v>8.0352160704321408E-6</v>
      </c>
      <c r="AL31" s="206">
        <v>5.5800111600223199E-8</v>
      </c>
      <c r="AM31" s="190">
        <v>5.1839999999999999E-11</v>
      </c>
      <c r="AN31" s="191">
        <v>5.1839999999999999E-13</v>
      </c>
      <c r="AO31" s="615">
        <v>1.2809942975257899E-12</v>
      </c>
      <c r="AP31" s="239" t="s">
        <v>20</v>
      </c>
      <c r="AQ31" s="655">
        <f t="shared" si="2"/>
        <v>1.3502896229510982E-4</v>
      </c>
      <c r="AR31" s="252">
        <f t="shared" si="3"/>
        <v>0</v>
      </c>
      <c r="AS31" s="97">
        <f t="shared" si="0"/>
        <v>0</v>
      </c>
      <c r="AT31" s="97">
        <f t="shared" si="0"/>
        <v>0</v>
      </c>
      <c r="AU31" s="97">
        <f t="shared" si="0"/>
        <v>0</v>
      </c>
      <c r="AV31" s="97">
        <f t="shared" si="0"/>
        <v>0</v>
      </c>
      <c r="AW31" s="97">
        <f t="shared" si="0"/>
        <v>0</v>
      </c>
      <c r="AX31" s="97">
        <f t="shared" si="0"/>
        <v>0</v>
      </c>
      <c r="AY31" s="235">
        <f t="shared" si="0"/>
        <v>0</v>
      </c>
      <c r="AZ31" s="140">
        <f t="shared" si="4"/>
        <v>0</v>
      </c>
      <c r="BA31" s="100">
        <f t="shared" si="5"/>
        <v>0</v>
      </c>
      <c r="BB31" s="100">
        <f t="shared" si="1"/>
        <v>0</v>
      </c>
      <c r="BC31" s="100">
        <f t="shared" si="1"/>
        <v>0</v>
      </c>
      <c r="BD31" s="100">
        <f t="shared" si="1"/>
        <v>0</v>
      </c>
      <c r="BE31" s="100">
        <f t="shared" si="1"/>
        <v>0</v>
      </c>
      <c r="BF31" s="100">
        <f t="shared" si="1"/>
        <v>0</v>
      </c>
      <c r="BG31" s="100">
        <f t="shared" si="1"/>
        <v>0</v>
      </c>
      <c r="BH31" s="102">
        <f t="shared" si="1"/>
        <v>0</v>
      </c>
    </row>
    <row r="32" spans="1:60" s="4" customFormat="1" x14ac:dyDescent="0.25">
      <c r="A32" s="3"/>
      <c r="B32" s="3"/>
      <c r="C32" s="3"/>
      <c r="D32" s="3"/>
      <c r="E32" s="146"/>
      <c r="F32" s="3"/>
      <c r="G32" s="147"/>
      <c r="H32" s="148"/>
      <c r="I32" s="149"/>
      <c r="J32" s="146"/>
      <c r="K32" s="3"/>
      <c r="L32" s="150"/>
      <c r="M32" s="151"/>
      <c r="N32" s="152"/>
      <c r="O32" s="153"/>
      <c r="P32" s="151"/>
      <c r="Q32" s="152"/>
      <c r="R32" s="154"/>
      <c r="S32" s="155"/>
      <c r="T32" s="156"/>
      <c r="U32" s="157"/>
      <c r="V32" s="3"/>
      <c r="W32" s="3"/>
      <c r="X32" s="3"/>
      <c r="Y32" s="3"/>
      <c r="Z32" s="146"/>
      <c r="AA32" s="3"/>
      <c r="AB32" s="158"/>
      <c r="AC32" s="148"/>
      <c r="AD32" s="3"/>
      <c r="AE32" s="146"/>
      <c r="AF32" s="3"/>
      <c r="AG32" s="3"/>
      <c r="AH32" s="159"/>
      <c r="AI32" s="159"/>
      <c r="AJ32" s="159"/>
      <c r="AK32" s="160"/>
      <c r="AL32" s="160"/>
      <c r="AM32" s="159"/>
      <c r="AN32" s="159"/>
      <c r="AO32" s="160"/>
      <c r="AP32" s="3"/>
      <c r="AQ32" s="150"/>
      <c r="AR32" s="161"/>
      <c r="AS32" s="161"/>
      <c r="AT32" s="161"/>
      <c r="AU32" s="161"/>
      <c r="AV32" s="161"/>
      <c r="AW32" s="161"/>
      <c r="AX32" s="162"/>
      <c r="AY32" s="146"/>
      <c r="AZ32" s="146"/>
      <c r="BA32" s="146"/>
      <c r="BB32" s="162"/>
      <c r="BC32" s="146"/>
      <c r="BD32" s="146"/>
      <c r="BE32" s="153"/>
      <c r="BF32" s="146"/>
      <c r="BG32" s="146"/>
      <c r="BH32" s="146"/>
    </row>
    <row r="33" spans="1:36" x14ac:dyDescent="0.25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25"/>
      <c r="S33" s="625"/>
      <c r="T33" s="625"/>
      <c r="U33" s="625"/>
    </row>
    <row r="34" spans="1:36" ht="18.75" x14ac:dyDescent="0.3">
      <c r="A34" s="625"/>
      <c r="B34" s="632">
        <v>1</v>
      </c>
      <c r="C34" s="625"/>
      <c r="D34" s="625"/>
      <c r="E34" s="625"/>
      <c r="F34" s="632"/>
      <c r="G34" s="634">
        <v>2</v>
      </c>
      <c r="H34" s="625"/>
      <c r="I34" s="633">
        <v>3</v>
      </c>
      <c r="J34" s="625"/>
      <c r="K34" s="625"/>
      <c r="L34" s="633">
        <v>4</v>
      </c>
      <c r="M34" s="625"/>
      <c r="N34" s="632">
        <v>5</v>
      </c>
      <c r="O34" s="625"/>
      <c r="P34" s="632">
        <v>6</v>
      </c>
      <c r="Q34" s="632"/>
      <c r="R34" s="633">
        <v>7</v>
      </c>
      <c r="S34" s="625"/>
      <c r="T34" s="634">
        <v>8</v>
      </c>
      <c r="U34" s="625"/>
      <c r="V34" s="202"/>
      <c r="Z34" s="202"/>
      <c r="AE34" s="202"/>
      <c r="AJ34" s="202"/>
    </row>
    <row r="35" spans="1:36" x14ac:dyDescent="0.25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25"/>
      <c r="S35" s="625"/>
      <c r="T35" s="625"/>
      <c r="U35" s="625"/>
    </row>
    <row r="36" spans="1:36" x14ac:dyDescent="0.25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25"/>
      <c r="S36" s="625"/>
      <c r="T36" s="625"/>
      <c r="U36" s="625"/>
    </row>
    <row r="37" spans="1:36" x14ac:dyDescent="0.25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25"/>
      <c r="S37" s="625"/>
      <c r="T37" s="625"/>
      <c r="U37" s="625"/>
    </row>
    <row r="38" spans="1:36" x14ac:dyDescent="0.25">
      <c r="A38" s="625"/>
      <c r="B38" s="625"/>
      <c r="C38" s="625"/>
      <c r="D38" s="625"/>
      <c r="E38" s="625"/>
      <c r="F38" s="625"/>
      <c r="G38" s="625"/>
      <c r="H38" s="625"/>
      <c r="I38" s="625"/>
      <c r="J38" s="625"/>
      <c r="K38" s="625"/>
      <c r="L38" s="625"/>
      <c r="M38" s="625"/>
      <c r="N38" s="625"/>
      <c r="O38" s="625"/>
      <c r="P38" s="625"/>
      <c r="Q38" s="625"/>
      <c r="R38" s="625"/>
      <c r="S38" s="625"/>
      <c r="T38" s="625"/>
      <c r="U38" s="625"/>
    </row>
    <row r="39" spans="1:36" x14ac:dyDescent="0.25">
      <c r="A39" s="625"/>
      <c r="B39" s="625"/>
      <c r="C39" s="625"/>
      <c r="D39" s="625"/>
      <c r="E39" s="625"/>
      <c r="F39" s="625"/>
      <c r="G39" s="625"/>
      <c r="H39" s="625"/>
      <c r="I39" s="625"/>
      <c r="J39" s="625"/>
      <c r="K39" s="625"/>
      <c r="L39" s="625"/>
      <c r="M39" s="625"/>
      <c r="N39" s="625"/>
      <c r="O39" s="625"/>
      <c r="P39" s="625"/>
      <c r="Q39" s="625"/>
      <c r="R39" s="625"/>
      <c r="S39" s="625"/>
      <c r="T39" s="625"/>
      <c r="U39" s="625"/>
    </row>
    <row r="40" spans="1:36" x14ac:dyDescent="0.25">
      <c r="A40" s="625"/>
      <c r="B40" s="625"/>
      <c r="C40" s="625"/>
      <c r="D40" s="625"/>
      <c r="E40" s="625"/>
      <c r="F40" s="625"/>
      <c r="G40" s="625"/>
      <c r="H40" s="625"/>
      <c r="I40" s="625"/>
      <c r="J40" s="625"/>
      <c r="K40" s="625"/>
      <c r="L40" s="625"/>
      <c r="M40" s="625"/>
      <c r="N40" s="625"/>
      <c r="O40" s="625"/>
      <c r="P40" s="625"/>
      <c r="Q40" s="625"/>
      <c r="R40" s="625"/>
      <c r="S40" s="625"/>
      <c r="T40" s="625"/>
      <c r="U40" s="625"/>
    </row>
    <row r="41" spans="1:36" x14ac:dyDescent="0.25">
      <c r="A41" s="625"/>
      <c r="B41" s="625"/>
      <c r="C41" s="625"/>
      <c r="D41" s="625"/>
      <c r="E41" s="625"/>
      <c r="F41" s="625"/>
      <c r="G41" s="625"/>
      <c r="H41" s="625"/>
      <c r="I41" s="625"/>
      <c r="J41" s="625"/>
      <c r="K41" s="625"/>
      <c r="L41" s="625"/>
      <c r="M41" s="625"/>
      <c r="N41" s="625"/>
      <c r="O41" s="625"/>
      <c r="P41" s="625"/>
      <c r="Q41" s="625"/>
      <c r="R41" s="625"/>
      <c r="S41" s="625"/>
      <c r="T41" s="625"/>
      <c r="U41" s="625"/>
    </row>
    <row r="42" spans="1:36" x14ac:dyDescent="0.25">
      <c r="A42" s="625"/>
      <c r="B42" s="625"/>
      <c r="C42" s="625"/>
      <c r="D42" s="625"/>
      <c r="E42" s="625"/>
      <c r="F42" s="625"/>
      <c r="G42" s="625"/>
      <c r="H42" s="625"/>
      <c r="I42" s="625"/>
      <c r="J42" s="625"/>
      <c r="K42" s="625"/>
      <c r="L42" s="625"/>
      <c r="M42" s="625"/>
      <c r="N42" s="625"/>
      <c r="O42" s="625"/>
      <c r="P42" s="625"/>
      <c r="Q42" s="625"/>
      <c r="R42" s="625"/>
      <c r="S42" s="625"/>
      <c r="T42" s="625"/>
      <c r="U42" s="625"/>
    </row>
    <row r="43" spans="1:36" x14ac:dyDescent="0.25">
      <c r="A43" s="625"/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25"/>
      <c r="S43" s="625"/>
      <c r="T43" s="625"/>
      <c r="U43" s="625"/>
    </row>
    <row r="44" spans="1:36" x14ac:dyDescent="0.25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25"/>
      <c r="S44" s="625"/>
      <c r="T44" s="625"/>
      <c r="U44" s="625"/>
    </row>
    <row r="45" spans="1:36" x14ac:dyDescent="0.25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25"/>
      <c r="S45" s="625"/>
      <c r="T45" s="625"/>
      <c r="U45" s="625"/>
    </row>
    <row r="46" spans="1:36" x14ac:dyDescent="0.25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25"/>
      <c r="S46" s="625"/>
      <c r="T46" s="625"/>
      <c r="U46" s="625"/>
    </row>
    <row r="47" spans="1:36" x14ac:dyDescent="0.25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25"/>
      <c r="S47" s="625"/>
      <c r="T47" s="625"/>
      <c r="U47" s="625"/>
    </row>
    <row r="48" spans="1:36" x14ac:dyDescent="0.25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25"/>
      <c r="S48" s="625"/>
      <c r="T48" s="625"/>
      <c r="U48" s="625"/>
    </row>
    <row r="49" spans="1:60" ht="15.75" thickBot="1" x14ac:dyDescent="0.3"/>
    <row r="50" spans="1:60" ht="14.25" customHeight="1" thickBot="1" x14ac:dyDescent="0.3">
      <c r="A50" s="915" t="s">
        <v>39</v>
      </c>
      <c r="B50" s="916"/>
      <c r="C50" s="916"/>
      <c r="D50" s="917" t="s">
        <v>1</v>
      </c>
      <c r="E50" s="902"/>
      <c r="F50" s="902"/>
      <c r="G50" s="902"/>
      <c r="H50" s="902"/>
      <c r="I50" s="902"/>
      <c r="J50" s="902"/>
      <c r="K50" s="903"/>
      <c r="L50" s="917" t="s">
        <v>0</v>
      </c>
      <c r="M50" s="902"/>
      <c r="N50" s="902"/>
      <c r="O50" s="902"/>
      <c r="P50" s="902"/>
      <c r="Q50" s="902"/>
      <c r="R50" s="902"/>
      <c r="S50" s="902"/>
      <c r="T50" s="903"/>
      <c r="U50" s="918"/>
      <c r="V50" s="919"/>
      <c r="W50" s="919"/>
      <c r="X50" s="919"/>
      <c r="Y50" s="888" t="s">
        <v>48</v>
      </c>
      <c r="Z50" s="889"/>
      <c r="AA50" s="889"/>
      <c r="AB50" s="889"/>
      <c r="AC50" s="889"/>
      <c r="AD50" s="889"/>
      <c r="AE50" s="889"/>
      <c r="AF50" s="890"/>
      <c r="AG50" s="888" t="s">
        <v>49</v>
      </c>
      <c r="AH50" s="902"/>
      <c r="AI50" s="902"/>
      <c r="AJ50" s="902"/>
      <c r="AK50" s="902"/>
      <c r="AL50" s="902"/>
      <c r="AM50" s="902"/>
      <c r="AN50" s="902"/>
      <c r="AO50" s="903"/>
      <c r="AP50" s="900"/>
      <c r="AQ50" s="900"/>
      <c r="AR50" s="901" t="s">
        <v>1</v>
      </c>
      <c r="AS50" s="902"/>
      <c r="AT50" s="902"/>
      <c r="AU50" s="902"/>
      <c r="AV50" s="902"/>
      <c r="AW50" s="902"/>
      <c r="AX50" s="902"/>
      <c r="AY50" s="903"/>
      <c r="AZ50" s="901" t="s">
        <v>0</v>
      </c>
      <c r="BA50" s="902"/>
      <c r="BB50" s="902"/>
      <c r="BC50" s="902"/>
      <c r="BD50" s="902"/>
      <c r="BE50" s="902"/>
      <c r="BF50" s="902"/>
      <c r="BG50" s="902"/>
      <c r="BH50" s="903"/>
    </row>
    <row r="51" spans="1:60" ht="15" customHeight="1" thickBot="1" x14ac:dyDescent="0.3">
      <c r="A51" s="907" t="s">
        <v>12</v>
      </c>
      <c r="B51" s="909" t="s">
        <v>47</v>
      </c>
      <c r="C51" s="911" t="s">
        <v>15</v>
      </c>
      <c r="D51" s="906"/>
      <c r="E51" s="904"/>
      <c r="F51" s="904"/>
      <c r="G51" s="904"/>
      <c r="H51" s="904"/>
      <c r="I51" s="904"/>
      <c r="J51" s="904"/>
      <c r="K51" s="905"/>
      <c r="L51" s="906"/>
      <c r="M51" s="904"/>
      <c r="N51" s="904"/>
      <c r="O51" s="904"/>
      <c r="P51" s="904"/>
      <c r="Q51" s="904"/>
      <c r="R51" s="904"/>
      <c r="S51" s="904"/>
      <c r="T51" s="905"/>
      <c r="U51" s="912" t="s">
        <v>40</v>
      </c>
      <c r="V51" s="914" t="s">
        <v>12</v>
      </c>
      <c r="W51" s="914" t="s">
        <v>47</v>
      </c>
      <c r="X51" s="912" t="s">
        <v>41</v>
      </c>
      <c r="Y51" s="891"/>
      <c r="Z51" s="892"/>
      <c r="AA51" s="892"/>
      <c r="AB51" s="892"/>
      <c r="AC51" s="892"/>
      <c r="AD51" s="892"/>
      <c r="AE51" s="892"/>
      <c r="AF51" s="893"/>
      <c r="AG51" s="906"/>
      <c r="AH51" s="904"/>
      <c r="AI51" s="904"/>
      <c r="AJ51" s="904"/>
      <c r="AK51" s="904"/>
      <c r="AL51" s="904"/>
      <c r="AM51" s="904"/>
      <c r="AN51" s="904"/>
      <c r="AO51" s="905"/>
      <c r="AP51" s="897" t="s">
        <v>15</v>
      </c>
      <c r="AQ51" s="899" t="s">
        <v>12</v>
      </c>
      <c r="AR51" s="904"/>
      <c r="AS51" s="904"/>
      <c r="AT51" s="904"/>
      <c r="AU51" s="904"/>
      <c r="AV51" s="904"/>
      <c r="AW51" s="904"/>
      <c r="AX51" s="904"/>
      <c r="AY51" s="905"/>
      <c r="AZ51" s="906"/>
      <c r="BA51" s="904"/>
      <c r="BB51" s="904"/>
      <c r="BC51" s="904"/>
      <c r="BD51" s="904"/>
      <c r="BE51" s="904"/>
      <c r="BF51" s="904"/>
      <c r="BG51" s="904"/>
      <c r="BH51" s="905"/>
    </row>
    <row r="52" spans="1:60" ht="15.75" thickBot="1" x14ac:dyDescent="0.3">
      <c r="A52" s="908"/>
      <c r="B52" s="910"/>
      <c r="C52" s="910"/>
      <c r="D52" s="103" t="s">
        <v>9</v>
      </c>
      <c r="E52" s="104" t="s">
        <v>5</v>
      </c>
      <c r="F52" s="104" t="s">
        <v>8</v>
      </c>
      <c r="G52" s="104" t="s">
        <v>4</v>
      </c>
      <c r="H52" s="104" t="s">
        <v>10</v>
      </c>
      <c r="I52" s="104" t="s">
        <v>6</v>
      </c>
      <c r="J52" s="104" t="s">
        <v>7</v>
      </c>
      <c r="K52" s="105" t="s">
        <v>20</v>
      </c>
      <c r="L52" s="103" t="s">
        <v>22</v>
      </c>
      <c r="M52" s="104" t="s">
        <v>23</v>
      </c>
      <c r="N52" s="104" t="s">
        <v>24</v>
      </c>
      <c r="O52" s="104" t="s">
        <v>25</v>
      </c>
      <c r="P52" s="104" t="s">
        <v>26</v>
      </c>
      <c r="Q52" s="104" t="s">
        <v>27</v>
      </c>
      <c r="R52" s="104" t="s">
        <v>28</v>
      </c>
      <c r="S52" s="104" t="s">
        <v>29</v>
      </c>
      <c r="T52" s="105" t="s">
        <v>30</v>
      </c>
      <c r="U52" s="913"/>
      <c r="V52" s="913"/>
      <c r="W52" s="913"/>
      <c r="X52" s="913"/>
      <c r="Y52" s="109" t="s">
        <v>9</v>
      </c>
      <c r="Z52" s="110" t="s">
        <v>5</v>
      </c>
      <c r="AA52" s="110" t="s">
        <v>8</v>
      </c>
      <c r="AB52" s="110" t="s">
        <v>4</v>
      </c>
      <c r="AC52" s="110" t="s">
        <v>10</v>
      </c>
      <c r="AD52" s="110" t="s">
        <v>6</v>
      </c>
      <c r="AE52" s="110" t="s">
        <v>7</v>
      </c>
      <c r="AF52" s="111" t="s">
        <v>20</v>
      </c>
      <c r="AG52" s="106" t="s">
        <v>22</v>
      </c>
      <c r="AH52" s="107" t="s">
        <v>23</v>
      </c>
      <c r="AI52" s="107" t="s">
        <v>24</v>
      </c>
      <c r="AJ52" s="107" t="s">
        <v>25</v>
      </c>
      <c r="AK52" s="107" t="s">
        <v>26</v>
      </c>
      <c r="AL52" s="107" t="s">
        <v>27</v>
      </c>
      <c r="AM52" s="107" t="s">
        <v>28</v>
      </c>
      <c r="AN52" s="107" t="s">
        <v>29</v>
      </c>
      <c r="AO52" s="108" t="s">
        <v>30</v>
      </c>
      <c r="AP52" s="898"/>
      <c r="AQ52" s="898"/>
      <c r="AR52" s="130" t="s">
        <v>9</v>
      </c>
      <c r="AS52" s="131" t="s">
        <v>5</v>
      </c>
      <c r="AT52" s="131" t="s">
        <v>8</v>
      </c>
      <c r="AU52" s="131" t="s">
        <v>4</v>
      </c>
      <c r="AV52" s="131" t="s">
        <v>10</v>
      </c>
      <c r="AW52" s="131" t="s">
        <v>6</v>
      </c>
      <c r="AX52" s="131" t="s">
        <v>7</v>
      </c>
      <c r="AY52" s="132" t="s">
        <v>20</v>
      </c>
      <c r="AZ52" s="130" t="s">
        <v>22</v>
      </c>
      <c r="BA52" s="131" t="s">
        <v>23</v>
      </c>
      <c r="BB52" s="131" t="s">
        <v>24</v>
      </c>
      <c r="BC52" s="131" t="s">
        <v>25</v>
      </c>
      <c r="BD52" s="131" t="s">
        <v>26</v>
      </c>
      <c r="BE52" s="131" t="s">
        <v>27</v>
      </c>
      <c r="BF52" s="131" t="s">
        <v>28</v>
      </c>
      <c r="BG52" s="131" t="s">
        <v>29</v>
      </c>
      <c r="BH52" s="132" t="s">
        <v>30</v>
      </c>
    </row>
    <row r="53" spans="1:60" x14ac:dyDescent="0.25">
      <c r="A53" s="369">
        <v>11.250068888677999</v>
      </c>
      <c r="B53" s="338">
        <v>15.91</v>
      </c>
      <c r="C53" s="210" t="s">
        <v>9</v>
      </c>
      <c r="D53" s="114">
        <v>45.000300000000003</v>
      </c>
      <c r="E53" s="115">
        <v>1.4763900000000001</v>
      </c>
      <c r="F53" s="115">
        <v>17.7166</v>
      </c>
      <c r="G53" s="115">
        <v>0.45000299999999999</v>
      </c>
      <c r="H53" s="345">
        <v>2.7961899999999999E-4</v>
      </c>
      <c r="I53" s="115">
        <v>450.00299999999999</v>
      </c>
      <c r="J53" s="115">
        <v>0.49212899999999998</v>
      </c>
      <c r="K53" s="117">
        <v>450003</v>
      </c>
      <c r="L53" s="114">
        <v>12656.4</v>
      </c>
      <c r="M53" s="115">
        <v>126.56399999999999</v>
      </c>
      <c r="N53" s="115">
        <v>1.2656400000000001</v>
      </c>
      <c r="O53" s="115">
        <v>1.26564E-2</v>
      </c>
      <c r="P53" s="115">
        <v>19.6175</v>
      </c>
      <c r="Q53" s="115">
        <v>0.13623199999999999</v>
      </c>
      <c r="R53" s="345">
        <v>1.2656399999999999E-4</v>
      </c>
      <c r="S53" s="169">
        <v>1.2656405E-6</v>
      </c>
      <c r="T53" s="125">
        <v>3.12746578552794E-6</v>
      </c>
      <c r="U53" s="142">
        <v>1</v>
      </c>
      <c r="V53" s="339">
        <v>11.25</v>
      </c>
      <c r="W53" s="308">
        <v>15.91</v>
      </c>
      <c r="X53" s="18" t="s">
        <v>9</v>
      </c>
      <c r="Y53" s="13">
        <f>4*V53</f>
        <v>45</v>
      </c>
      <c r="Z53" s="7">
        <v>1.47638</v>
      </c>
      <c r="AA53" s="7">
        <v>17.7165</v>
      </c>
      <c r="AB53" s="7">
        <v>0.45</v>
      </c>
      <c r="AC53" s="163">
        <v>2.7961700000000002E-4</v>
      </c>
      <c r="AD53" s="7">
        <v>450</v>
      </c>
      <c r="AE53" s="7">
        <v>0.49212600000000001</v>
      </c>
      <c r="AF53" s="14">
        <v>450000</v>
      </c>
      <c r="AG53" s="8">
        <v>12656.2</v>
      </c>
      <c r="AH53" s="12">
        <f>V53*V53</f>
        <v>126.5625</v>
      </c>
      <c r="AI53" s="7">
        <v>1.26562</v>
      </c>
      <c r="AJ53" s="7">
        <v>1.2656199999999999E-2</v>
      </c>
      <c r="AK53" s="7">
        <v>19.617100000000001</v>
      </c>
      <c r="AL53" s="7">
        <v>0.13622999999999999</v>
      </c>
      <c r="AM53" s="163">
        <v>1.2656200000000001E-4</v>
      </c>
      <c r="AN53" s="21">
        <v>1.2656199999999999E-6</v>
      </c>
      <c r="AO53" s="343">
        <v>3.1274151289247399E-6</v>
      </c>
      <c r="AP53" s="237" t="s">
        <v>9</v>
      </c>
      <c r="AQ53" s="616">
        <f>(100*(A53-V53))/V53</f>
        <v>6.1234380443882708E-4</v>
      </c>
      <c r="AR53" s="619">
        <f>(100*(D53-Y53))/Y53</f>
        <v>6.6666666667300782E-4</v>
      </c>
      <c r="AS53" s="92">
        <f>(100*(E53-Z53))/Z53</f>
        <v>6.7733239410351751E-4</v>
      </c>
      <c r="AT53" s="92">
        <f t="shared" ref="AT53:AY60" si="6">(100*(F53-AA53))/AA53</f>
        <v>5.6444557333427568E-4</v>
      </c>
      <c r="AU53" s="92">
        <f t="shared" si="6"/>
        <v>6.6666666666116551E-4</v>
      </c>
      <c r="AV53" s="92">
        <f>(100*(H53-AC53))/AC53</f>
        <v>7.1526409337675475E-4</v>
      </c>
      <c r="AW53" s="92">
        <f t="shared" si="6"/>
        <v>6.6666666666353395E-4</v>
      </c>
      <c r="AX53" s="92">
        <f t="shared" si="6"/>
        <v>6.0959998048777035E-4</v>
      </c>
      <c r="AY53" s="294">
        <f t="shared" si="6"/>
        <v>6.6666666666666664E-4</v>
      </c>
      <c r="AZ53" s="133">
        <f>(100*(L53-AG53))/AG53</f>
        <v>1.5802531565470568E-3</v>
      </c>
      <c r="BA53" s="91">
        <f t="shared" ref="BA53:BH60" si="7">(100*(M53-AH53))/AH53</f>
        <v>1.1851851851796158E-3</v>
      </c>
      <c r="BB53" s="91">
        <f t="shared" si="7"/>
        <v>1.5802531565660329E-3</v>
      </c>
      <c r="BC53" s="91">
        <f t="shared" si="7"/>
        <v>1.5802531565600019E-3</v>
      </c>
      <c r="BD53" s="92">
        <f t="shared" si="7"/>
        <v>2.0390373704526547E-3</v>
      </c>
      <c r="BE53" s="92">
        <f>(100*(Q53-AL53))/AL53</f>
        <v>1.4681054099699041E-3</v>
      </c>
      <c r="BF53" s="92">
        <f t="shared" si="7"/>
        <v>1.5802531565377287E-3</v>
      </c>
      <c r="BG53" s="92">
        <f t="shared" si="7"/>
        <v>1.6197594854724547E-3</v>
      </c>
      <c r="BH53" s="622">
        <f t="shared" si="7"/>
        <v>1.6197594854469681E-3</v>
      </c>
    </row>
    <row r="54" spans="1:60" x14ac:dyDescent="0.25">
      <c r="A54" s="54">
        <v>51.335952314143299</v>
      </c>
      <c r="B54" s="1">
        <v>72.599999999999994</v>
      </c>
      <c r="C54" s="211" t="s">
        <v>5</v>
      </c>
      <c r="D54" s="118">
        <v>6258.88</v>
      </c>
      <c r="E54" s="1">
        <v>205.34399999999999</v>
      </c>
      <c r="F54" s="1">
        <v>2464.13</v>
      </c>
      <c r="G54" s="1">
        <v>62.588799999999999</v>
      </c>
      <c r="H54" s="1">
        <v>3.8890899999999999E-2</v>
      </c>
      <c r="I54" s="1">
        <v>62588.800000000003</v>
      </c>
      <c r="J54" s="1">
        <v>68.447900000000004</v>
      </c>
      <c r="K54" s="119">
        <v>62588793</v>
      </c>
      <c r="L54" s="118">
        <v>244834814</v>
      </c>
      <c r="M54" s="1">
        <v>2448348</v>
      </c>
      <c r="N54" s="1">
        <v>24483.5</v>
      </c>
      <c r="O54" s="1">
        <v>244.83500000000001</v>
      </c>
      <c r="P54" s="1">
        <v>379495</v>
      </c>
      <c r="Q54" s="1">
        <v>2635.38</v>
      </c>
      <c r="R54" s="1">
        <v>2.44835</v>
      </c>
      <c r="S54" s="78">
        <v>2.4483499999999998E-2</v>
      </c>
      <c r="T54" s="119">
        <v>6.0499999999999998E-2</v>
      </c>
      <c r="U54" s="143">
        <v>2</v>
      </c>
      <c r="V54" s="15">
        <v>51.335999999999999</v>
      </c>
      <c r="W54" s="2">
        <v>72.599999999999994</v>
      </c>
      <c r="X54" s="19" t="s">
        <v>5</v>
      </c>
      <c r="Y54" s="15">
        <v>6258.89</v>
      </c>
      <c r="Z54" s="2">
        <f>4*V54</f>
        <v>205.34399999999999</v>
      </c>
      <c r="AA54" s="2">
        <v>2464.13</v>
      </c>
      <c r="AB54" s="2">
        <v>62.588900000000002</v>
      </c>
      <c r="AC54" s="2">
        <v>3.8890899999999999E-2</v>
      </c>
      <c r="AD54" s="2">
        <v>62588.9</v>
      </c>
      <c r="AE54" s="2">
        <v>68.447999999999993</v>
      </c>
      <c r="AF54" s="16">
        <v>62588851</v>
      </c>
      <c r="AG54" s="15">
        <v>244834814</v>
      </c>
      <c r="AH54" s="2">
        <v>2448348</v>
      </c>
      <c r="AI54" s="2">
        <v>24483.5</v>
      </c>
      <c r="AJ54" s="2">
        <v>244.83500000000001</v>
      </c>
      <c r="AK54" s="2">
        <v>379495</v>
      </c>
      <c r="AL54" s="2">
        <f>V54*V54</f>
        <v>2635.384896</v>
      </c>
      <c r="AM54" s="2">
        <v>2.44835</v>
      </c>
      <c r="AN54" s="342">
        <v>2.4483499999999998E-2</v>
      </c>
      <c r="AO54" s="42">
        <v>6.0499999999999998E-2</v>
      </c>
      <c r="AP54" s="238" t="s">
        <v>5</v>
      </c>
      <c r="AQ54" s="617">
        <f t="shared" ref="AQ54:AQ60" si="8">(100*(A54-V54))/V54</f>
        <v>-9.2889700599552369E-5</v>
      </c>
      <c r="AR54" s="620">
        <f t="shared" ref="AR54:AR60" si="9">(100*(D54-Y54))/Y54</f>
        <v>-1.5977273925917021E-4</v>
      </c>
      <c r="AS54" s="83">
        <f t="shared" ref="AS54:AS60" si="10">(100*(E54-Z54))/Z54</f>
        <v>0</v>
      </c>
      <c r="AT54" s="83">
        <f t="shared" si="6"/>
        <v>0</v>
      </c>
      <c r="AU54" s="83">
        <f t="shared" si="6"/>
        <v>-1.5977273926098663E-4</v>
      </c>
      <c r="AV54" s="83">
        <f t="shared" ref="AV54:AV60" si="11">(100*(H54-AC54))/AC54</f>
        <v>0</v>
      </c>
      <c r="AW54" s="83">
        <f t="shared" si="6"/>
        <v>-1.5977273925335772E-4</v>
      </c>
      <c r="AX54" s="83">
        <f t="shared" si="6"/>
        <v>-1.4609630666945537E-4</v>
      </c>
      <c r="AY54" s="295">
        <f t="shared" si="6"/>
        <v>-9.2668261317019538E-5</v>
      </c>
      <c r="AZ54" s="134">
        <f t="shared" ref="AZ54:AZ60" si="12">(100*(L54-AG54))/AG54</f>
        <v>0</v>
      </c>
      <c r="BA54" s="82">
        <f t="shared" si="7"/>
        <v>0</v>
      </c>
      <c r="BB54" s="82">
        <f t="shared" si="7"/>
        <v>0</v>
      </c>
      <c r="BC54" s="82">
        <f t="shared" si="7"/>
        <v>0</v>
      </c>
      <c r="BD54" s="83">
        <f t="shared" si="7"/>
        <v>0</v>
      </c>
      <c r="BE54" s="83">
        <f t="shared" ref="BE54:BE60" si="13">(100*(Q54-AL54))/AL54</f>
        <v>-1.8577931471596955E-4</v>
      </c>
      <c r="BF54" s="83">
        <f t="shared" si="7"/>
        <v>0</v>
      </c>
      <c r="BG54" s="83">
        <f t="shared" si="7"/>
        <v>0</v>
      </c>
      <c r="BH54" s="623">
        <f t="shared" si="7"/>
        <v>0</v>
      </c>
    </row>
    <row r="55" spans="1:60" x14ac:dyDescent="0.25">
      <c r="A55" s="346">
        <v>5.1335952314143398</v>
      </c>
      <c r="B55" s="1">
        <v>7.26</v>
      </c>
      <c r="C55" s="211" t="s">
        <v>8</v>
      </c>
      <c r="D55" s="118">
        <v>52.157299999999999</v>
      </c>
      <c r="E55" s="1">
        <v>1.7112000000000001</v>
      </c>
      <c r="F55" s="1">
        <v>20.534400000000002</v>
      </c>
      <c r="G55" s="1">
        <v>0.52157299999999995</v>
      </c>
      <c r="H55" s="1">
        <v>3.2409099999999998E-4</v>
      </c>
      <c r="I55" s="1">
        <v>521.57299999999998</v>
      </c>
      <c r="J55" s="1">
        <v>0.57039899999999999</v>
      </c>
      <c r="K55" s="119">
        <v>521573</v>
      </c>
      <c r="L55" s="118">
        <v>17002.400000000001</v>
      </c>
      <c r="M55" s="1">
        <v>170.024</v>
      </c>
      <c r="N55" s="1">
        <v>1.70024</v>
      </c>
      <c r="O55" s="1">
        <v>1.7002400000000001E-2</v>
      </c>
      <c r="P55" s="1">
        <v>26.3538</v>
      </c>
      <c r="Q55" s="1">
        <v>0.18301300000000001</v>
      </c>
      <c r="R55" s="316">
        <v>1.7002400000000001E-4</v>
      </c>
      <c r="S55" s="614">
        <v>1.7002417608000001E-6</v>
      </c>
      <c r="T55" s="126">
        <v>4.2013888888888904E-6</v>
      </c>
      <c r="U55" s="143">
        <v>3</v>
      </c>
      <c r="V55" s="15">
        <v>5.1335899999999999</v>
      </c>
      <c r="W55" s="2">
        <v>7.26</v>
      </c>
      <c r="X55" s="19" t="s">
        <v>8</v>
      </c>
      <c r="Y55" s="15">
        <v>52.157400000000003</v>
      </c>
      <c r="Z55" s="2">
        <v>1.7112000000000001</v>
      </c>
      <c r="AA55" s="2">
        <f>4*V55</f>
        <v>20.53436</v>
      </c>
      <c r="AB55" s="2">
        <v>0.52157399999999998</v>
      </c>
      <c r="AC55" s="2">
        <v>3.2409099999999998E-4</v>
      </c>
      <c r="AD55" s="2">
        <v>521.57399999999996</v>
      </c>
      <c r="AE55" s="2">
        <v>0.57040000000000002</v>
      </c>
      <c r="AF55" s="16">
        <v>521574</v>
      </c>
      <c r="AG55" s="27">
        <v>17002.400000000001</v>
      </c>
      <c r="AH55" s="26">
        <v>170.024</v>
      </c>
      <c r="AI55" s="2">
        <v>1.70024</v>
      </c>
      <c r="AJ55" s="2">
        <v>1.7002400000000001E-2</v>
      </c>
      <c r="AK55" s="2">
        <f>V55*V55</f>
        <v>26.353746288099998</v>
      </c>
      <c r="AL55" s="2">
        <v>0.18301200000000001</v>
      </c>
      <c r="AM55" s="302">
        <v>1.7002400000000001E-4</v>
      </c>
      <c r="AN55" s="25">
        <v>1.7002353092000001E-6</v>
      </c>
      <c r="AO55" s="344">
        <v>4.2013729466380996E-6</v>
      </c>
      <c r="AP55" s="238" t="s">
        <v>8</v>
      </c>
      <c r="AQ55" s="617">
        <f t="shared" si="8"/>
        <v>1.0190557368129657E-4</v>
      </c>
      <c r="AR55" s="620">
        <f t="shared" si="9"/>
        <v>-1.9172734837879122E-4</v>
      </c>
      <c r="AS55" s="83">
        <f t="shared" si="10"/>
        <v>0</v>
      </c>
      <c r="AT55" s="83">
        <f t="shared" si="6"/>
        <v>1.9479545504236999E-4</v>
      </c>
      <c r="AU55" s="83">
        <f t="shared" si="6"/>
        <v>-1.9172734837793979E-4</v>
      </c>
      <c r="AV55" s="83">
        <f t="shared" si="11"/>
        <v>0</v>
      </c>
      <c r="AW55" s="83">
        <f t="shared" si="6"/>
        <v>-1.9172734836789282E-4</v>
      </c>
      <c r="AX55" s="83">
        <f t="shared" si="6"/>
        <v>-1.7531556802748171E-4</v>
      </c>
      <c r="AY55" s="295">
        <f t="shared" si="6"/>
        <v>-1.9172734837242654E-4</v>
      </c>
      <c r="AZ55" s="134">
        <f t="shared" si="12"/>
        <v>0</v>
      </c>
      <c r="BA55" s="82">
        <f t="shared" si="7"/>
        <v>0</v>
      </c>
      <c r="BB55" s="82">
        <f t="shared" si="7"/>
        <v>0</v>
      </c>
      <c r="BC55" s="82">
        <f t="shared" si="7"/>
        <v>0</v>
      </c>
      <c r="BD55" s="83">
        <f t="shared" si="7"/>
        <v>2.038112510240247E-4</v>
      </c>
      <c r="BE55" s="83">
        <f t="shared" si="13"/>
        <v>5.4641225712029817E-4</v>
      </c>
      <c r="BF55" s="83">
        <f t="shared" si="7"/>
        <v>0</v>
      </c>
      <c r="BG55" s="83">
        <f t="shared" si="7"/>
        <v>3.7945335949179031E-4</v>
      </c>
      <c r="BH55" s="623">
        <f t="shared" si="7"/>
        <v>3.7945335949197089E-4</v>
      </c>
    </row>
    <row r="56" spans="1:60" x14ac:dyDescent="0.25">
      <c r="A56" s="53">
        <v>462.44783489600201</v>
      </c>
      <c r="B56" s="1">
        <v>654</v>
      </c>
      <c r="C56" s="211" t="s">
        <v>4</v>
      </c>
      <c r="D56" s="118">
        <v>184979</v>
      </c>
      <c r="E56" s="1">
        <v>6068.87</v>
      </c>
      <c r="F56" s="1">
        <v>72826.399999999994</v>
      </c>
      <c r="G56" s="1">
        <v>1849.79</v>
      </c>
      <c r="H56" s="1">
        <v>1.14941</v>
      </c>
      <c r="I56" s="1">
        <v>1849791</v>
      </c>
      <c r="J56" s="1">
        <v>2022.96</v>
      </c>
      <c r="K56" s="119">
        <v>1849791340</v>
      </c>
      <c r="L56" s="120">
        <v>213858000000</v>
      </c>
      <c r="M56" s="1">
        <v>2138580000</v>
      </c>
      <c r="N56" s="1">
        <v>21385800</v>
      </c>
      <c r="O56" s="1">
        <v>213858</v>
      </c>
      <c r="P56" s="1">
        <v>331480563</v>
      </c>
      <c r="Q56" s="1">
        <v>2301948</v>
      </c>
      <c r="R56" s="1">
        <v>2138.58</v>
      </c>
      <c r="S56" s="1">
        <v>21.3858</v>
      </c>
      <c r="T56" s="119">
        <v>52.845500000000001</v>
      </c>
      <c r="U56" s="143">
        <v>4</v>
      </c>
      <c r="V56" s="2">
        <v>462.45299999999997</v>
      </c>
      <c r="W56" s="2">
        <v>654</v>
      </c>
      <c r="X56" s="19" t="s">
        <v>4</v>
      </c>
      <c r="Y56" s="15">
        <v>184981</v>
      </c>
      <c r="Z56" s="2">
        <v>6068.93</v>
      </c>
      <c r="AA56" s="2">
        <v>72827.199999999997</v>
      </c>
      <c r="AB56" s="2">
        <f>4*V56</f>
        <v>1849.8119999999999</v>
      </c>
      <c r="AC56" s="2">
        <v>1.1494200000000001</v>
      </c>
      <c r="AD56" s="2">
        <v>1849810</v>
      </c>
      <c r="AE56" s="2">
        <v>2022.98</v>
      </c>
      <c r="AF56" s="16">
        <v>1849810000</v>
      </c>
      <c r="AG56" s="15">
        <v>213858000000</v>
      </c>
      <c r="AH56" s="2">
        <v>2138630000</v>
      </c>
      <c r="AI56" s="2">
        <v>21386300</v>
      </c>
      <c r="AJ56" s="2">
        <f>V56*V56</f>
        <v>213862.77720899996</v>
      </c>
      <c r="AK56" s="2">
        <v>331488313</v>
      </c>
      <c r="AL56" s="2">
        <v>2302002</v>
      </c>
      <c r="AM56" s="2">
        <v>2138.63</v>
      </c>
      <c r="AN56" s="307">
        <v>21.386299999999999</v>
      </c>
      <c r="AO56" s="404">
        <v>52.846699999999998</v>
      </c>
      <c r="AP56" s="238" t="s">
        <v>4</v>
      </c>
      <c r="AQ56" s="617">
        <f t="shared" si="8"/>
        <v>-1.1168927432555168E-3</v>
      </c>
      <c r="AR56" s="620">
        <f t="shared" si="9"/>
        <v>-1.0811921224341959E-3</v>
      </c>
      <c r="AS56" s="83">
        <f t="shared" si="10"/>
        <v>-9.8864214944644575E-4</v>
      </c>
      <c r="AT56" s="83">
        <f t="shared" si="6"/>
        <v>-1.0984906738181757E-3</v>
      </c>
      <c r="AU56" s="83">
        <f t="shared" si="6"/>
        <v>-1.1893100488014198E-3</v>
      </c>
      <c r="AV56" s="83">
        <f t="shared" si="11"/>
        <v>-8.7000400202410881E-4</v>
      </c>
      <c r="AW56" s="83">
        <f t="shared" si="6"/>
        <v>-1.0271325163124861E-3</v>
      </c>
      <c r="AX56" s="83">
        <f t="shared" si="6"/>
        <v>-9.886405204194708E-4</v>
      </c>
      <c r="AY56" s="295">
        <f t="shared" si="6"/>
        <v>-1.0087522502311048E-3</v>
      </c>
      <c r="AZ56" s="134">
        <f t="shared" si="12"/>
        <v>0</v>
      </c>
      <c r="BA56" s="82">
        <f t="shared" si="7"/>
        <v>-2.3379453201348528E-3</v>
      </c>
      <c r="BB56" s="82">
        <f t="shared" si="7"/>
        <v>-2.3379453201348528E-3</v>
      </c>
      <c r="BC56" s="82">
        <f t="shared" si="7"/>
        <v>-2.2337730119790281E-3</v>
      </c>
      <c r="BD56" s="83">
        <f t="shared" si="7"/>
        <v>-2.3379406440793586E-3</v>
      </c>
      <c r="BE56" s="83">
        <f t="shared" si="13"/>
        <v>-2.3457842347660864E-3</v>
      </c>
      <c r="BF56" s="83">
        <f t="shared" si="7"/>
        <v>-2.3379453201433581E-3</v>
      </c>
      <c r="BG56" s="83">
        <f t="shared" si="7"/>
        <v>-2.337945320129404E-3</v>
      </c>
      <c r="BH56" s="623">
        <f t="shared" si="7"/>
        <v>-2.2707188906728394E-3</v>
      </c>
    </row>
    <row r="57" spans="1:60" x14ac:dyDescent="0.25">
      <c r="A57" s="53">
        <v>231.223917448001</v>
      </c>
      <c r="B57" s="1">
        <v>327</v>
      </c>
      <c r="C57" s="211" t="s">
        <v>10</v>
      </c>
      <c r="D57" s="120">
        <v>148847530</v>
      </c>
      <c r="E57" s="1">
        <v>4883449</v>
      </c>
      <c r="F57" s="1">
        <v>58601390</v>
      </c>
      <c r="G57" s="1">
        <v>1488475</v>
      </c>
      <c r="H57" s="1">
        <v>924.89599999999996</v>
      </c>
      <c r="I57" s="1">
        <v>1488475297</v>
      </c>
      <c r="J57" s="1">
        <v>1627816</v>
      </c>
      <c r="K57" s="119">
        <v>1488475296806</v>
      </c>
      <c r="L57" s="120">
        <v>1.3847241932505901E+17</v>
      </c>
      <c r="M57" s="59">
        <v>1384724193250590</v>
      </c>
      <c r="N57" s="1">
        <v>13847241932506</v>
      </c>
      <c r="O57" s="1">
        <v>138472419325</v>
      </c>
      <c r="P57" s="1">
        <v>214632679219200</v>
      </c>
      <c r="Q57" s="1">
        <v>1490504716800</v>
      </c>
      <c r="R57" s="1">
        <v>1384724193</v>
      </c>
      <c r="S57" s="1">
        <v>13847242</v>
      </c>
      <c r="T57" s="119">
        <v>34217280</v>
      </c>
      <c r="U57" s="143">
        <v>5</v>
      </c>
      <c r="V57" s="15">
        <v>231.22681</v>
      </c>
      <c r="W57" s="2">
        <v>327</v>
      </c>
      <c r="X57" s="19" t="s">
        <v>10</v>
      </c>
      <c r="Y57" s="28">
        <v>148849353</v>
      </c>
      <c r="Z57" s="2">
        <v>4883509</v>
      </c>
      <c r="AA57" s="2">
        <v>58602108</v>
      </c>
      <c r="AB57" s="2">
        <v>1488494</v>
      </c>
      <c r="AC57" s="2">
        <f>4*V57</f>
        <v>924.90724</v>
      </c>
      <c r="AD57" s="29">
        <v>1488493531</v>
      </c>
      <c r="AE57" s="2">
        <v>1627836</v>
      </c>
      <c r="AF57" s="16">
        <v>1488493531008</v>
      </c>
      <c r="AG57" s="28">
        <v>1.38475195497E+17</v>
      </c>
      <c r="AH57" s="341">
        <v>1384751954970000</v>
      </c>
      <c r="AI57" s="2">
        <v>13847519549700</v>
      </c>
      <c r="AJ57" s="29">
        <v>138472419325</v>
      </c>
      <c r="AK57" s="29">
        <v>214636982294315</v>
      </c>
      <c r="AL57" s="2">
        <v>1490534599266</v>
      </c>
      <c r="AM57" s="2">
        <v>1384751955</v>
      </c>
      <c r="AN57" s="2">
        <v>13847520</v>
      </c>
      <c r="AO57" s="42">
        <v>34217966</v>
      </c>
      <c r="AP57" s="238" t="s">
        <v>10</v>
      </c>
      <c r="AQ57" s="617">
        <f t="shared" si="8"/>
        <v>-1.2509587443587751E-3</v>
      </c>
      <c r="AR57" s="620">
        <f t="shared" si="9"/>
        <v>-1.2247281988521644E-3</v>
      </c>
      <c r="AS57" s="83">
        <f t="shared" si="10"/>
        <v>-1.2286247450347691E-3</v>
      </c>
      <c r="AT57" s="83">
        <f t="shared" si="6"/>
        <v>-1.2252118985207835E-3</v>
      </c>
      <c r="AU57" s="83">
        <f t="shared" si="6"/>
        <v>-1.2764579501160233E-3</v>
      </c>
      <c r="AV57" s="83">
        <f t="shared" si="11"/>
        <v>-1.2152570024258258E-3</v>
      </c>
      <c r="AW57" s="83">
        <f t="shared" si="6"/>
        <v>-1.2249969261035371E-3</v>
      </c>
      <c r="AX57" s="83">
        <f t="shared" si="6"/>
        <v>-1.2286249966212812E-3</v>
      </c>
      <c r="AY57" s="295">
        <f t="shared" si="6"/>
        <v>-1.2250104968646988E-3</v>
      </c>
      <c r="AZ57" s="134">
        <f t="shared" si="12"/>
        <v>-2.0048153252487334E-3</v>
      </c>
      <c r="BA57" s="82">
        <f t="shared" si="7"/>
        <v>-2.0048153252545105E-3</v>
      </c>
      <c r="BB57" s="82">
        <f t="shared" si="7"/>
        <v>-2.0048153245323598E-3</v>
      </c>
      <c r="BC57" s="82">
        <f t="shared" si="7"/>
        <v>0</v>
      </c>
      <c r="BD57" s="83">
        <f t="shared" si="7"/>
        <v>-2.0048153253941709E-3</v>
      </c>
      <c r="BE57" s="83">
        <f t="shared" si="13"/>
        <v>-2.0048153202693411E-3</v>
      </c>
      <c r="BF57" s="83">
        <f t="shared" si="7"/>
        <v>-2.004835588045803E-3</v>
      </c>
      <c r="BG57" s="83">
        <f t="shared" si="7"/>
        <v>-2.0075796965810483E-3</v>
      </c>
      <c r="BH57" s="623">
        <f t="shared" si="7"/>
        <v>-2.0047947911339906E-3</v>
      </c>
    </row>
    <row r="58" spans="1:60" x14ac:dyDescent="0.25">
      <c r="A58" s="52">
        <v>1156.1195872400101</v>
      </c>
      <c r="B58" s="1">
        <v>1635</v>
      </c>
      <c r="C58" s="211" t="s">
        <v>6</v>
      </c>
      <c r="D58" s="118">
        <v>462.44799999999998</v>
      </c>
      <c r="E58" s="1">
        <v>15.1722</v>
      </c>
      <c r="F58" s="1">
        <v>182.066</v>
      </c>
      <c r="G58" s="1">
        <v>4.6244800000000001</v>
      </c>
      <c r="H58" s="326">
        <v>2.8735200000000001E-3</v>
      </c>
      <c r="I58" s="1">
        <v>4624.4799999999996</v>
      </c>
      <c r="J58" s="1">
        <v>5.0573899999999998</v>
      </c>
      <c r="K58" s="119">
        <v>4624478</v>
      </c>
      <c r="L58" s="120">
        <v>1336612</v>
      </c>
      <c r="M58" s="350">
        <v>13366.1</v>
      </c>
      <c r="N58" s="349">
        <v>133.661</v>
      </c>
      <c r="O58" s="348">
        <v>1.3366100000000001</v>
      </c>
      <c r="P58" s="325">
        <v>2071.75</v>
      </c>
      <c r="Q58" s="347">
        <v>14.3872</v>
      </c>
      <c r="R58" s="78">
        <v>1.3366100000000001E-2</v>
      </c>
      <c r="S58" s="316">
        <v>1.3366100000000001E-4</v>
      </c>
      <c r="T58" s="317">
        <v>3.3028400000000002E-4</v>
      </c>
      <c r="U58" s="143">
        <v>6</v>
      </c>
      <c r="V58" s="15">
        <v>1156.1340299999999</v>
      </c>
      <c r="W58" s="2">
        <v>1635</v>
      </c>
      <c r="X58" s="19" t="s">
        <v>6</v>
      </c>
      <c r="Y58" s="15">
        <v>462.45400000000001</v>
      </c>
      <c r="Z58" s="2">
        <v>15.1724</v>
      </c>
      <c r="AA58" s="2">
        <v>182.06899999999999</v>
      </c>
      <c r="AB58" s="2">
        <v>4.6245399999999997</v>
      </c>
      <c r="AC58" s="309">
        <v>2.8735599999999998E-3</v>
      </c>
      <c r="AD58" s="2">
        <f>4*V58</f>
        <v>4624.5361199999998</v>
      </c>
      <c r="AE58" s="2">
        <v>5.0574599999999998</v>
      </c>
      <c r="AF58" s="16">
        <v>4624540</v>
      </c>
      <c r="AG58" s="15">
        <f>V58*V58</f>
        <v>1336645.8953240407</v>
      </c>
      <c r="AH58" s="2">
        <v>13366.5</v>
      </c>
      <c r="AI58" s="2">
        <v>133.66499999999999</v>
      </c>
      <c r="AJ58" s="186">
        <v>1.3366499999999999</v>
      </c>
      <c r="AK58" s="2">
        <v>2071.81</v>
      </c>
      <c r="AL58" s="307">
        <v>14.387499999999999</v>
      </c>
      <c r="AM58" s="342">
        <v>1.33665E-2</v>
      </c>
      <c r="AN58" s="302">
        <v>1.3366499999999999E-4</v>
      </c>
      <c r="AO58" s="188">
        <v>3.3029199999999999E-4</v>
      </c>
      <c r="AP58" s="238" t="s">
        <v>6</v>
      </c>
      <c r="AQ58" s="617">
        <f t="shared" si="8"/>
        <v>-1.2492288623174232E-3</v>
      </c>
      <c r="AR58" s="620">
        <f t="shared" si="9"/>
        <v>-1.2974263386258198E-3</v>
      </c>
      <c r="AS58" s="83">
        <f t="shared" si="10"/>
        <v>-1.3181830165269429E-3</v>
      </c>
      <c r="AT58" s="83">
        <f t="shared" si="6"/>
        <v>-1.64772696065003E-3</v>
      </c>
      <c r="AU58" s="83">
        <f t="shared" si="6"/>
        <v>-1.2974263386089189E-3</v>
      </c>
      <c r="AV58" s="83">
        <f t="shared" si="11"/>
        <v>-1.3920015590334794E-3</v>
      </c>
      <c r="AW58" s="83">
        <f t="shared" si="6"/>
        <v>-1.2135271202118277E-3</v>
      </c>
      <c r="AX58" s="83">
        <f t="shared" si="6"/>
        <v>-1.3840939918459958E-3</v>
      </c>
      <c r="AY58" s="295">
        <f t="shared" si="6"/>
        <v>-1.340673883240279E-3</v>
      </c>
      <c r="AZ58" s="134">
        <f t="shared" si="12"/>
        <v>-2.5358491848323649E-3</v>
      </c>
      <c r="BA58" s="82">
        <f t="shared" si="7"/>
        <v>-2.9925560169052198E-3</v>
      </c>
      <c r="BB58" s="82">
        <f t="shared" si="7"/>
        <v>-2.9925560169009671E-3</v>
      </c>
      <c r="BC58" s="82">
        <f t="shared" si="7"/>
        <v>-2.9925560168943227E-3</v>
      </c>
      <c r="BD58" s="83">
        <f t="shared" si="7"/>
        <v>-2.8960184572883341E-3</v>
      </c>
      <c r="BE58" s="83">
        <f t="shared" si="13"/>
        <v>-2.085143353600701E-3</v>
      </c>
      <c r="BF58" s="83">
        <f t="shared" si="7"/>
        <v>-2.9925560169031477E-3</v>
      </c>
      <c r="BG58" s="83">
        <f t="shared" si="7"/>
        <v>-2.9925560168942251E-3</v>
      </c>
      <c r="BH58" s="623">
        <f t="shared" si="7"/>
        <v>-2.4220992333944908E-3</v>
      </c>
    </row>
    <row r="59" spans="1:60" x14ac:dyDescent="0.25">
      <c r="A59" s="54">
        <v>57.805979362000301</v>
      </c>
      <c r="B59" s="1">
        <v>81.75</v>
      </c>
      <c r="C59" s="211" t="s">
        <v>7</v>
      </c>
      <c r="D59" s="118">
        <v>21143.1</v>
      </c>
      <c r="E59" s="1">
        <v>693.67200000000003</v>
      </c>
      <c r="F59" s="1">
        <v>8324.06</v>
      </c>
      <c r="G59" s="1">
        <v>211.43100000000001</v>
      </c>
      <c r="H59" s="1">
        <v>0.13137699999999999</v>
      </c>
      <c r="I59" s="1">
        <v>211431</v>
      </c>
      <c r="J59" s="1">
        <v>231.22399999999999</v>
      </c>
      <c r="K59" s="119">
        <v>211431150</v>
      </c>
      <c r="L59" s="118">
        <v>2793945702</v>
      </c>
      <c r="M59" s="1">
        <v>27939457</v>
      </c>
      <c r="N59" s="1">
        <v>279395</v>
      </c>
      <c r="O59" s="1">
        <v>2793.95</v>
      </c>
      <c r="P59" s="1">
        <v>4330624</v>
      </c>
      <c r="Q59" s="1">
        <v>30073.8</v>
      </c>
      <c r="R59" s="1">
        <v>27.939499999999999</v>
      </c>
      <c r="S59" s="1">
        <v>0.279395</v>
      </c>
      <c r="T59" s="119">
        <v>0.69039899999999998</v>
      </c>
      <c r="U59" s="143">
        <v>7</v>
      </c>
      <c r="V59" s="15">
        <v>57.806759999999997</v>
      </c>
      <c r="W59" s="2">
        <v>81.75</v>
      </c>
      <c r="X59" s="19" t="s">
        <v>7</v>
      </c>
      <c r="Y59" s="15">
        <v>21143.4</v>
      </c>
      <c r="Z59" s="2">
        <v>693.68100000000004</v>
      </c>
      <c r="AA59" s="2">
        <v>8324.17</v>
      </c>
      <c r="AB59" s="2">
        <v>211.434</v>
      </c>
      <c r="AC59" s="2">
        <v>0.131379</v>
      </c>
      <c r="AD59" s="2">
        <v>211434</v>
      </c>
      <c r="AE59" s="2">
        <f>4*V59</f>
        <v>231.22703999999999</v>
      </c>
      <c r="AF59" s="16">
        <v>211433969</v>
      </c>
      <c r="AG59" s="15">
        <v>2794020000</v>
      </c>
      <c r="AH59" s="2">
        <v>27940200</v>
      </c>
      <c r="AI59" s="2">
        <v>279402</v>
      </c>
      <c r="AJ59" s="2">
        <f>V59*V59*0.9144*0.9144</f>
        <v>2794.0211643336497</v>
      </c>
      <c r="AK59" s="2">
        <v>4330740</v>
      </c>
      <c r="AL59" s="2">
        <v>30074.6</v>
      </c>
      <c r="AM59" s="2">
        <v>27.940200000000001</v>
      </c>
      <c r="AN59" s="2">
        <v>0.27940199999999998</v>
      </c>
      <c r="AO59" s="42">
        <v>0.69041699999999995</v>
      </c>
      <c r="AP59" s="238" t="s">
        <v>7</v>
      </c>
      <c r="AQ59" s="617">
        <f t="shared" si="8"/>
        <v>-1.3504268353673682E-3</v>
      </c>
      <c r="AR59" s="620">
        <f t="shared" si="9"/>
        <v>-1.4188824881660961E-3</v>
      </c>
      <c r="AS59" s="83">
        <f t="shared" si="10"/>
        <v>-1.2974263386217226E-3</v>
      </c>
      <c r="AT59" s="83">
        <f t="shared" si="6"/>
        <v>-1.3214530698025398E-3</v>
      </c>
      <c r="AU59" s="83">
        <f t="shared" si="6"/>
        <v>-1.4188824881456639E-3</v>
      </c>
      <c r="AV59" s="83">
        <f t="shared" si="11"/>
        <v>-1.5223133073032982E-3</v>
      </c>
      <c r="AW59" s="83">
        <f t="shared" si="6"/>
        <v>-1.4188824881523313E-3</v>
      </c>
      <c r="AX59" s="83">
        <f t="shared" si="6"/>
        <v>-1.3147251290327462E-3</v>
      </c>
      <c r="AY59" s="295">
        <f t="shared" si="6"/>
        <v>-1.3332767735159906E-3</v>
      </c>
      <c r="AZ59" s="134">
        <f t="shared" si="12"/>
        <v>-2.65917924710632E-3</v>
      </c>
      <c r="BA59" s="82">
        <f t="shared" si="7"/>
        <v>-2.6592508285552714E-3</v>
      </c>
      <c r="BB59" s="82">
        <f t="shared" si="7"/>
        <v>-2.5053507133091387E-3</v>
      </c>
      <c r="BC59" s="82">
        <f t="shared" si="7"/>
        <v>-2.547021996767007E-3</v>
      </c>
      <c r="BD59" s="83">
        <f t="shared" si="7"/>
        <v>-2.6785260717567898E-3</v>
      </c>
      <c r="BE59" s="83">
        <f t="shared" si="13"/>
        <v>-2.6600520040142594E-3</v>
      </c>
      <c r="BF59" s="83">
        <f t="shared" si="7"/>
        <v>-2.5053507133160151E-3</v>
      </c>
      <c r="BG59" s="83">
        <f t="shared" si="7"/>
        <v>-2.5053507133017106E-3</v>
      </c>
      <c r="BH59" s="623">
        <f t="shared" si="7"/>
        <v>-2.6071200448370322E-3</v>
      </c>
    </row>
    <row r="60" spans="1:60" ht="15.75" thickBot="1" x14ac:dyDescent="0.3">
      <c r="A60" s="63">
        <v>40.464206766603603</v>
      </c>
      <c r="B60" s="55">
        <v>57.225029999999997</v>
      </c>
      <c r="C60" s="212" t="s">
        <v>20</v>
      </c>
      <c r="D60" s="121">
        <v>1.6185700000000001E-2</v>
      </c>
      <c r="E60" s="329">
        <v>5.3102599999999998E-4</v>
      </c>
      <c r="F60" s="55">
        <v>6.3723199999999999E-3</v>
      </c>
      <c r="G60" s="329">
        <v>1.6185700000000001E-4</v>
      </c>
      <c r="H60" s="333">
        <v>1.0057316960601E-7</v>
      </c>
      <c r="I60" s="351">
        <v>0.161857</v>
      </c>
      <c r="J60" s="329">
        <v>1.77009E-4</v>
      </c>
      <c r="K60" s="122">
        <v>161.857</v>
      </c>
      <c r="L60" s="352">
        <v>1.6373500000000001E-3</v>
      </c>
      <c r="M60" s="64">
        <v>1.6373520292504502E-5</v>
      </c>
      <c r="N60" s="353">
        <v>1.6373520292504499E-7</v>
      </c>
      <c r="O60" s="65">
        <v>1.63735202925045E-9</v>
      </c>
      <c r="P60" s="333">
        <v>2.53790072113964E-6</v>
      </c>
      <c r="Q60" s="67">
        <v>1.7624310563469702E-8</v>
      </c>
      <c r="R60" s="71">
        <v>1.63735202925045E-11</v>
      </c>
      <c r="S60" s="68">
        <v>1.6373520292504499E-13</v>
      </c>
      <c r="T60" s="331">
        <v>4.0459849778397002E-13</v>
      </c>
      <c r="U60" s="144">
        <v>8</v>
      </c>
      <c r="V60" s="17">
        <v>40.46472</v>
      </c>
      <c r="W60" s="9">
        <v>57.225029999999997</v>
      </c>
      <c r="X60" s="20" t="s">
        <v>20</v>
      </c>
      <c r="Y60" s="17">
        <v>1.61859E-2</v>
      </c>
      <c r="Z60" s="318">
        <v>5.3103299999999998E-4</v>
      </c>
      <c r="AA60" s="9">
        <v>6.3724000000000003E-3</v>
      </c>
      <c r="AB60" s="318">
        <v>1.6185900000000001E-4</v>
      </c>
      <c r="AC60" s="320">
        <v>1.00574519804343E-7</v>
      </c>
      <c r="AD60" s="9">
        <v>0.161859</v>
      </c>
      <c r="AE60" s="318">
        <v>1.77011E-4</v>
      </c>
      <c r="AF60" s="10">
        <f>4*V60</f>
        <v>161.85888</v>
      </c>
      <c r="AG60" s="17">
        <f>V60*V60*0.001*0.001</f>
        <v>1.6373935646784002E-3</v>
      </c>
      <c r="AH60" s="39">
        <v>1.6373899999999999E-5</v>
      </c>
      <c r="AI60" s="39">
        <v>1.6373900000000001E-7</v>
      </c>
      <c r="AJ60" s="39">
        <v>1.6373900000000001E-9</v>
      </c>
      <c r="AK60" s="40">
        <v>2.5379595759191499E-6</v>
      </c>
      <c r="AL60" s="40">
        <v>1.7624719277216302E-8</v>
      </c>
      <c r="AM60" s="39">
        <v>1.63739E-11</v>
      </c>
      <c r="AN60" s="39">
        <v>1.63739E-13</v>
      </c>
      <c r="AO60" s="45">
        <v>4.0460788056052201E-13</v>
      </c>
      <c r="AP60" s="239" t="s">
        <v>20</v>
      </c>
      <c r="AQ60" s="618">
        <f t="shared" si="8"/>
        <v>-1.2683478259508127E-3</v>
      </c>
      <c r="AR60" s="621">
        <f t="shared" si="9"/>
        <v>-1.2356433686036134E-3</v>
      </c>
      <c r="AS60" s="99">
        <f t="shared" si="10"/>
        <v>-1.3181854988299779E-3</v>
      </c>
      <c r="AT60" s="99">
        <f t="shared" si="6"/>
        <v>-1.2554139727636723E-3</v>
      </c>
      <c r="AU60" s="99">
        <f t="shared" si="6"/>
        <v>-1.2356433686136609E-3</v>
      </c>
      <c r="AV60" s="99">
        <f t="shared" si="11"/>
        <v>-1.3424854880040209E-3</v>
      </c>
      <c r="AW60" s="99">
        <f t="shared" si="6"/>
        <v>-1.2356433686121872E-3</v>
      </c>
      <c r="AX60" s="99">
        <f t="shared" si="6"/>
        <v>-1.1298732847135971E-3</v>
      </c>
      <c r="AY60" s="297">
        <f t="shared" si="6"/>
        <v>-1.1615056276182572E-3</v>
      </c>
      <c r="AZ60" s="135">
        <f t="shared" si="12"/>
        <v>-2.6606113117740699E-3</v>
      </c>
      <c r="BA60" s="98">
        <f t="shared" si="7"/>
        <v>-2.3189801788062012E-3</v>
      </c>
      <c r="BB60" s="98">
        <f t="shared" si="7"/>
        <v>-2.3189801788294799E-3</v>
      </c>
      <c r="BC60" s="98">
        <f t="shared" si="7"/>
        <v>-2.3189801788279642E-3</v>
      </c>
      <c r="BD60" s="99">
        <f t="shared" si="7"/>
        <v>-2.3189801787341451E-3</v>
      </c>
      <c r="BE60" s="99">
        <f t="shared" si="13"/>
        <v>-2.3189801787550065E-3</v>
      </c>
      <c r="BF60" s="99">
        <f t="shared" si="7"/>
        <v>-2.3189801788200707E-3</v>
      </c>
      <c r="BG60" s="99">
        <f t="shared" si="7"/>
        <v>-2.3189801788243876E-3</v>
      </c>
      <c r="BH60" s="624">
        <f t="shared" si="7"/>
        <v>-2.3189801787820933E-3</v>
      </c>
    </row>
    <row r="63" spans="1:60" x14ac:dyDescent="0.25">
      <c r="A63" s="145" t="s">
        <v>2</v>
      </c>
      <c r="B63" t="s">
        <v>3</v>
      </c>
    </row>
    <row r="64" spans="1:60" x14ac:dyDescent="0.25">
      <c r="A64" s="145" t="s">
        <v>44</v>
      </c>
      <c r="B64" s="507">
        <v>40800</v>
      </c>
    </row>
  </sheetData>
  <mergeCells count="39">
    <mergeCell ref="AG50:AO51"/>
    <mergeCell ref="AR21:AY22"/>
    <mergeCell ref="AZ21:BH22"/>
    <mergeCell ref="A22:A23"/>
    <mergeCell ref="B22:B23"/>
    <mergeCell ref="AP22:AP23"/>
    <mergeCell ref="A21:C21"/>
    <mergeCell ref="D21:K22"/>
    <mergeCell ref="L21:T22"/>
    <mergeCell ref="U21:X21"/>
    <mergeCell ref="Y21:AF22"/>
    <mergeCell ref="AG21:AO22"/>
    <mergeCell ref="AP21:AQ21"/>
    <mergeCell ref="C22:C23"/>
    <mergeCell ref="U22:U23"/>
    <mergeCell ref="V22:V23"/>
    <mergeCell ref="X51:X52"/>
    <mergeCell ref="W22:W23"/>
    <mergeCell ref="X22:X23"/>
    <mergeCell ref="A50:C50"/>
    <mergeCell ref="D50:K51"/>
    <mergeCell ref="L50:T51"/>
    <mergeCell ref="U50:X50"/>
    <mergeCell ref="AQ22:AQ23"/>
    <mergeCell ref="Y50:AF51"/>
    <mergeCell ref="A1:T1"/>
    <mergeCell ref="U1:AO1"/>
    <mergeCell ref="AP1:BH1"/>
    <mergeCell ref="AP51:AP52"/>
    <mergeCell ref="AQ51:AQ52"/>
    <mergeCell ref="AP50:AQ50"/>
    <mergeCell ref="AR50:AY51"/>
    <mergeCell ref="AZ50:BH51"/>
    <mergeCell ref="A51:A52"/>
    <mergeCell ref="B51:B52"/>
    <mergeCell ref="C51:C52"/>
    <mergeCell ref="U51:U52"/>
    <mergeCell ref="V51:V52"/>
    <mergeCell ref="W51:W52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E509"/>
  <sheetViews>
    <sheetView zoomScaleNormal="100" workbookViewId="0">
      <pane ySplit="1" topLeftCell="A485" activePane="bottomLeft" state="frozen"/>
      <selection pane="bottomLeft" activeCell="B486" sqref="B486"/>
    </sheetView>
  </sheetViews>
  <sheetFormatPr defaultRowHeight="15" x14ac:dyDescent="0.25"/>
  <cols>
    <col min="1" max="1" width="12.140625" bestFit="1" customWidth="1"/>
    <col min="2" max="2" width="11.7109375" customWidth="1"/>
    <col min="3" max="3" width="18.42578125" customWidth="1"/>
    <col min="4" max="4" width="10.85546875" bestFit="1" customWidth="1"/>
    <col min="5" max="5" width="18" bestFit="1" customWidth="1"/>
    <col min="6" max="6" width="17.5703125" customWidth="1"/>
    <col min="7" max="7" width="7.28515625" customWidth="1"/>
    <col min="8" max="8" width="9.28515625" bestFit="1" customWidth="1"/>
    <col min="9" max="10" width="15.7109375" bestFit="1" customWidth="1"/>
    <col min="11" max="11" width="16.7109375" bestFit="1" customWidth="1"/>
    <col min="13" max="13" width="10.85546875" bestFit="1" customWidth="1"/>
    <col min="14" max="14" width="22" bestFit="1" customWidth="1"/>
    <col min="15" max="15" width="10.85546875" bestFit="1" customWidth="1"/>
    <col min="16" max="16" width="19.28515625" bestFit="1" customWidth="1"/>
    <col min="17" max="17" width="25.85546875" bestFit="1" customWidth="1"/>
    <col min="18" max="19" width="23.7109375" bestFit="1" customWidth="1"/>
    <col min="20" max="20" width="20" customWidth="1"/>
    <col min="21" max="21" width="19.85546875" bestFit="1" customWidth="1"/>
    <col min="22" max="23" width="27" bestFit="1" customWidth="1"/>
    <col min="24" max="25" width="28.140625" bestFit="1" customWidth="1"/>
    <col min="26" max="26" width="27" bestFit="1" customWidth="1"/>
    <col min="27" max="27" width="30.28515625" customWidth="1"/>
    <col min="28" max="28" width="30.28515625" bestFit="1" customWidth="1"/>
    <col min="29" max="29" width="31.42578125" bestFit="1" customWidth="1"/>
    <col min="31" max="31" width="10.85546875" bestFit="1" customWidth="1"/>
    <col min="32" max="32" width="9.85546875" bestFit="1" customWidth="1"/>
    <col min="33" max="33" width="10" bestFit="1" customWidth="1"/>
    <col min="34" max="34" width="10.85546875" bestFit="1" customWidth="1"/>
    <col min="35" max="36" width="13.5703125" bestFit="1" customWidth="1"/>
    <col min="37" max="37" width="10.85546875" customWidth="1"/>
    <col min="38" max="38" width="10" bestFit="1" customWidth="1"/>
    <col min="39" max="40" width="10.85546875" bestFit="1" customWidth="1"/>
    <col min="41" max="41" width="10.28515625" bestFit="1" customWidth="1"/>
    <col min="42" max="42" width="5.28515625" customWidth="1"/>
    <col min="43" max="43" width="12.85546875" customWidth="1"/>
    <col min="44" max="44" width="14.85546875" bestFit="1" customWidth="1"/>
    <col min="45" max="45" width="10" bestFit="1" customWidth="1"/>
    <col min="46" max="46" width="14.85546875" bestFit="1" customWidth="1"/>
    <col min="47" max="47" width="25.85546875" bestFit="1" customWidth="1"/>
    <col min="48" max="48" width="14.5703125" customWidth="1"/>
    <col min="49" max="49" width="19.28515625" bestFit="1" customWidth="1"/>
    <col min="50" max="50" width="15.28515625" customWidth="1"/>
    <col min="51" max="51" width="19.85546875" bestFit="1" customWidth="1"/>
    <col min="52" max="52" width="17.42578125" bestFit="1" customWidth="1"/>
    <col min="53" max="53" width="15.28515625" bestFit="1" customWidth="1"/>
    <col min="54" max="54" width="19.28515625" bestFit="1" customWidth="1"/>
    <col min="55" max="55" width="24.85546875" bestFit="1" customWidth="1"/>
    <col min="56" max="56" width="27" bestFit="1" customWidth="1"/>
    <col min="57" max="57" width="19.28515625" bestFit="1" customWidth="1"/>
    <col min="58" max="58" width="21.42578125" bestFit="1" customWidth="1"/>
    <col min="59" max="59" width="31.42578125" bestFit="1" customWidth="1"/>
    <col min="60" max="60" width="12.140625" customWidth="1"/>
    <col min="61" max="64" width="27" bestFit="1" customWidth="1"/>
    <col min="65" max="65" width="24.7109375" bestFit="1" customWidth="1"/>
    <col min="67" max="72" width="25.85546875" bestFit="1" customWidth="1"/>
    <col min="73" max="73" width="22.140625" bestFit="1" customWidth="1"/>
    <col min="74" max="74" width="25.85546875" bestFit="1" customWidth="1"/>
    <col min="75" max="77" width="24.7109375" bestFit="1" customWidth="1"/>
    <col min="78" max="78" width="26.5703125" bestFit="1" customWidth="1"/>
    <col min="79" max="79" width="24.7109375" bestFit="1" customWidth="1"/>
    <col min="80" max="80" width="25.5703125" bestFit="1" customWidth="1"/>
    <col min="81" max="83" width="24.7109375" bestFit="1" customWidth="1"/>
  </cols>
  <sheetData>
    <row r="1" spans="1:83" ht="21.75" thickBot="1" x14ac:dyDescent="0.3">
      <c r="A1" s="894" t="s">
        <v>33</v>
      </c>
      <c r="B1" s="895"/>
      <c r="C1" s="895"/>
      <c r="D1" s="895"/>
      <c r="E1" s="895"/>
      <c r="F1" s="895"/>
      <c r="G1" s="895"/>
      <c r="H1" s="895"/>
      <c r="I1" s="895"/>
      <c r="J1" s="895"/>
      <c r="K1" s="895"/>
      <c r="L1" s="895"/>
      <c r="M1" s="895"/>
      <c r="N1" s="895"/>
      <c r="O1" s="895"/>
      <c r="P1" s="895"/>
      <c r="Q1" s="895"/>
      <c r="R1" s="895"/>
      <c r="S1" s="895"/>
      <c r="T1" s="895"/>
      <c r="U1" s="895"/>
      <c r="V1" s="895"/>
      <c r="W1" s="895"/>
      <c r="X1" s="895"/>
      <c r="Y1" s="895"/>
      <c r="Z1" s="895"/>
      <c r="AA1" s="895"/>
      <c r="AB1" s="895"/>
      <c r="AC1" s="896"/>
      <c r="AD1" s="894" t="s">
        <v>34</v>
      </c>
      <c r="AE1" s="895"/>
      <c r="AF1" s="895"/>
      <c r="AG1" s="895"/>
      <c r="AH1" s="895"/>
      <c r="AI1" s="895"/>
      <c r="AJ1" s="895"/>
      <c r="AK1" s="895"/>
      <c r="AL1" s="895"/>
      <c r="AM1" s="895"/>
      <c r="AN1" s="895"/>
      <c r="AO1" s="895"/>
      <c r="AP1" s="895"/>
      <c r="AQ1" s="895"/>
      <c r="AR1" s="895"/>
      <c r="AS1" s="895"/>
      <c r="AT1" s="895"/>
      <c r="AU1" s="895"/>
      <c r="AV1" s="895"/>
      <c r="AW1" s="895"/>
      <c r="AX1" s="895"/>
      <c r="AY1" s="895"/>
      <c r="AZ1" s="895"/>
      <c r="BA1" s="895"/>
      <c r="BB1" s="895"/>
      <c r="BC1" s="895"/>
      <c r="BD1" s="895"/>
      <c r="BE1" s="895"/>
      <c r="BF1" s="895"/>
      <c r="BG1" s="896"/>
      <c r="BH1" s="894" t="s">
        <v>35</v>
      </c>
      <c r="BI1" s="895"/>
      <c r="BJ1" s="895"/>
      <c r="BK1" s="895"/>
      <c r="BL1" s="895"/>
      <c r="BM1" s="895"/>
      <c r="BN1" s="895"/>
      <c r="BO1" s="895"/>
      <c r="BP1" s="895"/>
      <c r="BQ1" s="895"/>
      <c r="BR1" s="895"/>
      <c r="BS1" s="895"/>
      <c r="BT1" s="895"/>
      <c r="BU1" s="895"/>
      <c r="BV1" s="895"/>
      <c r="BW1" s="895"/>
      <c r="BX1" s="895"/>
      <c r="BY1" s="895"/>
      <c r="BZ1" s="895"/>
      <c r="CA1" s="895"/>
      <c r="CB1" s="895"/>
      <c r="CC1" s="895"/>
      <c r="CD1" s="895"/>
      <c r="CE1" s="896"/>
    </row>
    <row r="3" spans="1:83" ht="21" x14ac:dyDescent="0.35">
      <c r="A3" s="636"/>
      <c r="B3" s="656"/>
      <c r="C3" s="625"/>
      <c r="D3" s="630">
        <v>1</v>
      </c>
      <c r="E3" s="625"/>
      <c r="F3" s="625"/>
      <c r="G3" s="625"/>
      <c r="H3" s="625"/>
      <c r="I3" s="625"/>
      <c r="J3" s="630">
        <v>2</v>
      </c>
      <c r="K3" s="625"/>
      <c r="L3" s="625"/>
      <c r="M3" s="625"/>
      <c r="N3" s="625"/>
      <c r="O3" s="625"/>
      <c r="P3" s="630">
        <v>3</v>
      </c>
      <c r="Q3" s="625"/>
      <c r="R3" s="625"/>
      <c r="S3" s="630">
        <v>4</v>
      </c>
      <c r="T3" s="625"/>
      <c r="U3" s="625"/>
      <c r="V3" s="630">
        <v>5</v>
      </c>
      <c r="W3" s="625"/>
      <c r="X3" s="625"/>
      <c r="Y3" s="630">
        <v>6</v>
      </c>
      <c r="Z3" s="625"/>
      <c r="AA3" s="625"/>
      <c r="AB3" s="630">
        <v>7</v>
      </c>
      <c r="AC3" s="625"/>
      <c r="AD3" s="625"/>
      <c r="AE3" s="625"/>
      <c r="AF3" s="630">
        <v>8</v>
      </c>
      <c r="AG3" s="625"/>
      <c r="AH3" s="625"/>
      <c r="AI3" s="625"/>
      <c r="AJ3" s="625"/>
      <c r="AK3" s="625"/>
      <c r="AL3" s="625"/>
      <c r="AM3" s="630">
        <v>9</v>
      </c>
      <c r="AN3" s="625"/>
      <c r="AO3" s="625"/>
      <c r="AP3" s="625"/>
      <c r="AQ3" s="625"/>
      <c r="AR3" s="625"/>
      <c r="AS3" s="630">
        <v>10</v>
      </c>
      <c r="AT3" s="630"/>
      <c r="AU3" s="625"/>
      <c r="AV3" s="625"/>
      <c r="AW3" s="630">
        <v>11</v>
      </c>
      <c r="AX3" s="625"/>
      <c r="AY3" s="625"/>
      <c r="AZ3" s="630"/>
      <c r="BA3" s="630">
        <v>12</v>
      </c>
      <c r="BB3" s="625"/>
      <c r="BC3" s="625"/>
      <c r="BD3" s="630">
        <v>13</v>
      </c>
      <c r="BE3" s="625"/>
      <c r="BF3" s="625"/>
      <c r="BG3" s="630">
        <v>14</v>
      </c>
      <c r="BH3" s="630"/>
      <c r="BI3" s="625"/>
      <c r="BK3" s="394"/>
      <c r="BM3" s="600"/>
      <c r="BQ3" s="394"/>
      <c r="BT3" s="394"/>
    </row>
    <row r="4" spans="1:83" x14ac:dyDescent="0.25">
      <c r="A4" s="625"/>
      <c r="B4" s="625"/>
      <c r="C4" s="625"/>
      <c r="D4" s="625"/>
      <c r="E4" s="625"/>
      <c r="F4" s="625"/>
      <c r="G4" s="625"/>
      <c r="H4" s="625"/>
      <c r="I4" s="625"/>
      <c r="J4" s="625"/>
      <c r="K4" s="625"/>
      <c r="L4" s="625"/>
      <c r="M4" s="625"/>
      <c r="N4" s="625"/>
      <c r="O4" s="625"/>
      <c r="P4" s="625"/>
      <c r="Q4" s="625"/>
      <c r="R4" s="625"/>
      <c r="S4" s="625"/>
      <c r="T4" s="625"/>
      <c r="U4" s="625"/>
      <c r="V4" s="625"/>
      <c r="W4" s="625"/>
      <c r="X4" s="625"/>
      <c r="Y4" s="625"/>
      <c r="Z4" s="625"/>
      <c r="AA4" s="625"/>
      <c r="AB4" s="625"/>
      <c r="AC4" s="625"/>
      <c r="AD4" s="625"/>
      <c r="AE4" s="625"/>
      <c r="AF4" s="625"/>
      <c r="AG4" s="625"/>
      <c r="AH4" s="625"/>
      <c r="AI4" s="625"/>
      <c r="AJ4" s="625"/>
      <c r="AK4" s="625"/>
      <c r="AL4" s="625"/>
      <c r="AM4" s="625"/>
      <c r="AN4" s="625"/>
      <c r="AO4" s="625"/>
      <c r="AP4" s="625"/>
      <c r="AQ4" s="625"/>
      <c r="AR4" s="625"/>
      <c r="AS4" s="625"/>
      <c r="AT4" s="625"/>
      <c r="AU4" s="625"/>
      <c r="AV4" s="625"/>
      <c r="AW4" s="625"/>
      <c r="AX4" s="625"/>
      <c r="AY4" s="625"/>
      <c r="AZ4" s="625"/>
      <c r="BA4" s="625"/>
      <c r="BB4" s="625"/>
      <c r="BC4" s="625"/>
      <c r="BD4" s="625"/>
      <c r="BE4" s="625"/>
      <c r="BF4" s="625"/>
      <c r="BG4" s="625"/>
      <c r="BH4" s="625"/>
      <c r="BI4" s="625"/>
      <c r="BT4" s="599"/>
    </row>
    <row r="5" spans="1:83" ht="21" x14ac:dyDescent="0.35">
      <c r="A5" s="625"/>
      <c r="B5" s="625"/>
      <c r="C5" s="625"/>
      <c r="D5" s="630"/>
      <c r="E5" s="625"/>
      <c r="F5" s="625"/>
      <c r="G5" s="625"/>
      <c r="H5" s="625"/>
      <c r="I5" s="625"/>
      <c r="J5" s="630"/>
      <c r="K5" s="625"/>
      <c r="L5" s="625"/>
      <c r="M5" s="625"/>
      <c r="N5" s="625"/>
      <c r="O5" s="625"/>
      <c r="P5" s="625"/>
      <c r="Q5" s="625"/>
      <c r="R5" s="630"/>
      <c r="S5" s="625"/>
      <c r="T5" s="625"/>
      <c r="U5" s="625"/>
      <c r="V5" s="625"/>
      <c r="W5" s="625"/>
      <c r="X5" s="625"/>
      <c r="Y5" s="630"/>
      <c r="Z5" s="625"/>
      <c r="AA5" s="625"/>
      <c r="AB5" s="625"/>
      <c r="AC5" s="625"/>
      <c r="AD5" s="625"/>
      <c r="AE5" s="625"/>
      <c r="AF5" s="625"/>
      <c r="AG5" s="625"/>
      <c r="AH5" s="625"/>
      <c r="AI5" s="625"/>
      <c r="AJ5" s="625"/>
      <c r="AK5" s="625"/>
      <c r="AL5" s="625"/>
      <c r="AM5" s="625"/>
      <c r="AN5" s="625"/>
      <c r="AO5" s="625"/>
      <c r="AP5" s="625"/>
      <c r="AQ5" s="625"/>
      <c r="AR5" s="625"/>
      <c r="AS5" s="625"/>
      <c r="AT5" s="625"/>
      <c r="AU5" s="625"/>
      <c r="AV5" s="625"/>
      <c r="AW5" s="625"/>
      <c r="AX5" s="625"/>
      <c r="AY5" s="625"/>
      <c r="AZ5" s="625"/>
      <c r="BA5" s="625"/>
      <c r="BB5" s="625"/>
      <c r="BC5" s="625"/>
      <c r="BD5" s="625"/>
      <c r="BE5" s="625"/>
      <c r="BF5" s="625"/>
      <c r="BG5" s="625"/>
      <c r="BH5" s="625"/>
      <c r="BI5" s="625"/>
    </row>
    <row r="6" spans="1:83" ht="14.25" customHeight="1" x14ac:dyDescent="0.25">
      <c r="A6" s="625"/>
      <c r="B6" s="625"/>
      <c r="C6" s="625"/>
      <c r="D6" s="625"/>
      <c r="E6" s="625"/>
      <c r="F6" s="625"/>
      <c r="G6" s="625"/>
      <c r="H6" s="625"/>
      <c r="I6" s="625"/>
      <c r="J6" s="625"/>
      <c r="K6" s="625"/>
      <c r="L6" s="625"/>
      <c r="M6" s="625"/>
      <c r="N6" s="625"/>
      <c r="O6" s="625"/>
      <c r="P6" s="625"/>
      <c r="Q6" s="625"/>
      <c r="R6" s="625"/>
      <c r="S6" s="625"/>
      <c r="T6" s="625"/>
      <c r="U6" s="625"/>
      <c r="V6" s="625"/>
      <c r="W6" s="625"/>
      <c r="X6" s="625"/>
      <c r="Y6" s="625"/>
      <c r="Z6" s="625"/>
      <c r="AA6" s="625"/>
      <c r="AB6" s="625"/>
      <c r="AC6" s="625"/>
      <c r="AD6" s="625"/>
      <c r="AE6" s="625"/>
      <c r="AF6" s="625"/>
      <c r="AG6" s="625"/>
      <c r="AH6" s="625"/>
      <c r="AI6" s="625"/>
      <c r="AJ6" s="625"/>
      <c r="AK6" s="625"/>
      <c r="AL6" s="625"/>
      <c r="AM6" s="625"/>
      <c r="AN6" s="625"/>
      <c r="AO6" s="625"/>
      <c r="AP6" s="625"/>
      <c r="AQ6" s="625"/>
      <c r="AR6" s="625"/>
      <c r="AS6" s="625"/>
      <c r="AT6" s="625"/>
      <c r="AU6" s="625"/>
      <c r="AV6" s="625"/>
      <c r="AW6" s="625"/>
      <c r="AX6" s="625"/>
      <c r="AY6" s="625"/>
      <c r="AZ6" s="625"/>
      <c r="BA6" s="625"/>
      <c r="BB6" s="625"/>
      <c r="BC6" s="625"/>
      <c r="BD6" s="625"/>
      <c r="BE6" s="625"/>
      <c r="BF6" s="625"/>
      <c r="BG6" s="625"/>
      <c r="BH6" s="625"/>
      <c r="BI6" s="625"/>
    </row>
    <row r="7" spans="1:83" ht="14.25" customHeight="1" x14ac:dyDescent="0.25">
      <c r="A7" s="625"/>
      <c r="B7" s="625"/>
      <c r="C7" s="625"/>
      <c r="D7" s="625"/>
      <c r="E7" s="625"/>
      <c r="F7" s="625"/>
      <c r="G7" s="625"/>
      <c r="H7" s="625"/>
      <c r="I7" s="625"/>
      <c r="J7" s="625"/>
      <c r="K7" s="625"/>
      <c r="L7" s="625"/>
      <c r="M7" s="625"/>
      <c r="N7" s="625"/>
      <c r="O7" s="625"/>
      <c r="P7" s="625"/>
      <c r="Q7" s="625"/>
      <c r="R7" s="625"/>
      <c r="S7" s="625"/>
      <c r="T7" s="625"/>
      <c r="U7" s="625"/>
      <c r="V7" s="625"/>
      <c r="W7" s="625"/>
      <c r="X7" s="625"/>
      <c r="Y7" s="625"/>
      <c r="Z7" s="625"/>
      <c r="AA7" s="625"/>
      <c r="AB7" s="625"/>
      <c r="AC7" s="625"/>
      <c r="AD7" s="625"/>
      <c r="AE7" s="625"/>
      <c r="AF7" s="625"/>
      <c r="AG7" s="625"/>
      <c r="AH7" s="625"/>
      <c r="AI7" s="625"/>
      <c r="AJ7" s="625"/>
      <c r="AK7" s="625"/>
      <c r="AL7" s="625"/>
      <c r="AM7" s="625"/>
      <c r="AN7" s="625"/>
      <c r="AO7" s="625"/>
      <c r="AP7" s="625"/>
      <c r="AQ7" s="625"/>
      <c r="AR7" s="625"/>
      <c r="AS7" s="625"/>
      <c r="AT7" s="625"/>
      <c r="AU7" s="625"/>
      <c r="AV7" s="625"/>
      <c r="AW7" s="625"/>
      <c r="AX7" s="625"/>
      <c r="AY7" s="625"/>
      <c r="AZ7" s="625"/>
      <c r="BA7" s="625"/>
      <c r="BB7" s="625"/>
      <c r="BC7" s="625"/>
      <c r="BD7" s="625"/>
      <c r="BE7" s="625"/>
      <c r="BF7" s="625"/>
      <c r="BG7" s="625"/>
      <c r="BH7" s="625"/>
      <c r="BI7" s="625"/>
    </row>
    <row r="8" spans="1:83" ht="14.25" customHeight="1" x14ac:dyDescent="0.25">
      <c r="A8" s="625"/>
      <c r="B8" s="625"/>
      <c r="C8" s="625"/>
      <c r="D8" s="625"/>
      <c r="E8" s="625"/>
      <c r="F8" s="625"/>
      <c r="G8" s="625"/>
      <c r="H8" s="625"/>
      <c r="I8" s="625"/>
      <c r="J8" s="625"/>
      <c r="K8" s="625"/>
      <c r="L8" s="625"/>
      <c r="M8" s="625"/>
      <c r="N8" s="625"/>
      <c r="O8" s="625"/>
      <c r="P8" s="625"/>
      <c r="Q8" s="625"/>
      <c r="R8" s="625"/>
      <c r="S8" s="625"/>
      <c r="T8" s="625"/>
      <c r="U8" s="625"/>
      <c r="V8" s="625"/>
      <c r="W8" s="625"/>
      <c r="X8" s="625"/>
      <c r="Y8" s="625"/>
      <c r="Z8" s="625"/>
      <c r="AA8" s="625"/>
      <c r="AB8" s="625"/>
      <c r="AC8" s="625"/>
      <c r="AD8" s="625"/>
      <c r="AE8" s="625"/>
      <c r="AF8" s="625"/>
      <c r="AG8" s="625"/>
      <c r="AH8" s="625"/>
      <c r="AI8" s="625"/>
      <c r="AJ8" s="625"/>
      <c r="AK8" s="625"/>
      <c r="AL8" s="625"/>
      <c r="AM8" s="625"/>
      <c r="AN8" s="625"/>
      <c r="AO8" s="625"/>
      <c r="AP8" s="625"/>
      <c r="AQ8" s="625"/>
      <c r="AR8" s="625"/>
      <c r="AS8" s="625"/>
      <c r="AT8" s="625"/>
      <c r="AU8" s="625"/>
      <c r="AV8" s="625"/>
      <c r="AW8" s="625"/>
      <c r="AX8" s="625"/>
      <c r="AY8" s="625"/>
      <c r="AZ8" s="625"/>
      <c r="BA8" s="625"/>
      <c r="BB8" s="625"/>
      <c r="BC8" s="625"/>
      <c r="BD8" s="625"/>
      <c r="BE8" s="625"/>
      <c r="BF8" s="625"/>
      <c r="BG8" s="625"/>
      <c r="BH8" s="625"/>
      <c r="BI8" s="625"/>
    </row>
    <row r="9" spans="1:83" ht="14.25" customHeight="1" x14ac:dyDescent="0.25">
      <c r="A9" s="625"/>
      <c r="B9" s="625"/>
      <c r="C9" s="625"/>
      <c r="D9" s="625"/>
      <c r="E9" s="625"/>
      <c r="F9" s="625"/>
      <c r="G9" s="625"/>
      <c r="H9" s="625"/>
      <c r="I9" s="625"/>
      <c r="J9" s="625"/>
      <c r="K9" s="625"/>
      <c r="L9" s="625"/>
      <c r="M9" s="625"/>
      <c r="N9" s="625"/>
      <c r="O9" s="625"/>
      <c r="P9" s="625"/>
      <c r="Q9" s="625"/>
      <c r="R9" s="625"/>
      <c r="S9" s="625"/>
      <c r="T9" s="625"/>
      <c r="U9" s="625"/>
      <c r="V9" s="625"/>
      <c r="W9" s="625"/>
      <c r="X9" s="625"/>
      <c r="Y9" s="625"/>
      <c r="Z9" s="625"/>
      <c r="AA9" s="625"/>
      <c r="AB9" s="625"/>
      <c r="AC9" s="625"/>
      <c r="AD9" s="625"/>
      <c r="AE9" s="625"/>
      <c r="AF9" s="625"/>
      <c r="AG9" s="625"/>
      <c r="AH9" s="625"/>
      <c r="AI9" s="625"/>
      <c r="AJ9" s="625"/>
      <c r="AK9" s="625"/>
      <c r="AL9" s="625"/>
      <c r="AM9" s="625"/>
      <c r="AN9" s="625"/>
      <c r="AO9" s="625"/>
      <c r="AP9" s="625"/>
      <c r="AQ9" s="625"/>
      <c r="AR9" s="625"/>
      <c r="AS9" s="625"/>
      <c r="AT9" s="625"/>
      <c r="AU9" s="625"/>
      <c r="AV9" s="625"/>
      <c r="AW9" s="625"/>
      <c r="AX9" s="625"/>
      <c r="AY9" s="625"/>
      <c r="AZ9" s="625"/>
      <c r="BA9" s="625"/>
      <c r="BB9" s="625"/>
      <c r="BC9" s="625"/>
      <c r="BD9" s="625"/>
      <c r="BE9" s="625"/>
      <c r="BF9" s="625"/>
      <c r="BG9" s="625"/>
      <c r="BH9" s="625"/>
      <c r="BI9" s="625"/>
    </row>
    <row r="10" spans="1:83" ht="14.25" customHeight="1" x14ac:dyDescent="0.25">
      <c r="A10" s="625"/>
      <c r="B10" s="625"/>
      <c r="C10" s="625"/>
      <c r="D10" s="625"/>
      <c r="E10" s="625"/>
      <c r="F10" s="625"/>
      <c r="G10" s="625"/>
      <c r="H10" s="625"/>
      <c r="I10" s="625"/>
      <c r="J10" s="625"/>
      <c r="K10" s="625"/>
      <c r="L10" s="625"/>
      <c r="M10" s="625"/>
      <c r="N10" s="625"/>
      <c r="O10" s="625"/>
      <c r="P10" s="625"/>
      <c r="Q10" s="625"/>
      <c r="R10" s="625"/>
      <c r="S10" s="625"/>
      <c r="T10" s="625"/>
      <c r="U10" s="625"/>
      <c r="V10" s="625"/>
      <c r="W10" s="625"/>
      <c r="X10" s="625"/>
      <c r="Y10" s="625"/>
      <c r="Z10" s="625"/>
      <c r="AA10" s="625"/>
      <c r="AB10" s="625"/>
      <c r="AC10" s="625"/>
      <c r="AD10" s="625"/>
      <c r="AE10" s="625"/>
      <c r="AF10" s="625"/>
      <c r="AG10" s="625"/>
      <c r="AH10" s="625"/>
      <c r="AI10" s="625"/>
      <c r="AJ10" s="625"/>
      <c r="AK10" s="625"/>
      <c r="AL10" s="625"/>
      <c r="AM10" s="625"/>
      <c r="AN10" s="625"/>
      <c r="AO10" s="625"/>
      <c r="AP10" s="625"/>
      <c r="AQ10" s="625"/>
      <c r="AR10" s="625"/>
      <c r="AS10" s="625"/>
      <c r="AT10" s="625"/>
      <c r="AU10" s="625"/>
      <c r="AV10" s="625"/>
      <c r="AW10" s="625"/>
      <c r="AX10" s="625"/>
      <c r="AY10" s="625"/>
      <c r="AZ10" s="625"/>
      <c r="BA10" s="625"/>
      <c r="BB10" s="625"/>
      <c r="BC10" s="625"/>
      <c r="BD10" s="625"/>
      <c r="BE10" s="625"/>
      <c r="BF10" s="625"/>
      <c r="BG10" s="625"/>
      <c r="BH10" s="625"/>
      <c r="BI10" s="625"/>
    </row>
    <row r="11" spans="1:83" ht="14.25" customHeight="1" x14ac:dyDescent="0.25">
      <c r="A11" s="625"/>
      <c r="B11" s="625"/>
      <c r="C11" s="625"/>
      <c r="D11" s="625"/>
      <c r="E11" s="625"/>
      <c r="F11" s="625"/>
      <c r="G11" s="625"/>
      <c r="H11" s="625"/>
      <c r="I11" s="625"/>
      <c r="J11" s="625"/>
      <c r="K11" s="625"/>
      <c r="L11" s="625"/>
      <c r="M11" s="625"/>
      <c r="N11" s="625"/>
      <c r="O11" s="625"/>
      <c r="P11" s="625"/>
      <c r="Q11" s="625"/>
      <c r="R11" s="625"/>
      <c r="S11" s="625"/>
      <c r="T11" s="625"/>
      <c r="U11" s="625"/>
      <c r="V11" s="625"/>
      <c r="W11" s="625"/>
      <c r="X11" s="625"/>
      <c r="Y11" s="625"/>
      <c r="Z11" s="625"/>
      <c r="AA11" s="625"/>
      <c r="AB11" s="625"/>
      <c r="AC11" s="625"/>
      <c r="AD11" s="625"/>
      <c r="AE11" s="625"/>
      <c r="AF11" s="625"/>
      <c r="AG11" s="625"/>
      <c r="AH11" s="625"/>
      <c r="AI11" s="625"/>
      <c r="AJ11" s="625"/>
      <c r="AK11" s="625"/>
      <c r="AL11" s="625"/>
      <c r="AM11" s="625"/>
      <c r="AN11" s="625"/>
      <c r="AO11" s="625"/>
      <c r="AP11" s="625"/>
      <c r="AQ11" s="625"/>
      <c r="AR11" s="625"/>
      <c r="AS11" s="625"/>
      <c r="AT11" s="625"/>
      <c r="AU11" s="625"/>
      <c r="AV11" s="625"/>
      <c r="AW11" s="625"/>
      <c r="AX11" s="625"/>
      <c r="AY11" s="625"/>
      <c r="AZ11" s="625"/>
      <c r="BA11" s="625"/>
      <c r="BB11" s="625"/>
      <c r="BC11" s="625"/>
      <c r="BD11" s="625"/>
      <c r="BE11" s="625"/>
      <c r="BF11" s="625"/>
      <c r="BG11" s="625"/>
      <c r="BH11" s="625"/>
      <c r="BI11" s="625"/>
    </row>
    <row r="12" spans="1:83" ht="14.25" customHeight="1" x14ac:dyDescent="0.25">
      <c r="A12" s="625"/>
      <c r="B12" s="625"/>
      <c r="C12" s="625"/>
      <c r="D12" s="625"/>
      <c r="E12" s="625"/>
      <c r="F12" s="625"/>
      <c r="G12" s="625"/>
      <c r="H12" s="625"/>
      <c r="I12" s="625"/>
      <c r="J12" s="625"/>
      <c r="K12" s="625"/>
      <c r="L12" s="625"/>
      <c r="M12" s="625"/>
      <c r="N12" s="625"/>
      <c r="O12" s="625"/>
      <c r="P12" s="625"/>
      <c r="Q12" s="625"/>
      <c r="R12" s="625"/>
      <c r="S12" s="625"/>
      <c r="T12" s="625"/>
      <c r="U12" s="625"/>
      <c r="V12" s="625"/>
      <c r="W12" s="625"/>
      <c r="X12" s="625"/>
      <c r="Y12" s="625"/>
      <c r="Z12" s="625"/>
      <c r="AA12" s="625"/>
      <c r="AB12" s="625"/>
      <c r="AC12" s="625"/>
      <c r="AD12" s="625"/>
      <c r="AE12" s="625"/>
      <c r="AF12" s="625"/>
      <c r="AG12" s="625"/>
      <c r="AH12" s="625"/>
      <c r="AI12" s="625"/>
      <c r="AJ12" s="625"/>
      <c r="AK12" s="625"/>
      <c r="AL12" s="625"/>
      <c r="AM12" s="625"/>
      <c r="AN12" s="625"/>
      <c r="AO12" s="625"/>
      <c r="AP12" s="625"/>
      <c r="AQ12" s="625"/>
      <c r="AR12" s="625"/>
      <c r="AS12" s="625"/>
      <c r="AT12" s="625"/>
      <c r="AU12" s="625"/>
      <c r="AV12" s="625"/>
      <c r="AW12" s="625"/>
      <c r="AX12" s="625"/>
      <c r="AY12" s="625"/>
      <c r="AZ12" s="625"/>
      <c r="BA12" s="625"/>
      <c r="BB12" s="625"/>
      <c r="BC12" s="625"/>
      <c r="BD12" s="625"/>
      <c r="BE12" s="625"/>
      <c r="BF12" s="625"/>
      <c r="BG12" s="625"/>
      <c r="BH12" s="625"/>
      <c r="BI12" s="625"/>
    </row>
    <row r="13" spans="1:83" ht="14.25" customHeight="1" x14ac:dyDescent="0.25">
      <c r="A13" s="625"/>
      <c r="B13" s="625"/>
      <c r="C13" s="625"/>
      <c r="D13" s="625"/>
      <c r="E13" s="625"/>
      <c r="F13" s="625"/>
      <c r="G13" s="625"/>
      <c r="H13" s="625"/>
      <c r="I13" s="625"/>
      <c r="J13" s="625"/>
      <c r="K13" s="625"/>
      <c r="L13" s="625"/>
      <c r="M13" s="625"/>
      <c r="N13" s="625"/>
      <c r="O13" s="625"/>
      <c r="P13" s="625"/>
      <c r="Q13" s="625"/>
      <c r="R13" s="625"/>
      <c r="S13" s="625"/>
      <c r="T13" s="625"/>
      <c r="U13" s="625"/>
      <c r="V13" s="625"/>
      <c r="W13" s="625"/>
      <c r="X13" s="625"/>
      <c r="Y13" s="625"/>
      <c r="Z13" s="625"/>
      <c r="AA13" s="625"/>
      <c r="AB13" s="625"/>
      <c r="AC13" s="625"/>
      <c r="AD13" s="625"/>
      <c r="AE13" s="625"/>
      <c r="AF13" s="625"/>
      <c r="AG13" s="625"/>
      <c r="AH13" s="625"/>
      <c r="AI13" s="625"/>
      <c r="AJ13" s="625"/>
      <c r="AK13" s="625"/>
      <c r="AL13" s="625"/>
      <c r="AM13" s="625"/>
      <c r="AN13" s="625"/>
      <c r="AO13" s="625"/>
      <c r="AP13" s="625"/>
      <c r="AQ13" s="625"/>
      <c r="AR13" s="625"/>
      <c r="AS13" s="625"/>
      <c r="AT13" s="625"/>
      <c r="AU13" s="625"/>
      <c r="AV13" s="625"/>
      <c r="AW13" s="625"/>
      <c r="AX13" s="625"/>
      <c r="AY13" s="625"/>
      <c r="AZ13" s="625"/>
      <c r="BA13" s="625"/>
      <c r="BB13" s="625"/>
      <c r="BC13" s="625"/>
      <c r="BD13" s="625"/>
      <c r="BE13" s="625"/>
      <c r="BF13" s="625"/>
      <c r="BG13" s="625"/>
      <c r="BH13" s="625"/>
      <c r="BI13" s="625"/>
    </row>
    <row r="14" spans="1:83" ht="14.25" customHeight="1" x14ac:dyDescent="0.25">
      <c r="A14" s="625"/>
      <c r="B14" s="625"/>
      <c r="C14" s="625"/>
      <c r="D14" s="625"/>
      <c r="E14" s="625"/>
      <c r="F14" s="625"/>
      <c r="G14" s="625"/>
      <c r="H14" s="625"/>
      <c r="I14" s="625"/>
      <c r="J14" s="625"/>
      <c r="K14" s="625"/>
      <c r="L14" s="625"/>
      <c r="M14" s="625"/>
      <c r="N14" s="625"/>
      <c r="O14" s="625"/>
      <c r="P14" s="625"/>
      <c r="Q14" s="625"/>
      <c r="R14" s="625"/>
      <c r="S14" s="625"/>
      <c r="T14" s="625"/>
      <c r="U14" s="625"/>
      <c r="V14" s="625"/>
      <c r="W14" s="625"/>
      <c r="X14" s="625"/>
      <c r="Y14" s="625"/>
      <c r="Z14" s="625"/>
      <c r="AA14" s="625"/>
      <c r="AB14" s="625"/>
      <c r="AC14" s="625"/>
      <c r="AD14" s="625"/>
      <c r="AE14" s="625"/>
      <c r="AF14" s="625"/>
      <c r="AG14" s="625"/>
      <c r="AH14" s="625"/>
      <c r="AI14" s="625"/>
      <c r="AJ14" s="625"/>
      <c r="AK14" s="625"/>
      <c r="AL14" s="625"/>
      <c r="AM14" s="625"/>
      <c r="AN14" s="625"/>
      <c r="AO14" s="625"/>
      <c r="AP14" s="625"/>
      <c r="AQ14" s="625"/>
      <c r="AR14" s="625"/>
      <c r="AS14" s="625"/>
      <c r="AT14" s="625"/>
      <c r="AU14" s="625"/>
      <c r="AV14" s="625"/>
      <c r="AW14" s="625"/>
      <c r="AX14" s="625"/>
      <c r="AY14" s="625"/>
      <c r="AZ14" s="625"/>
      <c r="BA14" s="625"/>
      <c r="BB14" s="625"/>
      <c r="BC14" s="625"/>
      <c r="BD14" s="625"/>
      <c r="BE14" s="625"/>
      <c r="BF14" s="625"/>
      <c r="BG14" s="625"/>
      <c r="BH14" s="625"/>
      <c r="BI14" s="625"/>
    </row>
    <row r="15" spans="1:83" ht="14.25" customHeight="1" x14ac:dyDescent="0.25">
      <c r="A15" s="625"/>
      <c r="B15" s="625"/>
      <c r="C15" s="625"/>
      <c r="D15" s="625"/>
      <c r="E15" s="625"/>
      <c r="F15" s="625"/>
      <c r="G15" s="625"/>
      <c r="H15" s="625"/>
      <c r="I15" s="625"/>
      <c r="J15" s="625"/>
      <c r="K15" s="625"/>
      <c r="L15" s="625"/>
      <c r="M15" s="625"/>
      <c r="N15" s="625"/>
      <c r="O15" s="625"/>
      <c r="P15" s="625"/>
      <c r="Q15" s="625"/>
      <c r="R15" s="625"/>
      <c r="S15" s="625"/>
      <c r="T15" s="625"/>
      <c r="U15" s="625"/>
      <c r="V15" s="625"/>
      <c r="W15" s="625"/>
      <c r="X15" s="625"/>
      <c r="Y15" s="625"/>
      <c r="Z15" s="625"/>
      <c r="AA15" s="625"/>
      <c r="AB15" s="625"/>
      <c r="AC15" s="625"/>
      <c r="AD15" s="625"/>
      <c r="AE15" s="625"/>
      <c r="AF15" s="625"/>
      <c r="AG15" s="625"/>
      <c r="AH15" s="625"/>
      <c r="AI15" s="625"/>
      <c r="AJ15" s="625"/>
      <c r="AK15" s="625"/>
      <c r="AL15" s="625"/>
      <c r="AM15" s="625"/>
      <c r="AN15" s="625"/>
      <c r="AO15" s="625"/>
      <c r="AP15" s="625"/>
      <c r="AQ15" s="625"/>
      <c r="AR15" s="625"/>
      <c r="AS15" s="625"/>
      <c r="AT15" s="625"/>
      <c r="AU15" s="625"/>
      <c r="AV15" s="625"/>
      <c r="AW15" s="625"/>
      <c r="AX15" s="625"/>
      <c r="AY15" s="625"/>
      <c r="AZ15" s="625"/>
      <c r="BA15" s="625"/>
      <c r="BB15" s="625"/>
      <c r="BC15" s="625"/>
      <c r="BD15" s="625"/>
      <c r="BE15" s="625"/>
      <c r="BF15" s="625"/>
      <c r="BG15" s="625"/>
      <c r="BH15" s="625"/>
      <c r="BI15" s="625"/>
    </row>
    <row r="16" spans="1:83" ht="14.25" customHeight="1" x14ac:dyDescent="0.25">
      <c r="A16" s="625"/>
      <c r="B16" s="625"/>
      <c r="C16" s="625"/>
      <c r="D16" s="625"/>
      <c r="E16" s="625"/>
      <c r="F16" s="625"/>
      <c r="G16" s="625"/>
      <c r="H16" s="625"/>
      <c r="I16" s="625"/>
      <c r="J16" s="625"/>
      <c r="K16" s="625"/>
      <c r="L16" s="625"/>
      <c r="M16" s="625"/>
      <c r="N16" s="625"/>
      <c r="O16" s="625"/>
      <c r="P16" s="625"/>
      <c r="Q16" s="625"/>
      <c r="R16" s="625"/>
      <c r="S16" s="625"/>
      <c r="T16" s="625"/>
      <c r="U16" s="625"/>
      <c r="V16" s="625"/>
      <c r="W16" s="625"/>
      <c r="X16" s="625"/>
      <c r="Y16" s="625"/>
      <c r="Z16" s="625"/>
      <c r="AA16" s="625"/>
      <c r="AB16" s="625"/>
      <c r="AC16" s="625"/>
      <c r="AD16" s="625"/>
      <c r="AE16" s="625"/>
      <c r="AF16" s="625"/>
      <c r="AG16" s="625"/>
      <c r="AH16" s="625"/>
      <c r="AI16" s="625"/>
      <c r="AJ16" s="625"/>
      <c r="AK16" s="625"/>
      <c r="AL16" s="625"/>
      <c r="AM16" s="625"/>
      <c r="AN16" s="625"/>
      <c r="AO16" s="625"/>
      <c r="AP16" s="625"/>
      <c r="AQ16" s="625"/>
      <c r="AR16" s="625"/>
      <c r="AS16" s="625"/>
      <c r="AT16" s="625"/>
      <c r="AU16" s="625"/>
      <c r="AV16" s="625"/>
      <c r="AW16" s="625"/>
      <c r="AX16" s="625"/>
      <c r="AY16" s="625"/>
      <c r="AZ16" s="625"/>
      <c r="BA16" s="625"/>
      <c r="BB16" s="625"/>
      <c r="BC16" s="625"/>
      <c r="BD16" s="625"/>
      <c r="BE16" s="625"/>
      <c r="BF16" s="625"/>
      <c r="BG16" s="625"/>
      <c r="BH16" s="625"/>
      <c r="BI16" s="625"/>
    </row>
    <row r="17" spans="1:83" ht="14.25" customHeight="1" x14ac:dyDescent="0.25">
      <c r="A17" s="625"/>
      <c r="B17" s="625"/>
      <c r="C17" s="625"/>
      <c r="D17" s="625"/>
      <c r="E17" s="625"/>
      <c r="F17" s="625"/>
      <c r="G17" s="625"/>
      <c r="H17" s="625"/>
      <c r="I17" s="625"/>
      <c r="J17" s="625"/>
      <c r="K17" s="625"/>
      <c r="L17" s="625"/>
      <c r="M17" s="625"/>
      <c r="N17" s="625"/>
      <c r="O17" s="625"/>
      <c r="P17" s="625"/>
      <c r="Q17" s="625"/>
      <c r="R17" s="625"/>
      <c r="S17" s="625"/>
      <c r="T17" s="625"/>
      <c r="U17" s="625"/>
      <c r="V17" s="625"/>
      <c r="W17" s="625"/>
      <c r="X17" s="625"/>
      <c r="Y17" s="625"/>
      <c r="Z17" s="625"/>
      <c r="AA17" s="625"/>
      <c r="AB17" s="625"/>
      <c r="AC17" s="625"/>
      <c r="AD17" s="625"/>
      <c r="AE17" s="625"/>
      <c r="AF17" s="625"/>
      <c r="AG17" s="625"/>
      <c r="AH17" s="625"/>
      <c r="AI17" s="625"/>
      <c r="AJ17" s="625"/>
      <c r="AK17" s="625"/>
      <c r="AL17" s="625"/>
      <c r="AM17" s="625"/>
      <c r="AN17" s="625"/>
      <c r="AO17" s="625"/>
      <c r="AP17" s="625"/>
      <c r="AQ17" s="625"/>
      <c r="AR17" s="625"/>
      <c r="AS17" s="625"/>
      <c r="AT17" s="625"/>
      <c r="AU17" s="625"/>
      <c r="AV17" s="625"/>
      <c r="AW17" s="625"/>
      <c r="AX17" s="625"/>
      <c r="AY17" s="625"/>
      <c r="AZ17" s="625"/>
      <c r="BA17" s="625"/>
      <c r="BB17" s="625"/>
      <c r="BC17" s="625"/>
      <c r="BD17" s="625"/>
      <c r="BE17" s="625"/>
      <c r="BF17" s="625"/>
      <c r="BG17" s="625"/>
      <c r="BH17" s="625"/>
      <c r="BI17" s="625"/>
    </row>
    <row r="18" spans="1:83" ht="14.25" customHeight="1" x14ac:dyDescent="0.25">
      <c r="A18" s="625"/>
      <c r="B18" s="625"/>
      <c r="C18" s="625"/>
      <c r="D18" s="625"/>
      <c r="E18" s="625"/>
      <c r="F18" s="625"/>
      <c r="G18" s="625"/>
      <c r="H18" s="625"/>
      <c r="I18" s="625"/>
      <c r="J18" s="625"/>
      <c r="K18" s="625"/>
      <c r="L18" s="625"/>
      <c r="M18" s="625"/>
      <c r="N18" s="625"/>
      <c r="O18" s="625"/>
      <c r="P18" s="625"/>
      <c r="Q18" s="625"/>
      <c r="R18" s="625"/>
      <c r="S18" s="625"/>
      <c r="T18" s="625"/>
      <c r="U18" s="625"/>
      <c r="V18" s="625"/>
      <c r="W18" s="625"/>
      <c r="X18" s="625"/>
      <c r="Y18" s="625"/>
      <c r="Z18" s="625"/>
      <c r="AA18" s="625"/>
      <c r="AB18" s="625"/>
      <c r="AC18" s="625"/>
      <c r="AD18" s="625"/>
      <c r="AE18" s="625"/>
      <c r="AF18" s="625"/>
      <c r="AG18" s="625"/>
      <c r="AH18" s="625"/>
      <c r="AI18" s="625"/>
      <c r="AJ18" s="625"/>
      <c r="AK18" s="625"/>
      <c r="AL18" s="625"/>
      <c r="AM18" s="625"/>
      <c r="AN18" s="625"/>
      <c r="AO18" s="625"/>
      <c r="AP18" s="625"/>
      <c r="AQ18" s="625"/>
      <c r="AR18" s="625"/>
      <c r="AS18" s="625"/>
      <c r="AT18" s="625"/>
      <c r="AU18" s="625"/>
      <c r="AV18" s="625"/>
      <c r="AW18" s="625"/>
      <c r="AX18" s="625"/>
      <c r="AY18" s="625"/>
      <c r="AZ18" s="625"/>
      <c r="BA18" s="625"/>
      <c r="BB18" s="625"/>
      <c r="BC18" s="625"/>
      <c r="BD18" s="625"/>
      <c r="BE18" s="625"/>
      <c r="BF18" s="625"/>
      <c r="BG18" s="625"/>
      <c r="BH18" s="625"/>
      <c r="BI18" s="625"/>
    </row>
    <row r="19" spans="1:83" ht="14.25" customHeight="1" x14ac:dyDescent="0.25">
      <c r="A19" s="625"/>
      <c r="B19" s="625"/>
      <c r="C19" s="625"/>
      <c r="D19" s="625"/>
      <c r="E19" s="625"/>
      <c r="F19" s="625"/>
      <c r="G19" s="625"/>
      <c r="H19" s="625"/>
      <c r="I19" s="625"/>
      <c r="J19" s="625"/>
      <c r="K19" s="625"/>
      <c r="L19" s="625"/>
      <c r="M19" s="625"/>
      <c r="N19" s="625"/>
      <c r="O19" s="625"/>
      <c r="P19" s="625"/>
      <c r="Q19" s="625"/>
      <c r="R19" s="625"/>
      <c r="S19" s="625"/>
      <c r="T19" s="625"/>
      <c r="U19" s="625"/>
      <c r="V19" s="625"/>
      <c r="W19" s="625"/>
      <c r="X19" s="625"/>
      <c r="Y19" s="625"/>
      <c r="Z19" s="625"/>
      <c r="AA19" s="625"/>
      <c r="AB19" s="625"/>
      <c r="AC19" s="625"/>
      <c r="AD19" s="625"/>
      <c r="AE19" s="625"/>
      <c r="AF19" s="625"/>
      <c r="AG19" s="625"/>
      <c r="AH19" s="625"/>
      <c r="AI19" s="625"/>
      <c r="AJ19" s="625"/>
      <c r="AK19" s="625"/>
      <c r="AL19" s="625"/>
      <c r="AM19" s="625"/>
      <c r="AN19" s="625"/>
      <c r="AO19" s="625"/>
      <c r="AP19" s="625"/>
      <c r="AQ19" s="625"/>
      <c r="AR19" s="625"/>
      <c r="AS19" s="625"/>
      <c r="AT19" s="625"/>
      <c r="AU19" s="625"/>
      <c r="AV19" s="625"/>
      <c r="AW19" s="625"/>
      <c r="AX19" s="625"/>
      <c r="AY19" s="625"/>
      <c r="AZ19" s="625"/>
      <c r="BA19" s="625"/>
      <c r="BB19" s="625"/>
      <c r="BC19" s="625"/>
      <c r="BD19" s="625"/>
      <c r="BE19" s="625"/>
      <c r="BF19" s="625"/>
      <c r="BG19" s="625"/>
      <c r="BH19" s="625"/>
      <c r="BI19" s="625"/>
    </row>
    <row r="20" spans="1:83" ht="14.25" customHeight="1" x14ac:dyDescent="0.25">
      <c r="A20" s="625"/>
      <c r="B20" s="625"/>
      <c r="C20" s="625"/>
      <c r="D20" s="625"/>
      <c r="E20" s="625"/>
      <c r="F20" s="625"/>
      <c r="G20" s="625"/>
      <c r="H20" s="625"/>
      <c r="I20" s="625"/>
      <c r="J20" s="625"/>
      <c r="K20" s="625"/>
      <c r="L20" s="625"/>
      <c r="M20" s="625"/>
      <c r="N20" s="625"/>
      <c r="O20" s="625"/>
      <c r="P20" s="625"/>
      <c r="Q20" s="625"/>
      <c r="R20" s="625"/>
      <c r="S20" s="625"/>
      <c r="T20" s="625"/>
      <c r="U20" s="625"/>
      <c r="V20" s="625"/>
      <c r="W20" s="625"/>
      <c r="X20" s="625"/>
      <c r="Y20" s="625"/>
      <c r="Z20" s="625"/>
      <c r="AA20" s="625"/>
      <c r="AB20" s="625"/>
      <c r="AC20" s="625"/>
      <c r="AD20" s="625"/>
      <c r="AE20" s="625"/>
      <c r="AF20" s="625"/>
      <c r="AG20" s="625"/>
      <c r="AH20" s="625"/>
      <c r="AI20" s="625"/>
      <c r="AJ20" s="625"/>
      <c r="AK20" s="625"/>
      <c r="AL20" s="625"/>
      <c r="AM20" s="625"/>
      <c r="AN20" s="625"/>
      <c r="AO20" s="625"/>
      <c r="AP20" s="625"/>
      <c r="AQ20" s="625"/>
      <c r="AR20" s="625"/>
      <c r="AS20" s="625"/>
      <c r="AT20" s="625"/>
      <c r="AU20" s="625"/>
      <c r="AV20" s="625"/>
      <c r="AW20" s="625"/>
      <c r="AX20" s="625"/>
      <c r="AY20" s="625"/>
      <c r="AZ20" s="625"/>
      <c r="BA20" s="625"/>
      <c r="BB20" s="625"/>
      <c r="BC20" s="625"/>
      <c r="BD20" s="625"/>
      <c r="BE20" s="625"/>
      <c r="BF20" s="625"/>
      <c r="BG20" s="625"/>
      <c r="BH20" s="625"/>
      <c r="BI20" s="625"/>
    </row>
    <row r="21" spans="1:83" ht="14.25" customHeight="1" x14ac:dyDescent="0.25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25"/>
      <c r="S21" s="625"/>
      <c r="T21" s="625"/>
      <c r="U21" s="625"/>
      <c r="V21" s="625"/>
      <c r="W21" s="625"/>
      <c r="X21" s="625"/>
      <c r="Y21" s="625"/>
      <c r="Z21" s="625"/>
      <c r="AA21" s="625"/>
      <c r="AB21" s="625"/>
      <c r="AC21" s="625"/>
      <c r="AD21" s="625"/>
      <c r="AE21" s="625"/>
      <c r="AF21" s="625"/>
      <c r="AG21" s="625"/>
      <c r="AH21" s="625"/>
      <c r="AI21" s="625"/>
      <c r="AJ21" s="625"/>
      <c r="AK21" s="625"/>
      <c r="AL21" s="625"/>
      <c r="AM21" s="625"/>
      <c r="AN21" s="625"/>
      <c r="AO21" s="625"/>
      <c r="AP21" s="625"/>
      <c r="AQ21" s="625"/>
      <c r="AR21" s="625"/>
      <c r="AS21" s="625"/>
      <c r="AT21" s="625"/>
      <c r="AU21" s="625"/>
      <c r="AV21" s="625"/>
      <c r="AW21" s="625"/>
      <c r="AX21" s="625"/>
      <c r="AY21" s="625"/>
      <c r="AZ21" s="625"/>
      <c r="BA21" s="625"/>
      <c r="BB21" s="625"/>
      <c r="BC21" s="625"/>
      <c r="BD21" s="625"/>
      <c r="BE21" s="625"/>
      <c r="BF21" s="625"/>
      <c r="BG21" s="625"/>
      <c r="BH21" s="625"/>
      <c r="BI21" s="625"/>
    </row>
    <row r="22" spans="1:83" ht="14.25" customHeight="1" x14ac:dyDescent="0.25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25"/>
      <c r="S22" s="625"/>
      <c r="T22" s="625"/>
      <c r="U22" s="625"/>
      <c r="V22" s="625"/>
      <c r="W22" s="625"/>
      <c r="X22" s="625"/>
      <c r="Y22" s="625"/>
      <c r="Z22" s="625"/>
      <c r="AA22" s="625"/>
      <c r="AB22" s="625"/>
      <c r="AC22" s="625"/>
      <c r="AD22" s="625"/>
      <c r="AE22" s="625"/>
      <c r="AF22" s="625"/>
      <c r="AG22" s="625"/>
      <c r="AH22" s="625"/>
      <c r="AI22" s="625"/>
      <c r="AJ22" s="625"/>
      <c r="AK22" s="625"/>
      <c r="AL22" s="625"/>
      <c r="AM22" s="625"/>
      <c r="AN22" s="625"/>
      <c r="AO22" s="625"/>
      <c r="AP22" s="625"/>
      <c r="AQ22" s="625"/>
      <c r="AR22" s="625"/>
      <c r="AS22" s="625"/>
      <c r="AT22" s="625"/>
      <c r="AU22" s="625"/>
      <c r="AV22" s="625"/>
      <c r="AW22" s="625"/>
      <c r="AX22" s="625"/>
      <c r="AY22" s="625"/>
      <c r="AZ22" s="625"/>
      <c r="BA22" s="625"/>
      <c r="BB22" s="625"/>
      <c r="BC22" s="625"/>
      <c r="BD22" s="625"/>
      <c r="BE22" s="625"/>
      <c r="BF22" s="625"/>
      <c r="BG22" s="625"/>
      <c r="BH22" s="625"/>
      <c r="BI22" s="625"/>
    </row>
    <row r="23" spans="1:83" ht="14.25" customHeight="1" x14ac:dyDescent="0.25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25"/>
      <c r="S23" s="625"/>
      <c r="T23" s="625"/>
      <c r="U23" s="625"/>
      <c r="V23" s="625"/>
      <c r="W23" s="625"/>
      <c r="X23" s="625"/>
      <c r="Y23" s="625"/>
      <c r="Z23" s="625"/>
      <c r="AA23" s="625"/>
      <c r="AB23" s="625"/>
      <c r="AC23" s="625"/>
      <c r="AD23" s="625"/>
      <c r="AE23" s="625"/>
      <c r="AF23" s="625"/>
      <c r="AG23" s="625"/>
      <c r="AH23" s="625"/>
      <c r="AI23" s="625"/>
      <c r="AJ23" s="625"/>
      <c r="AK23" s="625"/>
      <c r="AL23" s="625"/>
      <c r="AM23" s="625"/>
      <c r="AN23" s="625"/>
      <c r="AO23" s="625"/>
      <c r="AP23" s="625"/>
      <c r="AQ23" s="625"/>
      <c r="AR23" s="625"/>
      <c r="AS23" s="625"/>
      <c r="AT23" s="625"/>
      <c r="AU23" s="625"/>
      <c r="AV23" s="625"/>
      <c r="AW23" s="625"/>
      <c r="AX23" s="625"/>
      <c r="AY23" s="625"/>
      <c r="AZ23" s="625"/>
      <c r="BA23" s="625"/>
      <c r="BB23" s="625"/>
      <c r="BC23" s="625"/>
      <c r="BD23" s="625"/>
      <c r="BE23" s="625"/>
      <c r="BF23" s="625"/>
      <c r="BG23" s="625"/>
      <c r="BH23" s="625"/>
      <c r="BI23" s="625"/>
    </row>
    <row r="24" spans="1:83" ht="15.75" thickBot="1" x14ac:dyDescent="0.3"/>
    <row r="25" spans="1:83" ht="14.25" customHeight="1" thickBot="1" x14ac:dyDescent="0.3">
      <c r="A25" s="915" t="s">
        <v>69</v>
      </c>
      <c r="B25" s="916"/>
      <c r="C25" s="916"/>
      <c r="D25" s="916"/>
      <c r="E25" s="916"/>
      <c r="F25" s="916"/>
      <c r="G25" s="916"/>
      <c r="H25" s="916"/>
      <c r="I25" s="916"/>
      <c r="J25" s="916"/>
      <c r="K25" s="916"/>
      <c r="L25" s="931"/>
      <c r="M25" s="917" t="s">
        <v>1</v>
      </c>
      <c r="N25" s="902"/>
      <c r="O25" s="902"/>
      <c r="P25" s="902"/>
      <c r="Q25" s="902"/>
      <c r="R25" s="902"/>
      <c r="S25" s="902"/>
      <c r="T25" s="903"/>
      <c r="U25" s="917" t="s">
        <v>0</v>
      </c>
      <c r="V25" s="902"/>
      <c r="W25" s="902"/>
      <c r="X25" s="902"/>
      <c r="Y25" s="902"/>
      <c r="Z25" s="902"/>
      <c r="AA25" s="902"/>
      <c r="AB25" s="902"/>
      <c r="AC25" s="903"/>
      <c r="AD25" s="918"/>
      <c r="AE25" s="919"/>
      <c r="AF25" s="919"/>
      <c r="AG25" s="919"/>
      <c r="AH25" s="919"/>
      <c r="AI25" s="919"/>
      <c r="AJ25" s="919"/>
      <c r="AK25" s="919"/>
      <c r="AL25" s="919"/>
      <c r="AM25" s="919"/>
      <c r="AN25" s="919"/>
      <c r="AO25" s="919"/>
      <c r="AP25" s="932"/>
      <c r="AQ25" s="888" t="s">
        <v>72</v>
      </c>
      <c r="AR25" s="889"/>
      <c r="AS25" s="889"/>
      <c r="AT25" s="889"/>
      <c r="AU25" s="889"/>
      <c r="AV25" s="889"/>
      <c r="AW25" s="889"/>
      <c r="AX25" s="890"/>
      <c r="AY25" s="888" t="s">
        <v>79</v>
      </c>
      <c r="AZ25" s="902"/>
      <c r="BA25" s="902"/>
      <c r="BB25" s="902"/>
      <c r="BC25" s="902"/>
      <c r="BD25" s="902"/>
      <c r="BE25" s="902"/>
      <c r="BF25" s="902"/>
      <c r="BG25" s="903"/>
      <c r="BH25" s="900"/>
      <c r="BI25" s="900"/>
      <c r="BJ25" s="900"/>
      <c r="BK25" s="900"/>
      <c r="BL25" s="900"/>
      <c r="BM25" s="900"/>
      <c r="BN25" s="928"/>
      <c r="BO25" s="901" t="s">
        <v>1</v>
      </c>
      <c r="BP25" s="902"/>
      <c r="BQ25" s="902"/>
      <c r="BR25" s="902"/>
      <c r="BS25" s="902"/>
      <c r="BT25" s="902"/>
      <c r="BU25" s="902"/>
      <c r="BV25" s="903"/>
      <c r="BW25" s="901" t="s">
        <v>0</v>
      </c>
      <c r="BX25" s="902"/>
      <c r="BY25" s="902"/>
      <c r="BZ25" s="902"/>
      <c r="CA25" s="902"/>
      <c r="CB25" s="902"/>
      <c r="CC25" s="902"/>
      <c r="CD25" s="902"/>
      <c r="CE25" s="903"/>
    </row>
    <row r="26" spans="1:83" ht="15" customHeight="1" thickBot="1" x14ac:dyDescent="0.3">
      <c r="A26" s="907" t="s">
        <v>12</v>
      </c>
      <c r="B26" s="909" t="s">
        <v>13</v>
      </c>
      <c r="C26" s="909" t="s">
        <v>14</v>
      </c>
      <c r="D26" s="934" t="s">
        <v>71</v>
      </c>
      <c r="E26" s="909" t="s">
        <v>73</v>
      </c>
      <c r="F26" s="909" t="s">
        <v>74</v>
      </c>
      <c r="G26" s="911" t="s">
        <v>15</v>
      </c>
      <c r="H26" s="909" t="s">
        <v>16</v>
      </c>
      <c r="I26" s="909" t="s">
        <v>17</v>
      </c>
      <c r="J26" s="909" t="s">
        <v>18</v>
      </c>
      <c r="K26" s="909" t="s">
        <v>70</v>
      </c>
      <c r="L26" s="929" t="s">
        <v>19</v>
      </c>
      <c r="M26" s="906"/>
      <c r="N26" s="904"/>
      <c r="O26" s="904"/>
      <c r="P26" s="904"/>
      <c r="Q26" s="904"/>
      <c r="R26" s="904"/>
      <c r="S26" s="904"/>
      <c r="T26" s="905"/>
      <c r="U26" s="906"/>
      <c r="V26" s="904"/>
      <c r="W26" s="904"/>
      <c r="X26" s="904"/>
      <c r="Y26" s="904"/>
      <c r="Z26" s="904"/>
      <c r="AA26" s="904"/>
      <c r="AB26" s="904"/>
      <c r="AC26" s="905"/>
      <c r="AD26" s="912" t="s">
        <v>40</v>
      </c>
      <c r="AE26" s="914" t="s">
        <v>12</v>
      </c>
      <c r="AF26" s="914" t="s">
        <v>13</v>
      </c>
      <c r="AG26" s="914" t="s">
        <v>14</v>
      </c>
      <c r="AH26" s="914" t="s">
        <v>71</v>
      </c>
      <c r="AI26" s="914" t="s">
        <v>73</v>
      </c>
      <c r="AJ26" s="914" t="s">
        <v>74</v>
      </c>
      <c r="AK26" s="912" t="s">
        <v>41</v>
      </c>
      <c r="AL26" s="914" t="s">
        <v>16</v>
      </c>
      <c r="AM26" s="914" t="s">
        <v>17</v>
      </c>
      <c r="AN26" s="914" t="s">
        <v>18</v>
      </c>
      <c r="AO26" s="914" t="s">
        <v>70</v>
      </c>
      <c r="AP26" s="912" t="s">
        <v>19</v>
      </c>
      <c r="AQ26" s="891"/>
      <c r="AR26" s="892"/>
      <c r="AS26" s="892"/>
      <c r="AT26" s="892"/>
      <c r="AU26" s="892"/>
      <c r="AV26" s="892"/>
      <c r="AW26" s="892"/>
      <c r="AX26" s="893"/>
      <c r="AY26" s="906"/>
      <c r="AZ26" s="904"/>
      <c r="BA26" s="904"/>
      <c r="BB26" s="904"/>
      <c r="BC26" s="904"/>
      <c r="BD26" s="904"/>
      <c r="BE26" s="904"/>
      <c r="BF26" s="904"/>
      <c r="BG26" s="905"/>
      <c r="BH26" s="897" t="s">
        <v>15</v>
      </c>
      <c r="BI26" s="899" t="s">
        <v>16</v>
      </c>
      <c r="BJ26" s="899" t="s">
        <v>17</v>
      </c>
      <c r="BK26" s="899" t="s">
        <v>18</v>
      </c>
      <c r="BL26" s="899" t="s">
        <v>70</v>
      </c>
      <c r="BM26" s="899" t="s">
        <v>74</v>
      </c>
      <c r="BN26" s="897" t="s">
        <v>19</v>
      </c>
      <c r="BO26" s="904"/>
      <c r="BP26" s="904"/>
      <c r="BQ26" s="904"/>
      <c r="BR26" s="904"/>
      <c r="BS26" s="904"/>
      <c r="BT26" s="904"/>
      <c r="BU26" s="904"/>
      <c r="BV26" s="905"/>
      <c r="BW26" s="906"/>
      <c r="BX26" s="904"/>
      <c r="BY26" s="904"/>
      <c r="BZ26" s="904"/>
      <c r="CA26" s="904"/>
      <c r="CB26" s="904"/>
      <c r="CC26" s="904"/>
      <c r="CD26" s="904"/>
      <c r="CE26" s="905"/>
    </row>
    <row r="27" spans="1:83" ht="15.75" thickBot="1" x14ac:dyDescent="0.3">
      <c r="A27" s="922"/>
      <c r="B27" s="923"/>
      <c r="C27" s="923"/>
      <c r="D27" s="935"/>
      <c r="E27" s="923"/>
      <c r="F27" s="923"/>
      <c r="G27" s="923"/>
      <c r="H27" s="923"/>
      <c r="I27" s="923"/>
      <c r="J27" s="923"/>
      <c r="K27" s="923"/>
      <c r="L27" s="930"/>
      <c r="M27" s="222" t="s">
        <v>9</v>
      </c>
      <c r="N27" s="222" t="s">
        <v>5</v>
      </c>
      <c r="O27" s="222" t="s">
        <v>8</v>
      </c>
      <c r="P27" s="222" t="s">
        <v>4</v>
      </c>
      <c r="Q27" s="222" t="s">
        <v>10</v>
      </c>
      <c r="R27" s="222" t="s">
        <v>6</v>
      </c>
      <c r="S27" s="222" t="s">
        <v>7</v>
      </c>
      <c r="T27" s="222" t="s">
        <v>20</v>
      </c>
      <c r="U27" s="222" t="s">
        <v>22</v>
      </c>
      <c r="V27" s="222" t="s">
        <v>23</v>
      </c>
      <c r="W27" s="222" t="s">
        <v>24</v>
      </c>
      <c r="X27" s="222" t="s">
        <v>25</v>
      </c>
      <c r="Y27" s="222" t="s">
        <v>26</v>
      </c>
      <c r="Z27" s="222" t="s">
        <v>27</v>
      </c>
      <c r="AA27" s="222" t="s">
        <v>28</v>
      </c>
      <c r="AB27" s="222" t="s">
        <v>29</v>
      </c>
      <c r="AC27" s="222" t="s">
        <v>30</v>
      </c>
      <c r="AD27" s="921"/>
      <c r="AE27" s="921"/>
      <c r="AF27" s="921"/>
      <c r="AG27" s="921"/>
      <c r="AH27" s="921"/>
      <c r="AI27" s="921"/>
      <c r="AJ27" s="921"/>
      <c r="AK27" s="921"/>
      <c r="AL27" s="921"/>
      <c r="AM27" s="921"/>
      <c r="AN27" s="921"/>
      <c r="AO27" s="921"/>
      <c r="AP27" s="921"/>
      <c r="AQ27" s="552" t="s">
        <v>9</v>
      </c>
      <c r="AR27" s="552" t="s">
        <v>5</v>
      </c>
      <c r="AS27" s="552" t="s">
        <v>8</v>
      </c>
      <c r="AT27" s="552" t="s">
        <v>4</v>
      </c>
      <c r="AU27" s="552" t="s">
        <v>10</v>
      </c>
      <c r="AV27" s="552" t="s">
        <v>6</v>
      </c>
      <c r="AW27" s="552" t="s">
        <v>7</v>
      </c>
      <c r="AX27" s="552" t="s">
        <v>20</v>
      </c>
      <c r="AY27" s="555" t="s">
        <v>22</v>
      </c>
      <c r="AZ27" s="555" t="s">
        <v>23</v>
      </c>
      <c r="BA27" s="555" t="s">
        <v>24</v>
      </c>
      <c r="BB27" s="555" t="s">
        <v>25</v>
      </c>
      <c r="BC27" s="555" t="s">
        <v>26</v>
      </c>
      <c r="BD27" s="555" t="s">
        <v>27</v>
      </c>
      <c r="BE27" s="555" t="s">
        <v>28</v>
      </c>
      <c r="BF27" s="555" t="s">
        <v>29</v>
      </c>
      <c r="BG27" s="555" t="s">
        <v>30</v>
      </c>
      <c r="BH27" s="920"/>
      <c r="BI27" s="920"/>
      <c r="BJ27" s="920"/>
      <c r="BK27" s="920"/>
      <c r="BL27" s="920"/>
      <c r="BM27" s="920"/>
      <c r="BN27" s="933"/>
      <c r="BO27" s="132" t="s">
        <v>9</v>
      </c>
      <c r="BP27" s="132" t="s">
        <v>5</v>
      </c>
      <c r="BQ27" s="132" t="s">
        <v>8</v>
      </c>
      <c r="BR27" s="132" t="s">
        <v>4</v>
      </c>
      <c r="BS27" s="132" t="s">
        <v>10</v>
      </c>
      <c r="BT27" s="132" t="s">
        <v>6</v>
      </c>
      <c r="BU27" s="132" t="s">
        <v>7</v>
      </c>
      <c r="BV27" s="132" t="s">
        <v>20</v>
      </c>
      <c r="BW27" s="131" t="s">
        <v>22</v>
      </c>
      <c r="BX27" s="131" t="s">
        <v>23</v>
      </c>
      <c r="BY27" s="131" t="s">
        <v>24</v>
      </c>
      <c r="BZ27" s="131" t="s">
        <v>25</v>
      </c>
      <c r="CA27" s="131" t="s">
        <v>26</v>
      </c>
      <c r="CB27" s="131" t="s">
        <v>27</v>
      </c>
      <c r="CC27" s="131" t="s">
        <v>28</v>
      </c>
      <c r="CD27" s="131" t="s">
        <v>29</v>
      </c>
      <c r="CE27" s="132" t="s">
        <v>30</v>
      </c>
    </row>
    <row r="28" spans="1:83" x14ac:dyDescent="0.25">
      <c r="A28" s="114">
        <v>130</v>
      </c>
      <c r="B28" s="115">
        <v>75</v>
      </c>
      <c r="C28" s="115">
        <v>94.198430000000002</v>
      </c>
      <c r="D28" s="537">
        <v>30</v>
      </c>
      <c r="E28" s="365">
        <v>113.02654</v>
      </c>
      <c r="F28" s="223">
        <v>128.24018821773799</v>
      </c>
      <c r="G28" s="210" t="s">
        <v>9</v>
      </c>
      <c r="H28" s="568">
        <v>60</v>
      </c>
      <c r="I28" s="367">
        <v>97.92</v>
      </c>
      <c r="J28" s="367">
        <v>122.078</v>
      </c>
      <c r="K28" s="572">
        <v>80</v>
      </c>
      <c r="L28" s="210" t="s">
        <v>21</v>
      </c>
      <c r="M28" s="255">
        <v>329.19799999999998</v>
      </c>
      <c r="N28" s="115">
        <v>10.8005</v>
      </c>
      <c r="O28" s="115">
        <v>129.60599999999999</v>
      </c>
      <c r="P28" s="115">
        <v>3.2919800000000001</v>
      </c>
      <c r="Q28" s="311">
        <v>2.0455400000000002E-3</v>
      </c>
      <c r="R28" s="115">
        <v>3291.98</v>
      </c>
      <c r="S28" s="115">
        <v>3.6001599999999998</v>
      </c>
      <c r="T28" s="115">
        <v>3291984</v>
      </c>
      <c r="U28" s="115">
        <v>541911</v>
      </c>
      <c r="V28" s="115">
        <v>5419.11</v>
      </c>
      <c r="W28" s="115">
        <v>54.191099999999999</v>
      </c>
      <c r="X28" s="115">
        <v>0.54191100000000003</v>
      </c>
      <c r="Y28" s="115">
        <v>839.96400000000006</v>
      </c>
      <c r="Z28" s="115">
        <v>5.8330799999999998</v>
      </c>
      <c r="AA28" s="311">
        <v>5.4191100000000004E-3</v>
      </c>
      <c r="AB28" s="116">
        <v>5.41911291501589E-5</v>
      </c>
      <c r="AC28" s="577">
        <v>1.3390900000000001E-4</v>
      </c>
      <c r="AD28" s="462">
        <v>1</v>
      </c>
      <c r="AE28" s="262">
        <v>130</v>
      </c>
      <c r="AF28" s="260">
        <v>75</v>
      </c>
      <c r="AG28" s="260">
        <v>94.198430000000002</v>
      </c>
      <c r="AH28" s="556">
        <v>30</v>
      </c>
      <c r="AI28" s="533">
        <v>113.02654</v>
      </c>
      <c r="AJ28" s="586">
        <v>128.24017000000001</v>
      </c>
      <c r="AK28" s="282" t="s">
        <v>9</v>
      </c>
      <c r="AL28" s="587">
        <v>60</v>
      </c>
      <c r="AM28" s="529">
        <v>97.921000000000006</v>
      </c>
      <c r="AN28" s="529">
        <v>122.07899999999999</v>
      </c>
      <c r="AO28" s="588">
        <v>80</v>
      </c>
      <c r="AP28" s="282" t="s">
        <v>21</v>
      </c>
      <c r="AQ28" s="589">
        <f>AE28+AF28+AG28+AH28</f>
        <v>329.19843000000003</v>
      </c>
      <c r="AR28" s="260">
        <v>10.8005</v>
      </c>
      <c r="AS28" s="260">
        <v>129.60599999999999</v>
      </c>
      <c r="AT28" s="260">
        <v>3.2919800000000001</v>
      </c>
      <c r="AU28" s="532">
        <v>2.0455400000000002E-3</v>
      </c>
      <c r="AV28" s="260">
        <v>3291.98</v>
      </c>
      <c r="AW28" s="260">
        <v>3.6001500000000002</v>
      </c>
      <c r="AX28" s="260">
        <v>3291980</v>
      </c>
      <c r="AY28" s="260">
        <v>541911</v>
      </c>
      <c r="AZ28" s="260">
        <f>(SQRT(((AE28+AF28+AI28)/2)*((AE28+AF28+AI28)/2-AE28)*((AE28+AF28+AI28)/2-AF28)*((AE28+AF28+AI28)/2-AI28)))+(SQRT(((AG28+AH28+AI28)/2)*((AG28+AH28+AI28)/2-AG28)*((AG28+AH28+AI28)/2-AH28)*((AG28+AH28+AI28)/2-AI28)))</f>
        <v>5419.1129150158858</v>
      </c>
      <c r="BA28" s="260">
        <v>54.191099999999999</v>
      </c>
      <c r="BB28" s="260">
        <v>0.54191100000000003</v>
      </c>
      <c r="BC28" s="260">
        <v>839.96400000000006</v>
      </c>
      <c r="BD28" s="260">
        <v>5.8330799999999998</v>
      </c>
      <c r="BE28" s="532">
        <v>5.4191100000000004E-3</v>
      </c>
      <c r="BF28" s="557">
        <v>5.4191099999999997E-5</v>
      </c>
      <c r="BG28" s="590">
        <v>1.3390900000000001E-4</v>
      </c>
      <c r="BH28" s="237" t="s">
        <v>9</v>
      </c>
      <c r="BI28" s="283">
        <f>(100*(H28-AL28))/AL28</f>
        <v>0</v>
      </c>
      <c r="BJ28" s="90">
        <f>(100*(I28-AM28))/AM28</f>
        <v>-1.0212314008279887E-3</v>
      </c>
      <c r="BK28" s="90">
        <f>(100*(J28-AN28))/AN28</f>
        <v>-8.1914170331552855E-4</v>
      </c>
      <c r="BL28" s="90">
        <f>(100*(K28-AO28))/AO28</f>
        <v>0</v>
      </c>
      <c r="BM28" s="233">
        <f>(100*(F28-AJ28))/AJ28</f>
        <v>1.4205952774688046E-5</v>
      </c>
      <c r="BN28" s="237" t="s">
        <v>21</v>
      </c>
      <c r="BO28" s="213">
        <f>(100*(M28-AQ28))/AQ28</f>
        <v>-1.306203070443631E-4</v>
      </c>
      <c r="BP28" s="91">
        <f t="shared" ref="BP28:BV28" si="0">(100*(N28-AR28))/AR28</f>
        <v>0</v>
      </c>
      <c r="BQ28" s="91">
        <f t="shared" si="0"/>
        <v>0</v>
      </c>
      <c r="BR28" s="91">
        <f t="shared" si="0"/>
        <v>0</v>
      </c>
      <c r="BS28" s="91">
        <f t="shared" si="0"/>
        <v>0</v>
      </c>
      <c r="BT28" s="91">
        <f t="shared" si="0"/>
        <v>0</v>
      </c>
      <c r="BU28" s="91">
        <f t="shared" si="0"/>
        <v>2.7776620417542107E-4</v>
      </c>
      <c r="BV28" s="91">
        <f t="shared" si="0"/>
        <v>1.2150742106574159E-4</v>
      </c>
      <c r="BW28" s="93">
        <f>(100*(U28-AY28))/AY28</f>
        <v>0</v>
      </c>
      <c r="BX28" s="93">
        <f>(100*(V28-AZ28))/AZ28</f>
        <v>-5.3791384898009414E-5</v>
      </c>
      <c r="BY28" s="93">
        <f t="shared" ref="BY28:CE28" si="1">(100*(W28-BA28))/BA28</f>
        <v>0</v>
      </c>
      <c r="BZ28" s="93">
        <f t="shared" si="1"/>
        <v>0</v>
      </c>
      <c r="CA28" s="93">
        <f t="shared" si="1"/>
        <v>0</v>
      </c>
      <c r="CB28" s="93">
        <f t="shared" si="1"/>
        <v>0</v>
      </c>
      <c r="CC28" s="93">
        <f t="shared" si="1"/>
        <v>0</v>
      </c>
      <c r="CD28" s="93">
        <f t="shared" si="1"/>
        <v>5.3791413910134669E-5</v>
      </c>
      <c r="CE28" s="95">
        <f t="shared" si="1"/>
        <v>0</v>
      </c>
    </row>
    <row r="29" spans="1:83" x14ac:dyDescent="0.25">
      <c r="A29" s="118">
        <v>100</v>
      </c>
      <c r="B29" s="1">
        <v>44</v>
      </c>
      <c r="C29" s="1">
        <v>134.25847999999999</v>
      </c>
      <c r="D29" s="1">
        <v>55</v>
      </c>
      <c r="E29" s="1">
        <v>122.25293000000001</v>
      </c>
      <c r="F29" s="6">
        <v>129.56549138974799</v>
      </c>
      <c r="G29" s="211" t="s">
        <v>5</v>
      </c>
      <c r="H29" s="414">
        <v>110</v>
      </c>
      <c r="I29" s="349">
        <v>74.42</v>
      </c>
      <c r="J29" s="349">
        <v>65.58</v>
      </c>
      <c r="K29" s="415">
        <v>110</v>
      </c>
      <c r="L29" s="211" t="s">
        <v>21</v>
      </c>
      <c r="M29" s="56">
        <v>10157.700000000001</v>
      </c>
      <c r="N29" s="1">
        <v>333.25799999999998</v>
      </c>
      <c r="O29" s="1">
        <v>3999.1</v>
      </c>
      <c r="P29" s="1">
        <v>101.577</v>
      </c>
      <c r="Q29" s="1">
        <v>6.3117099999999995E-2</v>
      </c>
      <c r="R29" s="1">
        <v>101577</v>
      </c>
      <c r="S29" s="1">
        <v>111.086</v>
      </c>
      <c r="T29" s="1">
        <v>101577185</v>
      </c>
      <c r="U29" s="1">
        <v>504393971</v>
      </c>
      <c r="V29" s="1">
        <v>5043940</v>
      </c>
      <c r="W29" s="1">
        <v>50439.4</v>
      </c>
      <c r="X29" s="1">
        <v>504.39400000000001</v>
      </c>
      <c r="Y29" s="1">
        <v>781812</v>
      </c>
      <c r="Z29" s="1">
        <v>5429.25</v>
      </c>
      <c r="AA29" s="1">
        <v>5.0439400000000001</v>
      </c>
      <c r="AB29" s="78">
        <v>5.0439400000000002E-2</v>
      </c>
      <c r="AC29" s="6">
        <v>0.124638</v>
      </c>
      <c r="AD29" s="143">
        <v>2</v>
      </c>
      <c r="AE29" s="34">
        <v>100</v>
      </c>
      <c r="AF29" s="2">
        <v>44</v>
      </c>
      <c r="AG29" s="2">
        <v>134.25847999999999</v>
      </c>
      <c r="AH29" s="2">
        <v>55</v>
      </c>
      <c r="AI29" s="2">
        <v>122.25293000000001</v>
      </c>
      <c r="AJ29" s="42">
        <v>129.56551999999999</v>
      </c>
      <c r="AK29" s="19" t="s">
        <v>5</v>
      </c>
      <c r="AL29" s="403">
        <v>110</v>
      </c>
      <c r="AM29" s="307">
        <v>74.42</v>
      </c>
      <c r="AN29" s="307">
        <v>65.58</v>
      </c>
      <c r="AO29" s="404">
        <v>110</v>
      </c>
      <c r="AP29" s="19" t="s">
        <v>21</v>
      </c>
      <c r="AQ29" s="34">
        <v>10157.700000000001</v>
      </c>
      <c r="AR29" s="186">
        <f>AE29+AF29+AG29+AH29</f>
        <v>333.25847999999996</v>
      </c>
      <c r="AS29" s="2">
        <v>3999.1</v>
      </c>
      <c r="AT29" s="2">
        <v>101.577</v>
      </c>
      <c r="AU29" s="2">
        <v>6.3117000000000006E-2</v>
      </c>
      <c r="AV29" s="2">
        <v>101577</v>
      </c>
      <c r="AW29" s="2">
        <v>111.086</v>
      </c>
      <c r="AX29" s="2">
        <v>101577038</v>
      </c>
      <c r="AY29" s="2">
        <v>504393830</v>
      </c>
      <c r="AZ29" s="2">
        <v>5043938</v>
      </c>
      <c r="BA29" s="2">
        <v>50439.4</v>
      </c>
      <c r="BB29" s="2">
        <v>504.39400000000001</v>
      </c>
      <c r="BC29" s="2">
        <v>781812</v>
      </c>
      <c r="BD29" s="2">
        <f>(SQRT(((AE29+AF29+AI29)/2)*((AE29+AF29+AI29)/2-AE29)*((AE29+AF29+AI29)/2-AF29)*((AE29+AF29+AI29)/2-AI29)))+(SQRT(((AG29+AH29+AI29)/2)*((AG29+AH29+AI29)/2-AG29)*((AG29+AH29+AI29)/2-AH29)*((AG29+AH29+AI29)/2-AI29)))</f>
        <v>5429.2515216718148</v>
      </c>
      <c r="BE29" s="2">
        <v>5.0439400000000001</v>
      </c>
      <c r="BF29" s="342">
        <v>5.0439400000000002E-2</v>
      </c>
      <c r="BG29" s="42">
        <v>0.124638</v>
      </c>
      <c r="BH29" s="238" t="s">
        <v>5</v>
      </c>
      <c r="BI29" s="251">
        <f t="shared" ref="BI29:BI55" si="2">(100*(H29-AL29))/AL29</f>
        <v>0</v>
      </c>
      <c r="BJ29" s="73">
        <f t="shared" ref="BJ29:BJ55" si="3">(100*(I29-AM29))/AM29</f>
        <v>0</v>
      </c>
      <c r="BK29" s="73">
        <f t="shared" ref="BK29:BK55" si="4">(100*(J29-AN29))/AN29</f>
        <v>0</v>
      </c>
      <c r="BL29" s="73">
        <f t="shared" ref="BL29:BL55" si="5">(100*(K29-AO29))/AO29</f>
        <v>0</v>
      </c>
      <c r="BM29" s="234">
        <f t="shared" ref="BM29:BM55" si="6">(100*(F29-AJ29))/AJ29</f>
        <v>-2.2081686549153951E-5</v>
      </c>
      <c r="BN29" s="238" t="s">
        <v>21</v>
      </c>
      <c r="BO29" s="214">
        <f t="shared" ref="BO29:BO34" si="7">(100*(M29-AQ29))/AQ29</f>
        <v>0</v>
      </c>
      <c r="BP29" s="82">
        <f t="shared" ref="BP29:BP34" si="8">(100*(N29-AR29))/AR29</f>
        <v>-1.4403234389769417E-4</v>
      </c>
      <c r="BQ29" s="82">
        <f t="shared" ref="BQ29:BQ34" si="9">(100*(O29-AS29))/AS29</f>
        <v>0</v>
      </c>
      <c r="BR29" s="82">
        <f t="shared" ref="BR29:BR34" si="10">(100*(P29-AT29))/AT29</f>
        <v>0</v>
      </c>
      <c r="BS29" s="82">
        <f t="shared" ref="BS29:BS34" si="11">(100*(Q29-AU29))/AU29</f>
        <v>1.5843592057448511E-4</v>
      </c>
      <c r="BT29" s="82">
        <f t="shared" ref="BT29:BT34" si="12">(100*(R29-AV29))/AV29</f>
        <v>0</v>
      </c>
      <c r="BU29" s="82">
        <f t="shared" ref="BU29:BU35" si="13">(100*(S29-AW29))/AW29</f>
        <v>0</v>
      </c>
      <c r="BV29" s="82">
        <f t="shared" ref="BV29:BV35" si="14">(100*(T29-AX29))/AX29</f>
        <v>1.4471774615046364E-4</v>
      </c>
      <c r="BW29" s="80">
        <f t="shared" ref="BW29:BW35" si="15">(100*(U29-AY29))/AY29</f>
        <v>2.7954346705628813E-5</v>
      </c>
      <c r="BX29" s="80">
        <f t="shared" ref="BX29:BX35" si="16">(100*(V29-AZ29))/AZ29</f>
        <v>3.9651557969189946E-5</v>
      </c>
      <c r="BY29" s="80">
        <f t="shared" ref="BY29:BY35" si="17">(100*(W29-BA29))/BA29</f>
        <v>0</v>
      </c>
      <c r="BZ29" s="80">
        <f t="shared" ref="BZ29:BZ35" si="18">(100*(X29-BB29))/BB29</f>
        <v>0</v>
      </c>
      <c r="CA29" s="80">
        <f t="shared" ref="CA29:CA35" si="19">(100*(Y29-BC29))/BC29</f>
        <v>0</v>
      </c>
      <c r="CB29" s="80">
        <f t="shared" ref="CB29:CB35" si="20">(100*(Z29-BD29))/BD29</f>
        <v>-2.8027285320955038E-5</v>
      </c>
      <c r="CC29" s="80">
        <f t="shared" ref="CC29:CC35" si="21">(100*(AA29-BE29))/BE29</f>
        <v>0</v>
      </c>
      <c r="CD29" s="80">
        <f t="shared" ref="CD29:CD35" si="22">(100*(AB29-BF29))/BF29</f>
        <v>0</v>
      </c>
      <c r="CE29" s="96">
        <f t="shared" ref="CE29:CE35" si="23">(100*(AC29-BG29))/BG29</f>
        <v>0</v>
      </c>
    </row>
    <row r="30" spans="1:83" x14ac:dyDescent="0.25">
      <c r="A30" s="118">
        <v>50</v>
      </c>
      <c r="B30" s="1">
        <v>80</v>
      </c>
      <c r="C30" s="1">
        <v>93.818330000000003</v>
      </c>
      <c r="D30" s="1">
        <v>60</v>
      </c>
      <c r="E30" s="1">
        <v>52.646380000000001</v>
      </c>
      <c r="F30" s="6">
        <v>104.951969258125</v>
      </c>
      <c r="G30" s="211" t="s">
        <v>8</v>
      </c>
      <c r="H30" s="414">
        <v>40</v>
      </c>
      <c r="I30" s="349">
        <v>73.8</v>
      </c>
      <c r="J30" s="349">
        <v>31.2</v>
      </c>
      <c r="K30" s="415">
        <v>215</v>
      </c>
      <c r="L30" s="211" t="s">
        <v>21</v>
      </c>
      <c r="M30" s="56">
        <v>720.899</v>
      </c>
      <c r="N30" s="1">
        <v>23.651499999999999</v>
      </c>
      <c r="O30" s="1">
        <v>283.81799999999998</v>
      </c>
      <c r="P30" s="1">
        <v>7.20899</v>
      </c>
      <c r="Q30" s="1">
        <v>4.4794600000000002E-3</v>
      </c>
      <c r="R30" s="1">
        <v>7208.99</v>
      </c>
      <c r="S30" s="1">
        <v>7.8838400000000002</v>
      </c>
      <c r="T30" s="1">
        <v>7208986</v>
      </c>
      <c r="U30" s="1">
        <v>1769953</v>
      </c>
      <c r="V30" s="1">
        <v>17699.5</v>
      </c>
      <c r="W30" s="1">
        <v>176.995</v>
      </c>
      <c r="X30" s="1">
        <v>1.7699499999999999</v>
      </c>
      <c r="Y30" s="1">
        <v>2743.43</v>
      </c>
      <c r="Z30" s="1">
        <v>19.051600000000001</v>
      </c>
      <c r="AA30" s="78">
        <v>1.76995E-2</v>
      </c>
      <c r="AB30" s="316">
        <v>1.76995E-4</v>
      </c>
      <c r="AC30" s="578">
        <v>4.37365E-4</v>
      </c>
      <c r="AD30" s="143">
        <v>3</v>
      </c>
      <c r="AE30" s="34">
        <v>50</v>
      </c>
      <c r="AF30" s="2">
        <v>80</v>
      </c>
      <c r="AG30" s="2">
        <v>93.818330000000003</v>
      </c>
      <c r="AH30" s="2">
        <v>60</v>
      </c>
      <c r="AI30" s="2">
        <v>52.646380000000001</v>
      </c>
      <c r="AJ30" s="42">
        <v>104.95191</v>
      </c>
      <c r="AK30" s="19" t="s">
        <v>8</v>
      </c>
      <c r="AL30" s="403">
        <v>40</v>
      </c>
      <c r="AM30" s="307">
        <v>73.8</v>
      </c>
      <c r="AN30" s="307">
        <v>31.2</v>
      </c>
      <c r="AO30" s="404">
        <v>215</v>
      </c>
      <c r="AP30" s="19" t="s">
        <v>21</v>
      </c>
      <c r="AQ30" s="34">
        <v>720.89800000000002</v>
      </c>
      <c r="AR30" s="2">
        <v>23.651499999999999</v>
      </c>
      <c r="AS30" s="2">
        <f>AE30+AF30+AG30+AH30</f>
        <v>283.81833</v>
      </c>
      <c r="AT30" s="2">
        <v>7.2089800000000004</v>
      </c>
      <c r="AU30" s="2">
        <v>4.4794500000000003E-3</v>
      </c>
      <c r="AV30" s="2">
        <v>7208.98</v>
      </c>
      <c r="AW30" s="2">
        <v>7.8838299999999997</v>
      </c>
      <c r="AX30" s="2">
        <v>7208977</v>
      </c>
      <c r="AY30" s="340">
        <v>1769951</v>
      </c>
      <c r="AZ30" s="26">
        <v>17699.5</v>
      </c>
      <c r="BA30" s="2">
        <v>176.995</v>
      </c>
      <c r="BB30" s="2">
        <v>1.7699499999999999</v>
      </c>
      <c r="BC30" s="2">
        <f>(SQRT(((AE30+AF30+AI30)/2)*((AE30+AF30+AI30)/2-AE30)*((AE30+AF30+AI30)/2-AF30)*((AE30+AF30+AI30)/2-AI30)))+(SQRT(((AG30+AH30+AI30)/2)*((AG30+AH30+AI30)/2-AG30)*((AG30+AH30+AI30)/2-AH30)*((AG30+AH30+AI30)/2-AI30)))</f>
        <v>2743.4318711402962</v>
      </c>
      <c r="BD30" s="2">
        <v>19.051600000000001</v>
      </c>
      <c r="BE30" s="342">
        <v>1.76995E-2</v>
      </c>
      <c r="BF30" s="302">
        <v>1.76995E-4</v>
      </c>
      <c r="BG30" s="188">
        <v>4.3736399999999998E-4</v>
      </c>
      <c r="BH30" s="238" t="s">
        <v>8</v>
      </c>
      <c r="BI30" s="251">
        <f t="shared" si="2"/>
        <v>0</v>
      </c>
      <c r="BJ30" s="73">
        <f t="shared" si="3"/>
        <v>0</v>
      </c>
      <c r="BK30" s="73">
        <f t="shared" si="4"/>
        <v>0</v>
      </c>
      <c r="BL30" s="73">
        <f t="shared" si="5"/>
        <v>0</v>
      </c>
      <c r="BM30" s="234">
        <f t="shared" si="6"/>
        <v>5.646216920308314E-5</v>
      </c>
      <c r="BN30" s="238" t="s">
        <v>21</v>
      </c>
      <c r="BO30" s="214">
        <f t="shared" si="7"/>
        <v>1.3871587935829384E-4</v>
      </c>
      <c r="BP30" s="82">
        <f t="shared" si="8"/>
        <v>0</v>
      </c>
      <c r="BQ30" s="82">
        <f t="shared" si="9"/>
        <v>-1.1627156005726669E-4</v>
      </c>
      <c r="BR30" s="82">
        <f t="shared" si="10"/>
        <v>1.3871587935632257E-4</v>
      </c>
      <c r="BS30" s="82">
        <f t="shared" si="11"/>
        <v>2.2324169261718764E-4</v>
      </c>
      <c r="BT30" s="82">
        <f t="shared" si="12"/>
        <v>1.3871587936460192E-4</v>
      </c>
      <c r="BU30" s="82">
        <f t="shared" si="13"/>
        <v>1.2684190299016597E-4</v>
      </c>
      <c r="BV30" s="82">
        <f t="shared" si="14"/>
        <v>1.2484434337909527E-4</v>
      </c>
      <c r="BW30" s="80">
        <f t="shared" si="15"/>
        <v>1.1299747846126814E-4</v>
      </c>
      <c r="BX30" s="80">
        <f t="shared" si="16"/>
        <v>0</v>
      </c>
      <c r="BY30" s="80">
        <f t="shared" si="17"/>
        <v>0</v>
      </c>
      <c r="BZ30" s="80">
        <f t="shared" si="18"/>
        <v>0</v>
      </c>
      <c r="CA30" s="80">
        <f t="shared" si="19"/>
        <v>-6.8204365342543259E-5</v>
      </c>
      <c r="CB30" s="80">
        <f t="shared" si="20"/>
        <v>0</v>
      </c>
      <c r="CC30" s="80">
        <f t="shared" si="21"/>
        <v>0</v>
      </c>
      <c r="CD30" s="80">
        <f t="shared" si="22"/>
        <v>0</v>
      </c>
      <c r="CE30" s="96">
        <f t="shared" si="23"/>
        <v>2.2864250373047284E-4</v>
      </c>
    </row>
    <row r="31" spans="1:83" x14ac:dyDescent="0.25">
      <c r="A31" s="118">
        <v>77</v>
      </c>
      <c r="B31" s="1">
        <v>55</v>
      </c>
      <c r="C31" s="1">
        <v>77</v>
      </c>
      <c r="D31" s="1">
        <v>55</v>
      </c>
      <c r="E31" s="1">
        <v>77.827269999999999</v>
      </c>
      <c r="F31" s="6">
        <v>108.861912735112</v>
      </c>
      <c r="G31" s="211" t="s">
        <v>4</v>
      </c>
      <c r="H31" s="414">
        <v>70</v>
      </c>
      <c r="I31" s="349">
        <v>110</v>
      </c>
      <c r="J31" s="349">
        <v>70</v>
      </c>
      <c r="K31" s="415">
        <v>110</v>
      </c>
      <c r="L31" s="211" t="s">
        <v>21</v>
      </c>
      <c r="M31" s="56">
        <v>26400</v>
      </c>
      <c r="N31" s="1">
        <v>866.14200000000005</v>
      </c>
      <c r="O31" s="1">
        <v>10393.700000000001</v>
      </c>
      <c r="P31" s="1">
        <v>264</v>
      </c>
      <c r="Q31" s="1">
        <v>0.16404199999999999</v>
      </c>
      <c r="R31" s="1">
        <v>264000</v>
      </c>
      <c r="S31" s="1">
        <v>288.714</v>
      </c>
      <c r="T31" s="1">
        <v>264000000</v>
      </c>
      <c r="U31" s="1">
        <v>3979598558</v>
      </c>
      <c r="V31" s="1">
        <v>39795986</v>
      </c>
      <c r="W31" s="1">
        <v>397960</v>
      </c>
      <c r="X31" s="1">
        <v>3979.6</v>
      </c>
      <c r="Y31" s="1">
        <v>6168390</v>
      </c>
      <c r="Z31" s="1">
        <v>42836</v>
      </c>
      <c r="AA31" s="1">
        <v>39.795999999999999</v>
      </c>
      <c r="AB31" s="1">
        <v>0.39795999999999998</v>
      </c>
      <c r="AC31" s="6">
        <v>0.98338000000000003</v>
      </c>
      <c r="AD31" s="143">
        <v>4</v>
      </c>
      <c r="AE31" s="34">
        <v>77</v>
      </c>
      <c r="AF31" s="2">
        <v>55</v>
      </c>
      <c r="AG31" s="2">
        <v>77</v>
      </c>
      <c r="AH31" s="2">
        <v>55</v>
      </c>
      <c r="AI31" s="2">
        <v>77.827269999999999</v>
      </c>
      <c r="AJ31" s="42">
        <v>108.86188</v>
      </c>
      <c r="AK31" s="19" t="s">
        <v>4</v>
      </c>
      <c r="AL31" s="403">
        <v>70</v>
      </c>
      <c r="AM31" s="307">
        <v>110</v>
      </c>
      <c r="AN31" s="307">
        <v>70</v>
      </c>
      <c r="AO31" s="404">
        <v>110</v>
      </c>
      <c r="AP31" s="19" t="s">
        <v>21</v>
      </c>
      <c r="AQ31" s="34">
        <v>26400</v>
      </c>
      <c r="AR31" s="2">
        <v>866.14200000000005</v>
      </c>
      <c r="AS31" s="2">
        <v>10393.700000000001</v>
      </c>
      <c r="AT31" s="29">
        <f>AE31+AF31+AG31+AH31</f>
        <v>264</v>
      </c>
      <c r="AU31" s="2">
        <v>0.16404199999999999</v>
      </c>
      <c r="AV31" s="2">
        <v>264000</v>
      </c>
      <c r="AW31" s="2">
        <v>288.714</v>
      </c>
      <c r="AX31" s="2">
        <v>264000000</v>
      </c>
      <c r="AY31" s="2">
        <v>3979600000</v>
      </c>
      <c r="AZ31" s="2">
        <v>39796000</v>
      </c>
      <c r="BA31" s="2">
        <v>397960</v>
      </c>
      <c r="BB31" s="2">
        <f>(SQRT(((AE31+AF31+AI31)/2)*((AE31+AF31+AI31)/2-AE31)*((AE31+AF31+AI31)/2-AF31)*((AE31+AF31+AI31)/2-AI31)))+(SQRT(((AG31+AH31+AI31)/2)*((AG31+AH31+AI31)/2-AG31)*((AG31+AH31+AI31)/2-AH31)*((AG31+AH31+AI31)/2-AI31)))</f>
        <v>3979.5972607791714</v>
      </c>
      <c r="BC31" s="2">
        <v>6168392</v>
      </c>
      <c r="BD31" s="2">
        <v>42836.1</v>
      </c>
      <c r="BE31" s="2">
        <v>39.795999999999999</v>
      </c>
      <c r="BF31" s="2">
        <v>0.39795999999999998</v>
      </c>
      <c r="BG31" s="42">
        <v>0.98338099999999995</v>
      </c>
      <c r="BH31" s="238" t="s">
        <v>4</v>
      </c>
      <c r="BI31" s="251">
        <f t="shared" si="2"/>
        <v>0</v>
      </c>
      <c r="BJ31" s="73">
        <f t="shared" si="3"/>
        <v>0</v>
      </c>
      <c r="BK31" s="73">
        <f t="shared" si="4"/>
        <v>0</v>
      </c>
      <c r="BL31" s="73">
        <f t="shared" si="5"/>
        <v>0</v>
      </c>
      <c r="BM31" s="234">
        <f t="shared" si="6"/>
        <v>3.0070316625651647E-5</v>
      </c>
      <c r="BN31" s="238" t="s">
        <v>21</v>
      </c>
      <c r="BO31" s="214">
        <f t="shared" si="7"/>
        <v>0</v>
      </c>
      <c r="BP31" s="82">
        <f t="shared" si="8"/>
        <v>0</v>
      </c>
      <c r="BQ31" s="82">
        <f t="shared" si="9"/>
        <v>0</v>
      </c>
      <c r="BR31" s="82">
        <f t="shared" si="10"/>
        <v>0</v>
      </c>
      <c r="BS31" s="82">
        <f t="shared" si="11"/>
        <v>0</v>
      </c>
      <c r="BT31" s="82">
        <f t="shared" si="12"/>
        <v>0</v>
      </c>
      <c r="BU31" s="82">
        <f t="shared" si="13"/>
        <v>0</v>
      </c>
      <c r="BV31" s="82">
        <f t="shared" si="14"/>
        <v>0</v>
      </c>
      <c r="BW31" s="80">
        <f t="shared" si="15"/>
        <v>-3.6234797467082122E-5</v>
      </c>
      <c r="BX31" s="80">
        <f t="shared" si="16"/>
        <v>-3.5179415016584578E-5</v>
      </c>
      <c r="BY31" s="80">
        <f t="shared" si="17"/>
        <v>0</v>
      </c>
      <c r="BZ31" s="80">
        <f t="shared" si="18"/>
        <v>6.8831609055336742E-5</v>
      </c>
      <c r="CA31" s="80">
        <f t="shared" si="19"/>
        <v>-3.2423360901836327E-5</v>
      </c>
      <c r="CB31" s="80">
        <f t="shared" si="20"/>
        <v>-2.3344795627646965E-4</v>
      </c>
      <c r="CC31" s="80">
        <f t="shared" si="21"/>
        <v>0</v>
      </c>
      <c r="CD31" s="80">
        <f t="shared" si="22"/>
        <v>0</v>
      </c>
      <c r="CE31" s="96">
        <f t="shared" si="23"/>
        <v>-1.0168998586689528E-4</v>
      </c>
    </row>
    <row r="32" spans="1:83" x14ac:dyDescent="0.25">
      <c r="A32" s="118">
        <v>50</v>
      </c>
      <c r="B32" s="1">
        <v>100</v>
      </c>
      <c r="C32" s="1">
        <v>99.435670000000002</v>
      </c>
      <c r="D32" s="1">
        <v>40</v>
      </c>
      <c r="E32" s="1">
        <v>61.96566</v>
      </c>
      <c r="F32" s="6">
        <v>58.355792267544501</v>
      </c>
      <c r="G32" s="211" t="s">
        <v>10</v>
      </c>
      <c r="H32" s="414">
        <v>30</v>
      </c>
      <c r="I32" s="349">
        <v>34.03</v>
      </c>
      <c r="J32" s="349">
        <v>15.97</v>
      </c>
      <c r="K32" s="415">
        <v>280</v>
      </c>
      <c r="L32" s="211" t="s">
        <v>21</v>
      </c>
      <c r="M32" s="575">
        <v>46580156</v>
      </c>
      <c r="N32" s="1">
        <v>1528220</v>
      </c>
      <c r="O32" s="1">
        <v>18338644</v>
      </c>
      <c r="P32" s="1">
        <v>465802</v>
      </c>
      <c r="Q32" s="1">
        <v>289.43599999999998</v>
      </c>
      <c r="R32" s="1">
        <v>465801559</v>
      </c>
      <c r="S32" s="1">
        <v>509407</v>
      </c>
      <c r="T32" s="59">
        <v>465801558900</v>
      </c>
      <c r="U32" s="59">
        <v>4654928993145470</v>
      </c>
      <c r="V32" s="59">
        <v>46549289931455</v>
      </c>
      <c r="W32" s="59">
        <v>465492899315</v>
      </c>
      <c r="X32" s="1">
        <v>4654928993</v>
      </c>
      <c r="Y32" s="59">
        <v>7215154369684</v>
      </c>
      <c r="Z32" s="1">
        <v>50105238678</v>
      </c>
      <c r="AA32" s="1">
        <v>46549290</v>
      </c>
      <c r="AB32" s="1">
        <v>465493</v>
      </c>
      <c r="AC32" s="6">
        <v>1150258</v>
      </c>
      <c r="AD32" s="143">
        <v>5</v>
      </c>
      <c r="AE32" s="34">
        <v>50</v>
      </c>
      <c r="AF32" s="2">
        <v>100</v>
      </c>
      <c r="AG32" s="2">
        <v>99.435670000000002</v>
      </c>
      <c r="AH32" s="2">
        <v>40</v>
      </c>
      <c r="AI32" s="2">
        <v>61.96566</v>
      </c>
      <c r="AJ32" s="42">
        <v>58.355899999999998</v>
      </c>
      <c r="AK32" s="19" t="s">
        <v>10</v>
      </c>
      <c r="AL32" s="403">
        <v>30</v>
      </c>
      <c r="AM32" s="307">
        <v>34.03</v>
      </c>
      <c r="AN32" s="307">
        <v>15.97</v>
      </c>
      <c r="AO32" s="404">
        <v>280</v>
      </c>
      <c r="AP32" s="19" t="s">
        <v>21</v>
      </c>
      <c r="AQ32" s="34">
        <v>46580209</v>
      </c>
      <c r="AR32" s="2">
        <v>1528222</v>
      </c>
      <c r="AS32" s="2">
        <v>18338665</v>
      </c>
      <c r="AT32" s="2">
        <v>465802</v>
      </c>
      <c r="AU32" s="2">
        <f>AE32+AF32+AG32+AH32</f>
        <v>289.43567000000002</v>
      </c>
      <c r="AV32" s="2">
        <v>465802090</v>
      </c>
      <c r="AW32" s="2">
        <v>509407</v>
      </c>
      <c r="AX32" s="29">
        <v>465802089984</v>
      </c>
      <c r="AY32" s="29">
        <v>4654928993000000</v>
      </c>
      <c r="AZ32" s="29">
        <v>46549289930000</v>
      </c>
      <c r="BA32" s="29">
        <v>465492899300</v>
      </c>
      <c r="BB32" s="2">
        <f>((SQRT(((AE32+AF32+AI32)/2)*((AE32+AF32+AI32)/2-AE32)*((AE32+AF32+AI32)/2-AF32)*((AE32+AF32+AI32)/2-AI32)))+(SQRT(((AG32+AH32+AI32)/2)*((AG32+AH32+AI32)/2-AG32)*((AG32+AH32+AI32)/2-AH32)*((AG32+AH32+AI32)/2-AI32))))*1609.344*1609.344</f>
        <v>4654928993.1454678</v>
      </c>
      <c r="BC32" s="29">
        <v>7215154369459</v>
      </c>
      <c r="BD32" s="2">
        <v>50105238677</v>
      </c>
      <c r="BE32" s="2">
        <v>46549290</v>
      </c>
      <c r="BF32" s="2">
        <v>465493</v>
      </c>
      <c r="BG32" s="42">
        <v>1150258</v>
      </c>
      <c r="BH32" s="238" t="s">
        <v>10</v>
      </c>
      <c r="BI32" s="251">
        <f t="shared" si="2"/>
        <v>0</v>
      </c>
      <c r="BJ32" s="73">
        <f t="shared" si="3"/>
        <v>0</v>
      </c>
      <c r="BK32" s="73">
        <f t="shared" si="4"/>
        <v>0</v>
      </c>
      <c r="BL32" s="73">
        <f t="shared" si="5"/>
        <v>0</v>
      </c>
      <c r="BM32" s="234">
        <f t="shared" si="6"/>
        <v>-1.8461279064670497E-4</v>
      </c>
      <c r="BN32" s="238" t="s">
        <v>21</v>
      </c>
      <c r="BO32" s="214">
        <f t="shared" si="7"/>
        <v>-1.1378222884315526E-4</v>
      </c>
      <c r="BP32" s="82">
        <f t="shared" si="8"/>
        <v>-1.3087103837007975E-4</v>
      </c>
      <c r="BQ32" s="82">
        <f t="shared" si="9"/>
        <v>-1.14512152329518E-4</v>
      </c>
      <c r="BR32" s="82">
        <f t="shared" si="10"/>
        <v>0</v>
      </c>
      <c r="BS32" s="82">
        <f t="shared" si="11"/>
        <v>1.1401497264060022E-4</v>
      </c>
      <c r="BT32" s="82">
        <f t="shared" si="12"/>
        <v>-1.1399691229380271E-4</v>
      </c>
      <c r="BU32" s="82">
        <f t="shared" si="13"/>
        <v>0</v>
      </c>
      <c r="BV32" s="82">
        <f t="shared" si="14"/>
        <v>-1.1401494570757345E-4</v>
      </c>
      <c r="BW32" s="80">
        <f t="shared" si="15"/>
        <v>3.1250745224847729E-9</v>
      </c>
      <c r="BX32" s="80">
        <f t="shared" si="16"/>
        <v>3.1257190006292325E-9</v>
      </c>
      <c r="BY32" s="80">
        <f t="shared" si="17"/>
        <v>3.2223907222981778E-9</v>
      </c>
      <c r="BZ32" s="80">
        <f t="shared" si="18"/>
        <v>-3.1250263622262956E-9</v>
      </c>
      <c r="CA32" s="80">
        <f t="shared" si="19"/>
        <v>3.1184363975967259E-9</v>
      </c>
      <c r="CB32" s="80">
        <f t="shared" si="20"/>
        <v>1.9957992944538829E-9</v>
      </c>
      <c r="CC32" s="80">
        <f t="shared" si="21"/>
        <v>0</v>
      </c>
      <c r="CD32" s="80">
        <f t="shared" si="22"/>
        <v>0</v>
      </c>
      <c r="CE32" s="96">
        <f t="shared" si="23"/>
        <v>0</v>
      </c>
    </row>
    <row r="33" spans="1:83" x14ac:dyDescent="0.25">
      <c r="A33" s="118">
        <v>149.71458999999999</v>
      </c>
      <c r="B33" s="1">
        <v>65</v>
      </c>
      <c r="C33" s="1">
        <v>72</v>
      </c>
      <c r="D33" s="1">
        <v>45</v>
      </c>
      <c r="E33" s="1">
        <v>110.33123000000001</v>
      </c>
      <c r="F33" s="6">
        <v>124.199335151626</v>
      </c>
      <c r="G33" s="211" t="s">
        <v>6</v>
      </c>
      <c r="H33" s="414">
        <v>41.99</v>
      </c>
      <c r="I33" s="349">
        <v>130</v>
      </c>
      <c r="J33" s="349">
        <v>140</v>
      </c>
      <c r="K33" s="415">
        <v>48.01</v>
      </c>
      <c r="L33" s="211" t="s">
        <v>21</v>
      </c>
      <c r="M33" s="56">
        <v>33.171500000000002</v>
      </c>
      <c r="N33" s="1">
        <v>1.0883</v>
      </c>
      <c r="O33" s="1">
        <v>13.0596</v>
      </c>
      <c r="P33" s="1">
        <v>0.33171499999999998</v>
      </c>
      <c r="Q33" s="316">
        <v>2.0611800000000001E-4</v>
      </c>
      <c r="R33" s="1">
        <v>331.71499999999997</v>
      </c>
      <c r="S33" s="1">
        <v>0.36276700000000001</v>
      </c>
      <c r="T33" s="1">
        <v>331715</v>
      </c>
      <c r="U33" s="348">
        <v>4296.3599999999997</v>
      </c>
      <c r="V33" s="78">
        <v>42.9636</v>
      </c>
      <c r="W33" s="78">
        <v>0.42963600000000002</v>
      </c>
      <c r="X33" s="326">
        <v>4.2963599999999999E-3</v>
      </c>
      <c r="Y33" s="78">
        <v>6.65937</v>
      </c>
      <c r="Z33" s="78">
        <v>4.6245599999999998E-2</v>
      </c>
      <c r="AA33" s="49">
        <v>4.2963598561946402E-5</v>
      </c>
      <c r="AB33" s="58">
        <v>4.2963598561946402E-7</v>
      </c>
      <c r="AC33" s="579">
        <v>1.06165364118519E-6</v>
      </c>
      <c r="AD33" s="143">
        <v>6</v>
      </c>
      <c r="AE33" s="34">
        <v>149.71458999999999</v>
      </c>
      <c r="AF33" s="2">
        <v>65</v>
      </c>
      <c r="AG33" s="2">
        <v>72</v>
      </c>
      <c r="AH33" s="2">
        <v>45</v>
      </c>
      <c r="AI33" s="2">
        <v>110.33123000000001</v>
      </c>
      <c r="AJ33" s="42">
        <v>124.19946</v>
      </c>
      <c r="AK33" s="19" t="s">
        <v>6</v>
      </c>
      <c r="AL33" s="403">
        <v>41.99</v>
      </c>
      <c r="AM33" s="307">
        <v>130</v>
      </c>
      <c r="AN33" s="307">
        <v>140</v>
      </c>
      <c r="AO33" s="404">
        <v>48.012099999999997</v>
      </c>
      <c r="AP33" s="19" t="s">
        <v>21</v>
      </c>
      <c r="AQ33" s="34">
        <v>33.171500000000002</v>
      </c>
      <c r="AR33" s="2">
        <v>1.0883</v>
      </c>
      <c r="AS33" s="2">
        <v>13.0596</v>
      </c>
      <c r="AT33" s="2">
        <v>0.33171499999999998</v>
      </c>
      <c r="AU33" s="302">
        <v>2.0611800000000001E-4</v>
      </c>
      <c r="AV33" s="2">
        <f>AE33+AF33+AG33+AH33</f>
        <v>331.71458999999999</v>
      </c>
      <c r="AW33" s="2">
        <v>0.36276799999999998</v>
      </c>
      <c r="AX33" s="2">
        <v>331715</v>
      </c>
      <c r="AY33" s="2">
        <f>(SQRT(((AE33+AF33+AI33)/2)*((AE33+AF33+AI33)/2-AE33)*((AE33+AF33+AI33)/2-AF33)*((AE33+AF33+AI33)/2-AI33)))+(SQRT(((AG33+AH33+AI33)/2)*((AG33+AH33+AI33)/2-AG33)*((AG33+AH33+AI33)/2-AH33)*((AG33+AH33+AI33)/2-AI33)))</f>
        <v>4296.3598561946383</v>
      </c>
      <c r="AZ33" s="2">
        <v>42.9636</v>
      </c>
      <c r="BA33" s="2">
        <v>0.42963600000000002</v>
      </c>
      <c r="BB33" s="309">
        <v>4.2963599999999999E-3</v>
      </c>
      <c r="BC33" s="2">
        <v>6.65937</v>
      </c>
      <c r="BD33" s="342">
        <v>4.6245599999999998E-2</v>
      </c>
      <c r="BE33" s="323">
        <v>4.2963600000000003E-5</v>
      </c>
      <c r="BF33" s="360">
        <v>4.2963600000000002E-7</v>
      </c>
      <c r="BG33" s="43">
        <v>1.06165367672027E-6</v>
      </c>
      <c r="BH33" s="238" t="s">
        <v>6</v>
      </c>
      <c r="BI33" s="251">
        <f t="shared" si="2"/>
        <v>0</v>
      </c>
      <c r="BJ33" s="73">
        <f t="shared" si="3"/>
        <v>0</v>
      </c>
      <c r="BK33" s="73">
        <f t="shared" si="4"/>
        <v>0</v>
      </c>
      <c r="BL33" s="73">
        <f t="shared" si="5"/>
        <v>-4.3738974133575885E-3</v>
      </c>
      <c r="BM33" s="234">
        <f t="shared" si="6"/>
        <v>-1.0052247731186017E-4</v>
      </c>
      <c r="BN33" s="238" t="s">
        <v>21</v>
      </c>
      <c r="BO33" s="214">
        <f t="shared" si="7"/>
        <v>0</v>
      </c>
      <c r="BP33" s="82">
        <f t="shared" si="8"/>
        <v>0</v>
      </c>
      <c r="BQ33" s="82">
        <f t="shared" si="9"/>
        <v>0</v>
      </c>
      <c r="BR33" s="82">
        <f t="shared" si="10"/>
        <v>0</v>
      </c>
      <c r="BS33" s="82">
        <f t="shared" si="11"/>
        <v>0</v>
      </c>
      <c r="BT33" s="82">
        <f t="shared" si="12"/>
        <v>1.2360023114691188E-4</v>
      </c>
      <c r="BU33" s="82">
        <f t="shared" si="13"/>
        <v>-2.7565827194604942E-4</v>
      </c>
      <c r="BV33" s="82">
        <f t="shared" si="14"/>
        <v>0</v>
      </c>
      <c r="BW33" s="80">
        <f t="shared" si="15"/>
        <v>3.3471442387780703E-6</v>
      </c>
      <c r="BX33" s="80">
        <f t="shared" si="16"/>
        <v>0</v>
      </c>
      <c r="BY33" s="80">
        <f t="shared" si="17"/>
        <v>0</v>
      </c>
      <c r="BZ33" s="80">
        <f t="shared" si="18"/>
        <v>0</v>
      </c>
      <c r="CA33" s="80">
        <f t="shared" si="19"/>
        <v>0</v>
      </c>
      <c r="CB33" s="80">
        <f t="shared" si="20"/>
        <v>0</v>
      </c>
      <c r="CC33" s="80">
        <f t="shared" si="21"/>
        <v>-3.3471440974169569E-6</v>
      </c>
      <c r="CD33" s="80">
        <f t="shared" si="22"/>
        <v>-3.347144095938322E-6</v>
      </c>
      <c r="CE33" s="96">
        <f t="shared" si="23"/>
        <v>-3.3471442552719656E-6</v>
      </c>
    </row>
    <row r="34" spans="1:83" x14ac:dyDescent="0.25">
      <c r="A34" s="118">
        <v>25</v>
      </c>
      <c r="B34" s="1">
        <v>88.358009999999993</v>
      </c>
      <c r="C34" s="1">
        <v>95.000399999999999</v>
      </c>
      <c r="D34" s="1">
        <v>35</v>
      </c>
      <c r="E34" s="1">
        <v>86.252989999999997</v>
      </c>
      <c r="F34" s="241">
        <v>59.999999998675698</v>
      </c>
      <c r="G34" s="211" t="s">
        <v>7</v>
      </c>
      <c r="H34" s="414">
        <v>77.02</v>
      </c>
      <c r="I34" s="349">
        <v>37.979999999999997</v>
      </c>
      <c r="J34" s="349">
        <v>65</v>
      </c>
      <c r="K34" s="415">
        <v>180</v>
      </c>
      <c r="L34" s="211" t="s">
        <v>21</v>
      </c>
      <c r="M34" s="56">
        <v>22252.7</v>
      </c>
      <c r="N34" s="1">
        <v>730.07500000000005</v>
      </c>
      <c r="O34" s="1">
        <v>8760.9</v>
      </c>
      <c r="P34" s="1">
        <v>222.52699999999999</v>
      </c>
      <c r="Q34" s="1">
        <v>0.13827200000000001</v>
      </c>
      <c r="R34" s="1">
        <v>222527</v>
      </c>
      <c r="S34" s="1">
        <v>243.358</v>
      </c>
      <c r="T34" s="1">
        <v>222526930</v>
      </c>
      <c r="U34" s="1">
        <v>2159695281</v>
      </c>
      <c r="V34" s="1">
        <v>21596953</v>
      </c>
      <c r="W34" s="1">
        <v>215970</v>
      </c>
      <c r="X34" s="1">
        <v>2159.6999999999998</v>
      </c>
      <c r="Y34" s="1">
        <v>3347534</v>
      </c>
      <c r="Z34" s="1">
        <v>23246.799999999999</v>
      </c>
      <c r="AA34" s="1">
        <v>21.597000000000001</v>
      </c>
      <c r="AB34" s="1">
        <v>0.21597</v>
      </c>
      <c r="AC34" s="6">
        <v>0.53367200000000004</v>
      </c>
      <c r="AD34" s="143">
        <v>7</v>
      </c>
      <c r="AE34" s="34">
        <v>25</v>
      </c>
      <c r="AF34" s="2">
        <v>88.358009999999993</v>
      </c>
      <c r="AG34" s="2">
        <v>95.000399999999999</v>
      </c>
      <c r="AH34" s="2">
        <v>35</v>
      </c>
      <c r="AI34" s="2">
        <v>86.252989999999997</v>
      </c>
      <c r="AJ34" s="42">
        <v>60</v>
      </c>
      <c r="AK34" s="19" t="s">
        <v>7</v>
      </c>
      <c r="AL34" s="403">
        <v>77.016599999999997</v>
      </c>
      <c r="AM34" s="307">
        <v>37.979999999999997</v>
      </c>
      <c r="AN34" s="307">
        <v>65</v>
      </c>
      <c r="AO34" s="404">
        <v>180</v>
      </c>
      <c r="AP34" s="19" t="s">
        <v>21</v>
      </c>
      <c r="AQ34" s="34">
        <v>22252.7</v>
      </c>
      <c r="AR34" s="2">
        <v>730.07399999999996</v>
      </c>
      <c r="AS34" s="2">
        <v>8760.89</v>
      </c>
      <c r="AT34" s="2">
        <v>222.52699999999999</v>
      </c>
      <c r="AU34" s="2">
        <v>0.13827200000000001</v>
      </c>
      <c r="AV34" s="2">
        <v>222527</v>
      </c>
      <c r="AW34" s="2">
        <f>AE34+AF34+AG34+AH34</f>
        <v>243.35840999999999</v>
      </c>
      <c r="AX34" s="2">
        <v>222526555</v>
      </c>
      <c r="AY34" s="2">
        <v>2159700000</v>
      </c>
      <c r="AZ34" s="2">
        <v>21597000</v>
      </c>
      <c r="BA34" s="2">
        <v>215970</v>
      </c>
      <c r="BB34" s="2">
        <f>((SQRT(((AE34+AF34+AI34)/2)*((AE34+AF34+AI34)/2-AE34)*((AE34+AF34+AI34)/2-AF34)*((AE34+AF34+AI34)/2-AI34)))+(SQRT(((AG34+AH34+AI34)/2)*((AG34+AH34+AI34)/2-AG34)*((AG34+AH34+AI34)/2-AH34)*((AG34+AH34+AI34)/2-AI34))))*0.9144*0.9144</f>
        <v>2159.6952808538053</v>
      </c>
      <c r="BC34" s="2">
        <v>3347542</v>
      </c>
      <c r="BD34" s="2">
        <v>23246.799999999999</v>
      </c>
      <c r="BE34" s="2">
        <v>21.597000000000001</v>
      </c>
      <c r="BF34" s="2">
        <v>0.21597</v>
      </c>
      <c r="BG34" s="42">
        <v>0.53367299999999995</v>
      </c>
      <c r="BH34" s="238" t="s">
        <v>7</v>
      </c>
      <c r="BI34" s="251">
        <f t="shared" si="2"/>
        <v>4.4146326895749509E-3</v>
      </c>
      <c r="BJ34" s="73">
        <f t="shared" si="3"/>
        <v>0</v>
      </c>
      <c r="BK34" s="73">
        <f t="shared" si="4"/>
        <v>0</v>
      </c>
      <c r="BL34" s="73">
        <f t="shared" si="5"/>
        <v>0</v>
      </c>
      <c r="BM34" s="234">
        <f t="shared" si="6"/>
        <v>-2.2071707424705287E-9</v>
      </c>
      <c r="BN34" s="238" t="s">
        <v>21</v>
      </c>
      <c r="BO34" s="214">
        <f t="shared" si="7"/>
        <v>0</v>
      </c>
      <c r="BP34" s="82">
        <f t="shared" si="8"/>
        <v>1.3697241650709928E-4</v>
      </c>
      <c r="BQ34" s="82">
        <f t="shared" si="9"/>
        <v>1.1414365435724315E-4</v>
      </c>
      <c r="BR34" s="82">
        <f t="shared" si="10"/>
        <v>0</v>
      </c>
      <c r="BS34" s="82">
        <f t="shared" si="11"/>
        <v>0</v>
      </c>
      <c r="BT34" s="82">
        <f t="shared" si="12"/>
        <v>0</v>
      </c>
      <c r="BU34" s="82">
        <f t="shared" si="13"/>
        <v>-1.6847578844225315E-4</v>
      </c>
      <c r="BV34" s="82">
        <f t="shared" si="14"/>
        <v>1.6851921335860344E-4</v>
      </c>
      <c r="BW34" s="80">
        <f t="shared" si="15"/>
        <v>-2.1850256980136129E-4</v>
      </c>
      <c r="BX34" s="80">
        <f t="shared" si="16"/>
        <v>-2.1762281798397927E-4</v>
      </c>
      <c r="BY34" s="80">
        <f t="shared" si="17"/>
        <v>0</v>
      </c>
      <c r="BZ34" s="80">
        <f t="shared" si="18"/>
        <v>2.1850981646861031E-4</v>
      </c>
      <c r="CA34" s="80">
        <f t="shared" si="19"/>
        <v>-2.3898131823290043E-4</v>
      </c>
      <c r="CB34" s="80">
        <f t="shared" si="20"/>
        <v>0</v>
      </c>
      <c r="CC34" s="80">
        <f t="shared" si="21"/>
        <v>0</v>
      </c>
      <c r="CD34" s="80">
        <f t="shared" si="22"/>
        <v>0</v>
      </c>
      <c r="CE34" s="96">
        <f t="shared" si="23"/>
        <v>-1.8738066192551121E-4</v>
      </c>
    </row>
    <row r="35" spans="1:83" x14ac:dyDescent="0.25">
      <c r="A35" s="118">
        <v>111</v>
      </c>
      <c r="B35" s="1">
        <v>55</v>
      </c>
      <c r="C35" s="1">
        <v>56</v>
      </c>
      <c r="D35" s="1">
        <v>77.781739999999999</v>
      </c>
      <c r="E35" s="1">
        <v>123.87897</v>
      </c>
      <c r="F35" s="6">
        <v>78.492036979343695</v>
      </c>
      <c r="G35" s="211" t="s">
        <v>20</v>
      </c>
      <c r="H35" s="414">
        <v>90</v>
      </c>
      <c r="I35" s="349">
        <v>90</v>
      </c>
      <c r="J35" s="349">
        <v>135</v>
      </c>
      <c r="K35" s="415">
        <v>45</v>
      </c>
      <c r="L35" s="211" t="s">
        <v>21</v>
      </c>
      <c r="M35" s="56">
        <v>2.99782E-2</v>
      </c>
      <c r="N35" s="316">
        <v>9.8353599999999992E-4</v>
      </c>
      <c r="O35" s="1">
        <v>1.1802399999999999E-2</v>
      </c>
      <c r="P35" s="316">
        <v>2.9978200000000001E-4</v>
      </c>
      <c r="Q35" s="58">
        <v>1.8627573719478199E-7</v>
      </c>
      <c r="R35" s="315">
        <v>0.29978199999999999</v>
      </c>
      <c r="S35" s="316">
        <v>3.27845E-4</v>
      </c>
      <c r="T35" s="1">
        <v>299.78199999999998</v>
      </c>
      <c r="U35" s="78">
        <v>4.5925000000000002E-3</v>
      </c>
      <c r="V35" s="49">
        <v>4.5924997324550299E-5</v>
      </c>
      <c r="W35" s="58">
        <v>4.5924997324550302E-7</v>
      </c>
      <c r="X35" s="447">
        <v>4.5924997324550297E-9</v>
      </c>
      <c r="Y35" s="50">
        <v>7.1183888220829497E-6</v>
      </c>
      <c r="Z35" s="51">
        <v>4.9433255708909298E-8</v>
      </c>
      <c r="AA35" s="525">
        <v>4.5924997324550301E-11</v>
      </c>
      <c r="AB35" s="525">
        <v>4.5924997324550304E-13</v>
      </c>
      <c r="AC35" s="580">
        <v>1.13483139827616E-12</v>
      </c>
      <c r="AD35" s="143">
        <v>8</v>
      </c>
      <c r="AE35" s="34">
        <v>111</v>
      </c>
      <c r="AF35" s="2">
        <v>55</v>
      </c>
      <c r="AG35" s="2">
        <v>56</v>
      </c>
      <c r="AH35" s="2">
        <v>77.781739999999999</v>
      </c>
      <c r="AI35" s="2">
        <v>123.87897</v>
      </c>
      <c r="AJ35" s="42">
        <v>78.492040000000003</v>
      </c>
      <c r="AK35" s="19" t="s">
        <v>20</v>
      </c>
      <c r="AL35" s="403">
        <v>90</v>
      </c>
      <c r="AM35" s="307">
        <v>90</v>
      </c>
      <c r="AN35" s="307">
        <v>135</v>
      </c>
      <c r="AO35" s="404">
        <v>45</v>
      </c>
      <c r="AP35" s="19" t="s">
        <v>21</v>
      </c>
      <c r="AQ35" s="34">
        <v>2.99782E-2</v>
      </c>
      <c r="AR35" s="302">
        <v>9.8353700000000004E-4</v>
      </c>
      <c r="AS35" s="2">
        <v>1.1802399999999999E-2</v>
      </c>
      <c r="AT35" s="302">
        <v>2.9978200000000001E-4</v>
      </c>
      <c r="AU35" s="526">
        <v>1.8627589875129201E-7</v>
      </c>
      <c r="AV35" s="2">
        <v>0.29978199999999999</v>
      </c>
      <c r="AW35" s="302">
        <v>3.2784600000000002E-4</v>
      </c>
      <c r="AX35" s="2">
        <f>AE35+AF35+AG35+AH35</f>
        <v>299.78174000000001</v>
      </c>
      <c r="AY35" s="2">
        <f>((SQRT(((AE35+AF35+AI35)/2)*((AE35+AF35+AI35)/2-AE35)*((AE35+AF35+AI35)/2-AF35)*((AE35+AF35+AI35)/2-AI35)))+(SQRT(((AG35+AH35+AI35)/2)*((AG35+AH35+AI35)/2-AG35)*((AG35+AH35+AI35)/2-AH35)*((AG35+AH35+AI35)/2-AI35))))/1000/1000</f>
        <v>4.5924997324550331E-3</v>
      </c>
      <c r="AZ35" s="302">
        <v>4.5924999999999998E-5</v>
      </c>
      <c r="BA35" s="23">
        <v>4.5924999999999999E-7</v>
      </c>
      <c r="BB35" s="31">
        <v>4.5924999999999996E-9</v>
      </c>
      <c r="BC35" s="33">
        <v>7.1183892367784697E-6</v>
      </c>
      <c r="BD35" s="527">
        <v>4.9433258588739401E-8</v>
      </c>
      <c r="BE35" s="32">
        <v>4.5924999999999999E-11</v>
      </c>
      <c r="BF35" s="528">
        <v>4.5924999999999999E-13</v>
      </c>
      <c r="BG35" s="591">
        <v>1.1348314643879599E-12</v>
      </c>
      <c r="BH35" s="238" t="s">
        <v>20</v>
      </c>
      <c r="BI35" s="251">
        <f t="shared" si="2"/>
        <v>0</v>
      </c>
      <c r="BJ35" s="73">
        <f t="shared" si="3"/>
        <v>0</v>
      </c>
      <c r="BK35" s="73">
        <f t="shared" si="4"/>
        <v>0</v>
      </c>
      <c r="BL35" s="73">
        <f t="shared" si="5"/>
        <v>0</v>
      </c>
      <c r="BM35" s="234">
        <f t="shared" si="6"/>
        <v>-3.8483600479675419E-6</v>
      </c>
      <c r="BN35" s="238" t="s">
        <v>21</v>
      </c>
      <c r="BO35" s="214">
        <f t="shared" ref="BO35:BT41" si="24">(100*(M35-AQ35))/AQ35</f>
        <v>0</v>
      </c>
      <c r="BP35" s="82">
        <f t="shared" si="24"/>
        <v>-1.0167385671552422E-4</v>
      </c>
      <c r="BQ35" s="82">
        <f t="shared" si="24"/>
        <v>0</v>
      </c>
      <c r="BR35" s="82">
        <f t="shared" si="24"/>
        <v>0</v>
      </c>
      <c r="BS35" s="82">
        <f t="shared" si="24"/>
        <v>-8.6729690261241505E-5</v>
      </c>
      <c r="BT35" s="82">
        <f t="shared" si="24"/>
        <v>0</v>
      </c>
      <c r="BU35" s="82">
        <f t="shared" si="13"/>
        <v>-3.0502125998662337E-4</v>
      </c>
      <c r="BV35" s="82">
        <f t="shared" si="14"/>
        <v>8.6729765451638478E-5</v>
      </c>
      <c r="BW35" s="80">
        <f t="shared" si="15"/>
        <v>5.8256936890569099E-6</v>
      </c>
      <c r="BX35" s="80">
        <f t="shared" si="16"/>
        <v>-5.8256934104607279E-6</v>
      </c>
      <c r="BY35" s="80">
        <f t="shared" si="17"/>
        <v>-5.8256934063108662E-6</v>
      </c>
      <c r="BZ35" s="80">
        <f t="shared" si="18"/>
        <v>-5.8256934106336395E-6</v>
      </c>
      <c r="CA35" s="80">
        <f t="shared" si="19"/>
        <v>-5.8256932313519486E-6</v>
      </c>
      <c r="CB35" s="80">
        <f t="shared" si="20"/>
        <v>-5.8256934410757351E-6</v>
      </c>
      <c r="CC35" s="80">
        <f t="shared" si="21"/>
        <v>-5.8256934083821946E-6</v>
      </c>
      <c r="CD35" s="80">
        <f t="shared" si="22"/>
        <v>-5.8256934013464315E-6</v>
      </c>
      <c r="CE35" s="96">
        <f t="shared" si="23"/>
        <v>-5.8256932454695459E-6</v>
      </c>
    </row>
    <row r="36" spans="1:83" x14ac:dyDescent="0.25">
      <c r="A36" s="118">
        <v>67.5</v>
      </c>
      <c r="B36" s="1">
        <v>73.280150000000006</v>
      </c>
      <c r="C36" s="1">
        <v>117.44826999999999</v>
      </c>
      <c r="D36" s="1">
        <v>108</v>
      </c>
      <c r="E36" s="1">
        <v>135.58026000000001</v>
      </c>
      <c r="F36" s="6">
        <v>71.072447849359506</v>
      </c>
      <c r="G36" s="211" t="s">
        <v>9</v>
      </c>
      <c r="H36" s="406">
        <v>211.27</v>
      </c>
      <c r="I36" s="347">
        <v>34.93</v>
      </c>
      <c r="J36" s="347">
        <v>73.8</v>
      </c>
      <c r="K36" s="407">
        <v>40</v>
      </c>
      <c r="L36" s="211" t="s">
        <v>21</v>
      </c>
      <c r="M36" s="56">
        <v>366.22800000000001</v>
      </c>
      <c r="N36" s="316">
        <v>12.0154</v>
      </c>
      <c r="O36" s="1">
        <v>144.184</v>
      </c>
      <c r="P36" s="348">
        <v>3.66228</v>
      </c>
      <c r="Q36" s="326">
        <v>2.2756400000000002E-3</v>
      </c>
      <c r="R36" s="315">
        <v>3662.28</v>
      </c>
      <c r="S36" s="316">
        <v>4.0051199999999998</v>
      </c>
      <c r="T36" s="1">
        <v>3662284</v>
      </c>
      <c r="U36" s="59">
        <v>480676</v>
      </c>
      <c r="V36" s="347">
        <v>4806.76</v>
      </c>
      <c r="W36" s="347">
        <v>48.067599999999999</v>
      </c>
      <c r="X36" s="315">
        <v>0.48067599999999999</v>
      </c>
      <c r="Y36" s="349">
        <v>745.04899999999998</v>
      </c>
      <c r="Z36" s="348">
        <v>5.1739499999999996</v>
      </c>
      <c r="AA36" s="326">
        <v>4.8067600000000002E-3</v>
      </c>
      <c r="AB36" s="49">
        <v>4.8067581387101499E-5</v>
      </c>
      <c r="AC36" s="578">
        <v>1.1877799999999999E-4</v>
      </c>
      <c r="AD36" s="143">
        <v>9</v>
      </c>
      <c r="AE36" s="34">
        <v>67.5</v>
      </c>
      <c r="AF36" s="2">
        <v>73.280150000000006</v>
      </c>
      <c r="AG36" s="2">
        <v>117.44826999999999</v>
      </c>
      <c r="AH36" s="2">
        <v>108</v>
      </c>
      <c r="AI36" s="2">
        <v>135.58026000000001</v>
      </c>
      <c r="AJ36" s="42">
        <v>71.072569999999999</v>
      </c>
      <c r="AK36" s="19" t="s">
        <v>9</v>
      </c>
      <c r="AL36" s="403">
        <v>211.2689</v>
      </c>
      <c r="AM36" s="307">
        <v>34.93</v>
      </c>
      <c r="AN36" s="307">
        <v>73.8</v>
      </c>
      <c r="AO36" s="404">
        <v>40</v>
      </c>
      <c r="AP36" s="19" t="s">
        <v>21</v>
      </c>
      <c r="AQ36" s="476">
        <f>AE36+AF36+AG36+AH36</f>
        <v>366.22841999999997</v>
      </c>
      <c r="AR36" s="307">
        <v>12.0154</v>
      </c>
      <c r="AS36" s="540">
        <v>144.184</v>
      </c>
      <c r="AT36" s="541">
        <v>3.66228</v>
      </c>
      <c r="AU36" s="543">
        <v>2.2756400000000002E-3</v>
      </c>
      <c r="AV36" s="540">
        <v>3662.28</v>
      </c>
      <c r="AW36" s="541">
        <v>4.0051199999999998</v>
      </c>
      <c r="AX36" s="540">
        <v>3662280</v>
      </c>
      <c r="AY36" s="2">
        <v>480677</v>
      </c>
      <c r="AZ36" s="2">
        <f>(SQRT(((AE36+AH36+AJ36)/2)*((AE36+AH36+AJ36)/2-AE36)*((AE36+AH36+AJ36)/2-AH36)*((AE36+AH36+AJ36)/2-AJ36)))+(SQRT(((AF36+AG36+AJ36)/2)*((AF36+AG36+AJ36)/2-AF36)*((AF36+AG36+AJ36)/2-AG36)*((AF36+AG36+AJ36)/2-AJ36)))</f>
        <v>4806.769527894061</v>
      </c>
      <c r="BA36" s="307">
        <v>48.067700000000002</v>
      </c>
      <c r="BB36" s="31">
        <v>0.48067700000000002</v>
      </c>
      <c r="BC36" s="186">
        <v>745.05100000000004</v>
      </c>
      <c r="BD36" s="186">
        <v>5.1739600000000001</v>
      </c>
      <c r="BE36" s="23">
        <v>4.8067700000000001E-3</v>
      </c>
      <c r="BF36" s="23">
        <v>4.8067700000000001E-5</v>
      </c>
      <c r="BG36" s="592">
        <v>1.1877799999999999E-4</v>
      </c>
      <c r="BH36" s="238" t="s">
        <v>9</v>
      </c>
      <c r="BI36" s="251">
        <f t="shared" si="2"/>
        <v>5.2066347673893054E-4</v>
      </c>
      <c r="BJ36" s="73">
        <f t="shared" si="3"/>
        <v>0</v>
      </c>
      <c r="BK36" s="73">
        <f t="shared" si="4"/>
        <v>0</v>
      </c>
      <c r="BL36" s="73">
        <f t="shared" ref="BL36:BL41" si="25">(100*(K36-AO36))/AO36</f>
        <v>0</v>
      </c>
      <c r="BM36" s="234">
        <f t="shared" ref="BM36:BM41" si="26">(100*(F36-AJ36))/AJ36</f>
        <v>-1.7186748768638317E-4</v>
      </c>
      <c r="BN36" s="238" t="s">
        <v>21</v>
      </c>
      <c r="BO36" s="214">
        <f t="shared" si="24"/>
        <v>-1.1468252517453001E-4</v>
      </c>
      <c r="BP36" s="82">
        <f t="shared" ref="BP36:BP41" si="27">(100*(N36-AR36))/AR36</f>
        <v>0</v>
      </c>
      <c r="BQ36" s="82">
        <f t="shared" ref="BQ36:BQ41" si="28">(100*(O36-AS36))/AS36</f>
        <v>0</v>
      </c>
      <c r="BR36" s="82">
        <f t="shared" ref="BR36:BR41" si="29">(100*(P36-AT36))/AT36</f>
        <v>0</v>
      </c>
      <c r="BS36" s="82">
        <f t="shared" ref="BS36:BS41" si="30">(100*(Q36-AU36))/AU36</f>
        <v>0</v>
      </c>
      <c r="BT36" s="82">
        <f t="shared" ref="BT36:BT41" si="31">(100*(R36-AV36))/AV36</f>
        <v>0</v>
      </c>
      <c r="BU36" s="82">
        <f t="shared" ref="BU36:BU41" si="32">(100*(S36-AW36))/AW36</f>
        <v>0</v>
      </c>
      <c r="BV36" s="82">
        <f t="shared" ref="BV36:BV41" si="33">(100*(T36-AX36))/AX36</f>
        <v>1.0922157781491312E-4</v>
      </c>
      <c r="BW36" s="80">
        <f t="shared" ref="BW36:BW41" si="34">(100*(U36-AY36))/AY36</f>
        <v>-2.0803991037640662E-4</v>
      </c>
      <c r="BX36" s="80">
        <f t="shared" ref="BX36:BX41" si="35">(100*(V36-AZ36))/AZ36</f>
        <v>-1.9821824211557263E-4</v>
      </c>
      <c r="BY36" s="80">
        <f t="shared" ref="BY36:BY41" si="36">(100*(W36-BA36))/BA36</f>
        <v>-2.0803991038331282E-4</v>
      </c>
      <c r="BZ36" s="80">
        <f t="shared" ref="BZ36:BZ41" si="37">(100*(X36-BB36))/BB36</f>
        <v>-2.0803991038238892E-4</v>
      </c>
      <c r="CA36" s="80">
        <f t="shared" ref="CA36:CA41" si="38">(100*(Y36-BC36))/BC36</f>
        <v>-2.6843799955525097E-4</v>
      </c>
      <c r="CB36" s="80">
        <f t="shared" ref="CB36:CB41" si="39">(100*(Z36-BD36))/BD36</f>
        <v>-1.9327555683672855E-4</v>
      </c>
      <c r="CC36" s="80">
        <f t="shared" ref="CC36:CC41" si="40">(100*(AA36-BE36))/BE36</f>
        <v>-2.0803991037517109E-4</v>
      </c>
      <c r="CD36" s="80">
        <f t="shared" ref="CD36:CD41" si="41">(100*(AB36-BF36))/BF36</f>
        <v>-2.4676216773759777E-4</v>
      </c>
      <c r="CE36" s="96">
        <f t="shared" ref="CE36:CE41" si="42">(100*(AC36-BG36))/BG36</f>
        <v>0</v>
      </c>
    </row>
    <row r="37" spans="1:83" x14ac:dyDescent="0.25">
      <c r="A37" s="118">
        <v>55</v>
      </c>
      <c r="B37" s="1">
        <v>61.929290000000002</v>
      </c>
      <c r="C37" s="1">
        <v>118.39623</v>
      </c>
      <c r="D37" s="1">
        <v>110</v>
      </c>
      <c r="E37" s="1">
        <v>67.307559999999995</v>
      </c>
      <c r="F37" s="241">
        <v>61.275756812916498</v>
      </c>
      <c r="G37" s="211" t="s">
        <v>5</v>
      </c>
      <c r="H37" s="406">
        <v>290</v>
      </c>
      <c r="I37" s="347">
        <v>15.97</v>
      </c>
      <c r="J37" s="347">
        <v>34.03</v>
      </c>
      <c r="K37" s="407">
        <v>20</v>
      </c>
      <c r="L37" s="211" t="s">
        <v>21</v>
      </c>
      <c r="M37" s="56">
        <v>10525.5</v>
      </c>
      <c r="N37" s="316">
        <v>345.32600000000002</v>
      </c>
      <c r="O37" s="1">
        <v>4143.91</v>
      </c>
      <c r="P37" s="348">
        <v>105.255</v>
      </c>
      <c r="Q37" s="326">
        <v>6.5402600000000005E-2</v>
      </c>
      <c r="R37" s="315">
        <v>105255</v>
      </c>
      <c r="S37" s="316">
        <v>115.10899999999999</v>
      </c>
      <c r="T37" s="1">
        <v>105255218</v>
      </c>
      <c r="U37" s="59">
        <v>189846566</v>
      </c>
      <c r="V37" s="347">
        <v>1898466</v>
      </c>
      <c r="W37" s="347">
        <v>18984.7</v>
      </c>
      <c r="X37" s="349">
        <v>189.84700000000001</v>
      </c>
      <c r="Y37" s="59">
        <v>294263</v>
      </c>
      <c r="Z37" s="325">
        <v>2043.49</v>
      </c>
      <c r="AA37" s="348">
        <v>1.8984700000000001</v>
      </c>
      <c r="AB37" s="78">
        <v>1.89847E-2</v>
      </c>
      <c r="AC37" s="581">
        <v>4.6912099999999998E-2</v>
      </c>
      <c r="AD37" s="143">
        <v>10</v>
      </c>
      <c r="AE37" s="34">
        <v>55</v>
      </c>
      <c r="AF37" s="2">
        <v>61.929290000000002</v>
      </c>
      <c r="AG37" s="2">
        <v>118.39623</v>
      </c>
      <c r="AH37" s="2">
        <v>110</v>
      </c>
      <c r="AI37" s="2">
        <v>67.307559999999995</v>
      </c>
      <c r="AJ37" s="42">
        <v>61.275700000000001</v>
      </c>
      <c r="AK37" s="19" t="s">
        <v>5</v>
      </c>
      <c r="AL37" s="403">
        <v>290</v>
      </c>
      <c r="AM37" s="307">
        <v>15.97</v>
      </c>
      <c r="AN37" s="307">
        <v>34.03</v>
      </c>
      <c r="AO37" s="404">
        <v>20</v>
      </c>
      <c r="AP37" s="19" t="s">
        <v>21</v>
      </c>
      <c r="AQ37" s="34">
        <v>10525.5</v>
      </c>
      <c r="AR37" s="186">
        <f>AE37+AF37+AG37+AH37</f>
        <v>345.32551999999998</v>
      </c>
      <c r="AS37" s="540">
        <v>4143.91</v>
      </c>
      <c r="AT37" s="541">
        <v>105.255</v>
      </c>
      <c r="AU37" s="542">
        <v>6.5402699999999994E-2</v>
      </c>
      <c r="AV37" s="540">
        <v>105255</v>
      </c>
      <c r="AW37" s="541">
        <v>115.10899999999999</v>
      </c>
      <c r="AX37" s="540">
        <v>105255365</v>
      </c>
      <c r="AY37" s="29">
        <v>189845504</v>
      </c>
      <c r="AZ37" s="29">
        <v>1898455</v>
      </c>
      <c r="BA37" s="340">
        <v>18984.599999999999</v>
      </c>
      <c r="BB37" s="26">
        <v>189.846</v>
      </c>
      <c r="BC37" s="29">
        <v>294261</v>
      </c>
      <c r="BD37" s="76">
        <f>(SQRT(((AE37+AH37+AJ37)/2)*((AE37+AH37+AJ37)/2-AE37)*((AE37+AH37+AJ37)/2-AH37)*((AE37+AH37+AJ37)/2-AJ37)))+(SQRT(((AF37+AG37+AJ37)/2)*((AF37+AG37+AJ37)/2-AF37)*((AF37+AG37+AJ37)/2-AG37)*((AF37+AG37+AJ37)/2-AJ37)))</f>
        <v>2043.4805624442474</v>
      </c>
      <c r="BE37" s="76">
        <v>1.89846</v>
      </c>
      <c r="BF37" s="342">
        <v>1.8984600000000001E-2</v>
      </c>
      <c r="BG37" s="324">
        <v>4.6911799999999997E-2</v>
      </c>
      <c r="BH37" s="238" t="s">
        <v>5</v>
      </c>
      <c r="BI37" s="251">
        <f t="shared" si="2"/>
        <v>0</v>
      </c>
      <c r="BJ37" s="73">
        <f t="shared" si="3"/>
        <v>0</v>
      </c>
      <c r="BK37" s="73">
        <f t="shared" si="4"/>
        <v>0</v>
      </c>
      <c r="BL37" s="73">
        <f t="shared" si="25"/>
        <v>0</v>
      </c>
      <c r="BM37" s="234">
        <f t="shared" si="26"/>
        <v>9.2716878791276468E-5</v>
      </c>
      <c r="BN37" s="238" t="s">
        <v>21</v>
      </c>
      <c r="BO37" s="214">
        <f t="shared" si="24"/>
        <v>0</v>
      </c>
      <c r="BP37" s="82">
        <f t="shared" si="27"/>
        <v>1.3899928393322096E-4</v>
      </c>
      <c r="BQ37" s="82">
        <f t="shared" si="28"/>
        <v>0</v>
      </c>
      <c r="BR37" s="82">
        <f t="shared" si="29"/>
        <v>0</v>
      </c>
      <c r="BS37" s="82">
        <f t="shared" si="30"/>
        <v>-1.5289888642058781E-4</v>
      </c>
      <c r="BT37" s="82">
        <f t="shared" si="31"/>
        <v>0</v>
      </c>
      <c r="BU37" s="82">
        <f t="shared" si="32"/>
        <v>0</v>
      </c>
      <c r="BV37" s="82">
        <f t="shared" si="33"/>
        <v>-1.3966033940407692E-4</v>
      </c>
      <c r="BW37" s="80">
        <f t="shared" si="34"/>
        <v>5.5940223899113252E-4</v>
      </c>
      <c r="BX37" s="80">
        <f t="shared" si="35"/>
        <v>5.7941852717077833E-4</v>
      </c>
      <c r="BY37" s="80">
        <f t="shared" si="36"/>
        <v>5.2674272832813334E-4</v>
      </c>
      <c r="BZ37" s="80">
        <f t="shared" si="37"/>
        <v>5.2674272831915072E-4</v>
      </c>
      <c r="CA37" s="80">
        <f t="shared" si="38"/>
        <v>6.7966872946126063E-4</v>
      </c>
      <c r="CB37" s="80">
        <f t="shared" si="39"/>
        <v>4.6183731453237811E-4</v>
      </c>
      <c r="CC37" s="80">
        <f t="shared" si="40"/>
        <v>5.2674272832008639E-4</v>
      </c>
      <c r="CD37" s="80">
        <f t="shared" si="41"/>
        <v>5.2674272831350734E-4</v>
      </c>
      <c r="CE37" s="96">
        <f t="shared" si="42"/>
        <v>6.3949795147849326E-4</v>
      </c>
    </row>
    <row r="38" spans="1:83" x14ac:dyDescent="0.25">
      <c r="A38" s="118">
        <v>97.2</v>
      </c>
      <c r="B38" s="1">
        <v>60.75</v>
      </c>
      <c r="C38" s="1">
        <v>65.952129999999997</v>
      </c>
      <c r="D38" s="1">
        <v>105.70339</v>
      </c>
      <c r="E38" s="1">
        <v>63.965339999999998</v>
      </c>
      <c r="F38" s="6">
        <v>122.022348465992</v>
      </c>
      <c r="G38" s="211" t="s">
        <v>8</v>
      </c>
      <c r="H38" s="406">
        <v>40</v>
      </c>
      <c r="I38" s="347">
        <v>211.2689</v>
      </c>
      <c r="J38" s="347">
        <v>34.927399999999999</v>
      </c>
      <c r="K38" s="407">
        <v>73.803700000000006</v>
      </c>
      <c r="L38" s="211" t="s">
        <v>21</v>
      </c>
      <c r="M38" s="56">
        <v>837.19799999999998</v>
      </c>
      <c r="N38" s="316">
        <v>27.467099999999999</v>
      </c>
      <c r="O38" s="1">
        <v>329.60599999999999</v>
      </c>
      <c r="P38" s="348">
        <v>8.3719800000000006</v>
      </c>
      <c r="Q38" s="326">
        <v>5.2021100000000002E-3</v>
      </c>
      <c r="R38" s="315">
        <v>8371.98</v>
      </c>
      <c r="S38" s="316">
        <v>9.1557099999999991</v>
      </c>
      <c r="T38" s="1">
        <v>8371980</v>
      </c>
      <c r="U38" s="59">
        <v>2511922</v>
      </c>
      <c r="V38" s="350">
        <v>25119.200000000001</v>
      </c>
      <c r="W38" s="349">
        <v>251.19200000000001</v>
      </c>
      <c r="X38" s="348">
        <v>2.5119199999999999</v>
      </c>
      <c r="Y38" s="325">
        <v>3893.49</v>
      </c>
      <c r="Z38" s="347">
        <v>27.0381</v>
      </c>
      <c r="AA38" s="326">
        <v>2.5119200000000001E-2</v>
      </c>
      <c r="AB38" s="326">
        <v>2.5119200000000002E-4</v>
      </c>
      <c r="AC38" s="582">
        <v>6.20709E-4</v>
      </c>
      <c r="AD38" s="143">
        <v>11</v>
      </c>
      <c r="AE38" s="34">
        <v>97.2</v>
      </c>
      <c r="AF38" s="2">
        <v>60.75</v>
      </c>
      <c r="AG38" s="2">
        <v>65.952129999999997</v>
      </c>
      <c r="AH38" s="2">
        <v>105.70339</v>
      </c>
      <c r="AI38" s="2">
        <v>63.965339999999998</v>
      </c>
      <c r="AJ38" s="42">
        <v>122.02224</v>
      </c>
      <c r="AK38" s="19" t="s">
        <v>8</v>
      </c>
      <c r="AL38" s="403">
        <v>40</v>
      </c>
      <c r="AM38" s="307">
        <v>211.2689</v>
      </c>
      <c r="AN38" s="307">
        <v>34.927399999999999</v>
      </c>
      <c r="AO38" s="404">
        <v>73.803700000000006</v>
      </c>
      <c r="AP38" s="19" t="s">
        <v>21</v>
      </c>
      <c r="AQ38" s="34">
        <v>837.19899999999996</v>
      </c>
      <c r="AR38" s="307">
        <v>27.467199999999998</v>
      </c>
      <c r="AS38" s="540">
        <f>AE38+AF38+AG38+AH38</f>
        <v>329.60552000000001</v>
      </c>
      <c r="AT38" s="541">
        <v>8.3719900000000003</v>
      </c>
      <c r="AU38" s="543">
        <v>5.2021100000000002E-3</v>
      </c>
      <c r="AV38" s="540">
        <v>8371.99</v>
      </c>
      <c r="AW38" s="541">
        <v>9.1557200000000005</v>
      </c>
      <c r="AX38" s="540">
        <v>8371992</v>
      </c>
      <c r="AY38" s="29">
        <v>2511924</v>
      </c>
      <c r="AZ38" s="340">
        <v>25119.200000000001</v>
      </c>
      <c r="BA38" s="307">
        <v>251.19200000000001</v>
      </c>
      <c r="BB38" s="76">
        <v>2.5119199999999999</v>
      </c>
      <c r="BC38" s="23">
        <f>(SQRT(((AE38+AF38+AI38)/2)*((AE38+AF38+AI38)/2-AE38)*((AE38+AF38+AI38)/2-AF38)*((AE38+AF38+AI38)/2-AI38)))+(SQRT(((AG38+AH38+AI38)/2)*((AG38+AH38+AI38)/2-AG38)*((AG38+AH38+AI38)/2-AH38)*((AG38+AH38+AI38)/2-AI38)))</f>
        <v>3893.4863164916051</v>
      </c>
      <c r="BD38" s="534">
        <v>27.0381</v>
      </c>
      <c r="BE38" s="342">
        <v>2.5119200000000001E-2</v>
      </c>
      <c r="BF38" s="302">
        <v>2.5119200000000002E-4</v>
      </c>
      <c r="BG38" s="362">
        <v>6.2071000000000001E-4</v>
      </c>
      <c r="BH38" s="238" t="s">
        <v>8</v>
      </c>
      <c r="BI38" s="251">
        <f t="shared" si="2"/>
        <v>0</v>
      </c>
      <c r="BJ38" s="73">
        <f t="shared" si="3"/>
        <v>0</v>
      </c>
      <c r="BK38" s="73">
        <f t="shared" si="4"/>
        <v>0</v>
      </c>
      <c r="BL38" s="73">
        <f t="shared" si="25"/>
        <v>0</v>
      </c>
      <c r="BM38" s="234">
        <f t="shared" si="26"/>
        <v>8.8890346546376405E-5</v>
      </c>
      <c r="BN38" s="238" t="s">
        <v>21</v>
      </c>
      <c r="BO38" s="214">
        <f t="shared" si="24"/>
        <v>-1.1944591428995415E-4</v>
      </c>
      <c r="BP38" s="82">
        <f t="shared" si="27"/>
        <v>-3.6407060057001421E-4</v>
      </c>
      <c r="BQ38" s="82">
        <f t="shared" si="28"/>
        <v>1.4562862902958308E-4</v>
      </c>
      <c r="BR38" s="82">
        <f t="shared" si="29"/>
        <v>-1.1944591428825671E-4</v>
      </c>
      <c r="BS38" s="82">
        <f t="shared" si="30"/>
        <v>0</v>
      </c>
      <c r="BT38" s="82">
        <f t="shared" si="31"/>
        <v>-1.1944591429538591E-4</v>
      </c>
      <c r="BU38" s="82">
        <f t="shared" si="32"/>
        <v>-1.0922133924363982E-4</v>
      </c>
      <c r="BV38" s="82">
        <f t="shared" si="33"/>
        <v>-1.433350629097591E-4</v>
      </c>
      <c r="BW38" s="80">
        <f t="shared" si="34"/>
        <v>-7.9620243287615395E-5</v>
      </c>
      <c r="BX38" s="80">
        <f t="shared" si="35"/>
        <v>0</v>
      </c>
      <c r="BY38" s="80">
        <f t="shared" si="36"/>
        <v>0</v>
      </c>
      <c r="BZ38" s="80">
        <f t="shared" si="37"/>
        <v>0</v>
      </c>
      <c r="CA38" s="80">
        <f t="shared" si="38"/>
        <v>9.4606943373940077E-5</v>
      </c>
      <c r="CB38" s="80">
        <f t="shared" si="39"/>
        <v>0</v>
      </c>
      <c r="CC38" s="80">
        <f t="shared" si="40"/>
        <v>0</v>
      </c>
      <c r="CD38" s="80">
        <f t="shared" si="41"/>
        <v>0</v>
      </c>
      <c r="CE38" s="96">
        <f t="shared" si="42"/>
        <v>-1.6110583042253955E-4</v>
      </c>
    </row>
    <row r="39" spans="1:83" x14ac:dyDescent="0.25">
      <c r="A39" s="118">
        <v>110</v>
      </c>
      <c r="B39" s="1">
        <v>63.92633</v>
      </c>
      <c r="C39" s="1">
        <v>102.8934</v>
      </c>
      <c r="D39" s="1">
        <v>164.88032000000001</v>
      </c>
      <c r="E39" s="1">
        <v>69.399349999999998</v>
      </c>
      <c r="F39" s="6">
        <v>133.03390880391299</v>
      </c>
      <c r="G39" s="211" t="s">
        <v>4</v>
      </c>
      <c r="H39" s="406">
        <v>36.049999999999997</v>
      </c>
      <c r="I39" s="347">
        <v>256.70999999999998</v>
      </c>
      <c r="J39" s="347">
        <v>13.76</v>
      </c>
      <c r="K39" s="407">
        <v>53.48</v>
      </c>
      <c r="L39" s="211" t="s">
        <v>21</v>
      </c>
      <c r="M39" s="56">
        <v>44170</v>
      </c>
      <c r="N39" s="316">
        <v>1449.15</v>
      </c>
      <c r="O39" s="1">
        <v>17389.8</v>
      </c>
      <c r="P39" s="348">
        <v>441.7</v>
      </c>
      <c r="Q39" s="326">
        <v>0.27445999999999998</v>
      </c>
      <c r="R39" s="315">
        <v>441700</v>
      </c>
      <c r="S39" s="316">
        <v>483.04899999999998</v>
      </c>
      <c r="T39" s="1">
        <v>441700050</v>
      </c>
      <c r="U39" s="59">
        <v>4086951762</v>
      </c>
      <c r="V39" s="59">
        <v>40869518</v>
      </c>
      <c r="W39" s="59">
        <v>408695</v>
      </c>
      <c r="X39" s="325">
        <v>4086.95</v>
      </c>
      <c r="Y39" s="325">
        <v>6334788</v>
      </c>
      <c r="Z39" s="325">
        <v>43991.6</v>
      </c>
      <c r="AA39" s="347">
        <v>40.869500000000002</v>
      </c>
      <c r="AB39" s="315">
        <v>0.40869499999999997</v>
      </c>
      <c r="AC39" s="456">
        <v>1.0099100000000001</v>
      </c>
      <c r="AD39" s="143">
        <v>12</v>
      </c>
      <c r="AE39" s="34">
        <v>110</v>
      </c>
      <c r="AF39" s="2">
        <v>63.92633</v>
      </c>
      <c r="AG39" s="2">
        <v>102.8934</v>
      </c>
      <c r="AH39" s="2">
        <v>164.88032000000001</v>
      </c>
      <c r="AI39" s="2">
        <v>69.399349999999998</v>
      </c>
      <c r="AJ39" s="42">
        <v>133.03440000000001</v>
      </c>
      <c r="AK39" s="19" t="s">
        <v>4</v>
      </c>
      <c r="AL39" s="403">
        <v>36.049999999999997</v>
      </c>
      <c r="AM39" s="307">
        <v>256.7081</v>
      </c>
      <c r="AN39" s="307">
        <v>13.76</v>
      </c>
      <c r="AO39" s="404">
        <v>53.478499999999997</v>
      </c>
      <c r="AP39" s="19" t="s">
        <v>21</v>
      </c>
      <c r="AQ39" s="34">
        <v>44170</v>
      </c>
      <c r="AR39" s="396">
        <v>1449.15</v>
      </c>
      <c r="AS39" s="540">
        <v>17389.8</v>
      </c>
      <c r="AT39" s="544">
        <f>AE39+AF39+AG39+AH39</f>
        <v>441.70005000000003</v>
      </c>
      <c r="AU39" s="545">
        <v>0.27445999999999998</v>
      </c>
      <c r="AV39" s="540">
        <v>441700</v>
      </c>
      <c r="AW39" s="541">
        <v>483.04899999999998</v>
      </c>
      <c r="AX39" s="540">
        <v>441700000</v>
      </c>
      <c r="AY39" s="29">
        <v>4086950000</v>
      </c>
      <c r="AZ39" s="29">
        <v>40869500</v>
      </c>
      <c r="BA39" s="29">
        <v>408695</v>
      </c>
      <c r="BB39" s="76">
        <f>(SQRT(((AE39+AF39+AI39)/2)*((AE39+AF39+AI39)/2-AE39)*((AE39+AF39+AI39)/2-AF39)*((AE39+AF39+AI39)/2-AI39)))+(SQRT(((AG39+AH39+AI39)/2)*((AG39+AH39+AI39)/2-AG39)*((AG39+AH39+AI39)/2-AH39)*((AG39+AH39+AI39)/2-AI39)))</f>
        <v>4086.9517618820655</v>
      </c>
      <c r="BC39" s="396">
        <v>6334785</v>
      </c>
      <c r="BD39" s="396">
        <v>43991.6</v>
      </c>
      <c r="BE39" s="76">
        <v>40.869500000000002</v>
      </c>
      <c r="BF39" s="76">
        <v>0.40869499999999997</v>
      </c>
      <c r="BG39" s="322">
        <v>1.0099100000000001</v>
      </c>
      <c r="BH39" s="238" t="s">
        <v>4</v>
      </c>
      <c r="BI39" s="251">
        <f t="shared" si="2"/>
        <v>0</v>
      </c>
      <c r="BJ39" s="73">
        <f t="shared" si="3"/>
        <v>7.4014026046619031E-4</v>
      </c>
      <c r="BK39" s="73">
        <f t="shared" si="4"/>
        <v>0</v>
      </c>
      <c r="BL39" s="73">
        <f t="shared" si="25"/>
        <v>2.8048655066990604E-3</v>
      </c>
      <c r="BM39" s="234">
        <f t="shared" si="26"/>
        <v>-3.6922486741155537E-4</v>
      </c>
      <c r="BN39" s="238" t="s">
        <v>21</v>
      </c>
      <c r="BO39" s="214">
        <f t="shared" si="24"/>
        <v>0</v>
      </c>
      <c r="BP39" s="82">
        <f t="shared" si="27"/>
        <v>0</v>
      </c>
      <c r="BQ39" s="82">
        <f t="shared" si="28"/>
        <v>0</v>
      </c>
      <c r="BR39" s="82">
        <f t="shared" si="29"/>
        <v>-1.1319899113503018E-5</v>
      </c>
      <c r="BS39" s="82">
        <f t="shared" si="30"/>
        <v>0</v>
      </c>
      <c r="BT39" s="82">
        <f t="shared" si="31"/>
        <v>0</v>
      </c>
      <c r="BU39" s="82">
        <f t="shared" si="32"/>
        <v>0</v>
      </c>
      <c r="BV39" s="82">
        <f t="shared" si="33"/>
        <v>1.1319900384876613E-5</v>
      </c>
      <c r="BW39" s="80">
        <f t="shared" si="34"/>
        <v>4.3112834754523544E-5</v>
      </c>
      <c r="BX39" s="80">
        <f t="shared" si="35"/>
        <v>4.4042623472271501E-5</v>
      </c>
      <c r="BY39" s="80">
        <f t="shared" si="36"/>
        <v>0</v>
      </c>
      <c r="BZ39" s="80">
        <f t="shared" si="37"/>
        <v>-4.3109930538601255E-5</v>
      </c>
      <c r="CA39" s="80">
        <f t="shared" si="38"/>
        <v>4.7357566199957851E-5</v>
      </c>
      <c r="CB39" s="80">
        <f t="shared" si="39"/>
        <v>0</v>
      </c>
      <c r="CC39" s="80">
        <f t="shared" si="40"/>
        <v>0</v>
      </c>
      <c r="CD39" s="80">
        <f t="shared" si="41"/>
        <v>0</v>
      </c>
      <c r="CE39" s="96">
        <f t="shared" si="42"/>
        <v>0</v>
      </c>
    </row>
    <row r="40" spans="1:83" x14ac:dyDescent="0.25">
      <c r="A40" s="118">
        <v>200.83629999999999</v>
      </c>
      <c r="B40" s="1">
        <v>184.68</v>
      </c>
      <c r="C40" s="1">
        <v>115.42</v>
      </c>
      <c r="D40" s="1">
        <v>125.30909</v>
      </c>
      <c r="E40" s="1">
        <v>231.84227999999999</v>
      </c>
      <c r="F40" s="6">
        <v>121.542834135254</v>
      </c>
      <c r="G40" s="211" t="s">
        <v>10</v>
      </c>
      <c r="H40" s="406">
        <v>73.8</v>
      </c>
      <c r="I40" s="347">
        <v>40.01</v>
      </c>
      <c r="J40" s="347">
        <v>211.26</v>
      </c>
      <c r="K40" s="407">
        <v>34.93</v>
      </c>
      <c r="L40" s="211" t="s">
        <v>21</v>
      </c>
      <c r="M40" s="56">
        <v>100784426</v>
      </c>
      <c r="N40" s="59">
        <v>3306576</v>
      </c>
      <c r="O40" s="59">
        <v>39678908</v>
      </c>
      <c r="P40" s="59">
        <v>1007844</v>
      </c>
      <c r="Q40" s="349">
        <v>626.245</v>
      </c>
      <c r="R40" s="59">
        <v>1007844261</v>
      </c>
      <c r="S40" s="59">
        <v>1102192</v>
      </c>
      <c r="T40" s="59">
        <v>1007844260924</v>
      </c>
      <c r="U40" s="59">
        <v>3.6406180595892096E+16</v>
      </c>
      <c r="V40" s="59">
        <v>364061805958921</v>
      </c>
      <c r="W40" s="59">
        <v>3640618059589</v>
      </c>
      <c r="X40" s="59">
        <v>36406180596</v>
      </c>
      <c r="Y40" s="59">
        <v>56429692783018</v>
      </c>
      <c r="Z40" s="59">
        <v>391872866549</v>
      </c>
      <c r="AA40" s="59">
        <v>364061806</v>
      </c>
      <c r="AB40" s="59">
        <v>3640618</v>
      </c>
      <c r="AC40" s="224">
        <v>8996163</v>
      </c>
      <c r="AD40" s="143">
        <v>13</v>
      </c>
      <c r="AE40" s="34">
        <v>200.83629999999999</v>
      </c>
      <c r="AF40" s="2">
        <v>184.68</v>
      </c>
      <c r="AG40" s="2">
        <v>115.42</v>
      </c>
      <c r="AH40" s="2">
        <v>125.30909</v>
      </c>
      <c r="AI40" s="2">
        <v>231.84227999999999</v>
      </c>
      <c r="AJ40" s="42">
        <v>121.54</v>
      </c>
      <c r="AK40" s="19" t="s">
        <v>10</v>
      </c>
      <c r="AL40" s="403">
        <v>73.8</v>
      </c>
      <c r="AM40" s="307">
        <v>40.01</v>
      </c>
      <c r="AN40" s="307">
        <v>211.26</v>
      </c>
      <c r="AO40" s="404">
        <v>34.93</v>
      </c>
      <c r="AP40" s="19" t="s">
        <v>21</v>
      </c>
      <c r="AQ40" s="34">
        <v>100784363</v>
      </c>
      <c r="AR40" s="29">
        <v>3306574</v>
      </c>
      <c r="AS40" s="540">
        <v>39678883</v>
      </c>
      <c r="AT40" s="546">
        <v>1007844</v>
      </c>
      <c r="AU40" s="540">
        <f>AE40+AF40+AG40+AH40</f>
        <v>626.24539000000004</v>
      </c>
      <c r="AV40" s="540">
        <v>1007843633</v>
      </c>
      <c r="AW40" s="546">
        <v>1102191</v>
      </c>
      <c r="AX40" s="546">
        <v>1007843633280</v>
      </c>
      <c r="AY40" s="29">
        <v>3.6405010335E+16</v>
      </c>
      <c r="AZ40" s="29">
        <v>364050103350000</v>
      </c>
      <c r="BA40" s="29">
        <v>3640501033500</v>
      </c>
      <c r="BB40" s="307">
        <f>((SQRT(((AE40+AH40+AJ40)/2)*((AE40+AH40+AJ40)/2-AE40)*((AE40+AH40+AJ40)/2-AH40)*((AE40+AH40+AJ40)/2-AJ40)))+(SQRT(((AF40+AG40+AJ40)/2)*((AF40+AG40+AJ40)/2-AF40)*((AF40+AG40+AJ40)/2-AG40)*((AF40+AG40+AJ40)/2-AJ40))))*1609.344*1609.344</f>
        <v>36405010334.819313</v>
      </c>
      <c r="BC40" s="29">
        <v>56427878875008</v>
      </c>
      <c r="BD40" s="29">
        <v>391860269965</v>
      </c>
      <c r="BE40" s="29">
        <v>364050103</v>
      </c>
      <c r="BF40" s="29">
        <v>3640501</v>
      </c>
      <c r="BG40" s="593">
        <v>8995874</v>
      </c>
      <c r="BH40" s="238" t="s">
        <v>10</v>
      </c>
      <c r="BI40" s="251">
        <f t="shared" si="2"/>
        <v>0</v>
      </c>
      <c r="BJ40" s="73">
        <f t="shared" si="3"/>
        <v>0</v>
      </c>
      <c r="BK40" s="73">
        <f t="shared" si="4"/>
        <v>0</v>
      </c>
      <c r="BL40" s="73">
        <f t="shared" si="25"/>
        <v>0</v>
      </c>
      <c r="BM40" s="234">
        <f t="shared" si="26"/>
        <v>2.3318539196899137E-3</v>
      </c>
      <c r="BN40" s="238" t="s">
        <v>21</v>
      </c>
      <c r="BO40" s="214">
        <f t="shared" si="24"/>
        <v>6.2509697064811533E-5</v>
      </c>
      <c r="BP40" s="82">
        <f t="shared" si="27"/>
        <v>6.0485566026951161E-5</v>
      </c>
      <c r="BQ40" s="82">
        <f t="shared" si="28"/>
        <v>6.3005805884202941E-5</v>
      </c>
      <c r="BR40" s="82">
        <f t="shared" si="29"/>
        <v>0</v>
      </c>
      <c r="BS40" s="82">
        <f t="shared" si="30"/>
        <v>-6.2275907538181821E-5</v>
      </c>
      <c r="BT40" s="82">
        <f t="shared" si="31"/>
        <v>6.2311253396587167E-5</v>
      </c>
      <c r="BU40" s="82">
        <f t="shared" si="32"/>
        <v>9.0728376479212771E-5</v>
      </c>
      <c r="BV40" s="82">
        <f t="shared" si="33"/>
        <v>6.2275930439462072E-5</v>
      </c>
      <c r="BW40" s="80">
        <f t="shared" si="34"/>
        <v>3.2145599776712713E-3</v>
      </c>
      <c r="BX40" s="80">
        <f t="shared" si="35"/>
        <v>3.2145599776822586E-3</v>
      </c>
      <c r="BY40" s="80">
        <f t="shared" si="36"/>
        <v>3.2145599719138221E-3</v>
      </c>
      <c r="BZ40" s="80">
        <f t="shared" si="37"/>
        <v>3.2145607704103926E-3</v>
      </c>
      <c r="CA40" s="80">
        <f t="shared" si="38"/>
        <v>3.2145599766702959E-3</v>
      </c>
      <c r="CB40" s="80">
        <f t="shared" si="39"/>
        <v>3.2145601290799642E-3</v>
      </c>
      <c r="CC40" s="80">
        <f t="shared" si="40"/>
        <v>3.2146674052719606E-3</v>
      </c>
      <c r="CD40" s="80">
        <f t="shared" si="41"/>
        <v>3.213843369360426E-3</v>
      </c>
      <c r="CE40" s="96">
        <f t="shared" si="42"/>
        <v>3.2125839023534569E-3</v>
      </c>
    </row>
    <row r="41" spans="1:83" ht="15.75" thickBot="1" x14ac:dyDescent="0.3">
      <c r="A41" s="513">
        <v>88</v>
      </c>
      <c r="B41" s="510">
        <v>94.717010000000002</v>
      </c>
      <c r="C41" s="510">
        <v>49.543410000000002</v>
      </c>
      <c r="D41" s="510">
        <v>44</v>
      </c>
      <c r="E41" s="510">
        <v>53.846040000000002</v>
      </c>
      <c r="F41" s="567">
        <v>49.020632515896096</v>
      </c>
      <c r="G41" s="511" t="s">
        <v>7</v>
      </c>
      <c r="H41" s="569">
        <v>34.03</v>
      </c>
      <c r="I41" s="558">
        <v>15.97</v>
      </c>
      <c r="J41" s="558">
        <v>290</v>
      </c>
      <c r="K41" s="573">
        <v>20</v>
      </c>
      <c r="L41" s="511" t="s">
        <v>21</v>
      </c>
      <c r="M41" s="576">
        <v>25261.3</v>
      </c>
      <c r="N41" s="514">
        <v>828.78099999999995</v>
      </c>
      <c r="O41" s="510">
        <v>9945.3799999999992</v>
      </c>
      <c r="P41" s="512">
        <v>252.613</v>
      </c>
      <c r="Q41" s="515">
        <v>0.15696599999999999</v>
      </c>
      <c r="R41" s="559">
        <v>252613</v>
      </c>
      <c r="S41" s="530">
        <v>276.26</v>
      </c>
      <c r="T41" s="510">
        <v>252612528</v>
      </c>
      <c r="U41" s="559">
        <v>1093516466</v>
      </c>
      <c r="V41" s="559">
        <v>10935165</v>
      </c>
      <c r="W41" s="559">
        <v>109352</v>
      </c>
      <c r="X41" s="530">
        <v>1093.52</v>
      </c>
      <c r="Y41" s="559">
        <v>1694954</v>
      </c>
      <c r="Z41" s="560">
        <v>11770.5</v>
      </c>
      <c r="AA41" s="515">
        <v>10.9352</v>
      </c>
      <c r="AB41" s="515">
        <v>0.109352</v>
      </c>
      <c r="AC41" s="583">
        <v>0.27021400000000001</v>
      </c>
      <c r="AD41" s="516">
        <v>14</v>
      </c>
      <c r="AE41" s="585">
        <v>88</v>
      </c>
      <c r="AF41" s="495">
        <v>94.717010000000002</v>
      </c>
      <c r="AG41" s="495">
        <v>49.543410000000002</v>
      </c>
      <c r="AH41" s="495">
        <v>44</v>
      </c>
      <c r="AI41" s="495">
        <v>53.846040000000002</v>
      </c>
      <c r="AJ41" s="517">
        <v>49.020569999999999</v>
      </c>
      <c r="AK41" s="518" t="s">
        <v>7</v>
      </c>
      <c r="AL41" s="519">
        <v>34.03</v>
      </c>
      <c r="AM41" s="521">
        <v>15.97</v>
      </c>
      <c r="AN41" s="521">
        <v>290</v>
      </c>
      <c r="AO41" s="520">
        <v>20</v>
      </c>
      <c r="AP41" s="518" t="s">
        <v>21</v>
      </c>
      <c r="AQ41" s="585">
        <v>25261.200000000001</v>
      </c>
      <c r="AR41" s="561">
        <v>828.78</v>
      </c>
      <c r="AS41" s="562">
        <v>9945.36</v>
      </c>
      <c r="AT41" s="563">
        <v>252.61199999999999</v>
      </c>
      <c r="AU41" s="564">
        <v>0.15696599999999999</v>
      </c>
      <c r="AV41" s="562">
        <v>252612</v>
      </c>
      <c r="AW41" s="562">
        <f>AE41+AF41+AG41+AH41</f>
        <v>276.26042000000001</v>
      </c>
      <c r="AX41" s="562">
        <v>252612144</v>
      </c>
      <c r="AY41" s="565">
        <v>1093510000</v>
      </c>
      <c r="AZ41" s="565">
        <v>10935100</v>
      </c>
      <c r="BA41" s="565">
        <v>109351</v>
      </c>
      <c r="BB41" s="521">
        <v>1093.51</v>
      </c>
      <c r="BC41" s="566">
        <v>1694944</v>
      </c>
      <c r="BD41" s="566">
        <v>11770.4</v>
      </c>
      <c r="BE41" s="521">
        <v>10.9351</v>
      </c>
      <c r="BF41" s="561">
        <v>0.109351</v>
      </c>
      <c r="BG41" s="594">
        <v>0.27021200000000001</v>
      </c>
      <c r="BH41" s="522" t="s">
        <v>7</v>
      </c>
      <c r="BI41" s="596">
        <f t="shared" si="2"/>
        <v>0</v>
      </c>
      <c r="BJ41" s="523">
        <f t="shared" si="3"/>
        <v>0</v>
      </c>
      <c r="BK41" s="523">
        <f t="shared" si="4"/>
        <v>0</v>
      </c>
      <c r="BL41" s="523">
        <f t="shared" si="25"/>
        <v>0</v>
      </c>
      <c r="BM41" s="597">
        <f t="shared" si="26"/>
        <v>1.2752992488088505E-4</v>
      </c>
      <c r="BN41" s="522" t="s">
        <v>21</v>
      </c>
      <c r="BO41" s="598">
        <f t="shared" si="24"/>
        <v>3.9586401278856432E-4</v>
      </c>
      <c r="BP41" s="524">
        <f t="shared" si="27"/>
        <v>1.2065928231573557E-4</v>
      </c>
      <c r="BQ41" s="524">
        <f t="shared" si="28"/>
        <v>2.0109880385041432E-4</v>
      </c>
      <c r="BR41" s="524">
        <f t="shared" si="29"/>
        <v>3.958640127962151E-4</v>
      </c>
      <c r="BS41" s="524">
        <f t="shared" si="30"/>
        <v>0</v>
      </c>
      <c r="BT41" s="524">
        <f t="shared" si="31"/>
        <v>3.958640127943249E-4</v>
      </c>
      <c r="BU41" s="524">
        <f t="shared" si="32"/>
        <v>-1.5203046459555332E-4</v>
      </c>
      <c r="BV41" s="524">
        <f t="shared" si="33"/>
        <v>1.5201169425963941E-4</v>
      </c>
      <c r="BW41" s="488">
        <f t="shared" si="34"/>
        <v>5.913068924838365E-4</v>
      </c>
      <c r="BX41" s="488">
        <f t="shared" si="35"/>
        <v>5.9441614617150281E-4</v>
      </c>
      <c r="BY41" s="488">
        <f t="shared" si="36"/>
        <v>9.1448637872538889E-4</v>
      </c>
      <c r="BZ41" s="488">
        <f t="shared" si="37"/>
        <v>9.1448637872455719E-4</v>
      </c>
      <c r="CA41" s="488">
        <f t="shared" si="38"/>
        <v>5.8998999376970571E-4</v>
      </c>
      <c r="CB41" s="488">
        <f t="shared" si="39"/>
        <v>8.4958879902436455E-4</v>
      </c>
      <c r="CC41" s="488">
        <f t="shared" si="40"/>
        <v>9.1448637872325756E-4</v>
      </c>
      <c r="CD41" s="488">
        <f t="shared" si="41"/>
        <v>9.1448637872630341E-4</v>
      </c>
      <c r="CE41" s="489">
        <f t="shared" si="42"/>
        <v>7.4015957840584438E-4</v>
      </c>
    </row>
    <row r="42" spans="1:83" x14ac:dyDescent="0.25">
      <c r="A42" s="114">
        <v>130</v>
      </c>
      <c r="B42" s="115">
        <v>75</v>
      </c>
      <c r="C42" s="115">
        <v>94.198430000000002</v>
      </c>
      <c r="D42" s="537">
        <v>30</v>
      </c>
      <c r="E42" s="365">
        <v>113.02654</v>
      </c>
      <c r="F42" s="223">
        <v>128.24018821773799</v>
      </c>
      <c r="G42" s="210" t="s">
        <v>9</v>
      </c>
      <c r="H42" s="602">
        <v>1.0471999999999999</v>
      </c>
      <c r="I42" s="365">
        <v>1.7090399999999999</v>
      </c>
      <c r="J42" s="365">
        <v>2.1306699999999998</v>
      </c>
      <c r="K42" s="670">
        <v>1.3962000000000001</v>
      </c>
      <c r="L42" s="210" t="s">
        <v>31</v>
      </c>
      <c r="M42" s="255">
        <v>329.19799999999998</v>
      </c>
      <c r="N42" s="115">
        <v>10.8005</v>
      </c>
      <c r="O42" s="115">
        <v>129.60599999999999</v>
      </c>
      <c r="P42" s="115">
        <v>3.2919800000000001</v>
      </c>
      <c r="Q42" s="311">
        <v>2.0455400000000002E-3</v>
      </c>
      <c r="R42" s="115">
        <v>3291.98</v>
      </c>
      <c r="S42" s="115">
        <v>3.6001599999999998</v>
      </c>
      <c r="T42" s="115">
        <v>3291984</v>
      </c>
      <c r="U42" s="115">
        <v>541911</v>
      </c>
      <c r="V42" s="115">
        <v>5419.11</v>
      </c>
      <c r="W42" s="115">
        <v>54.191099999999999</v>
      </c>
      <c r="X42" s="115">
        <v>0.54191100000000003</v>
      </c>
      <c r="Y42" s="115">
        <v>839.96400000000006</v>
      </c>
      <c r="Z42" s="115">
        <v>5.8330799999999998</v>
      </c>
      <c r="AA42" s="311">
        <v>5.4191100000000004E-3</v>
      </c>
      <c r="AB42" s="116">
        <v>5.41911291501589E-5</v>
      </c>
      <c r="AC42" s="577">
        <v>1.3390900000000001E-4</v>
      </c>
      <c r="AD42" s="462">
        <v>1</v>
      </c>
      <c r="AE42" s="262">
        <v>130</v>
      </c>
      <c r="AF42" s="260">
        <v>75</v>
      </c>
      <c r="AG42" s="260">
        <v>94.198430000000002</v>
      </c>
      <c r="AH42" s="556">
        <v>30</v>
      </c>
      <c r="AI42" s="533">
        <v>113.02654</v>
      </c>
      <c r="AJ42" s="586">
        <v>128.24017000000001</v>
      </c>
      <c r="AK42" s="282" t="s">
        <v>9</v>
      </c>
      <c r="AL42" s="262">
        <v>1.0471999999999999</v>
      </c>
      <c r="AM42" s="260">
        <v>1.7090399999999999</v>
      </c>
      <c r="AN42" s="260">
        <v>2.1306799999999999</v>
      </c>
      <c r="AO42" s="586">
        <v>1.3962600000000001</v>
      </c>
      <c r="AP42" s="282" t="s">
        <v>31</v>
      </c>
      <c r="AQ42" s="589">
        <f>AE42+AF42+AG42+AH42</f>
        <v>329.19843000000003</v>
      </c>
      <c r="AR42" s="260">
        <v>10.8005</v>
      </c>
      <c r="AS42" s="260">
        <v>129.60599999999999</v>
      </c>
      <c r="AT42" s="260">
        <v>3.2919800000000001</v>
      </c>
      <c r="AU42" s="532">
        <v>2.0455400000000002E-3</v>
      </c>
      <c r="AV42" s="260">
        <v>3291.98</v>
      </c>
      <c r="AW42" s="260">
        <v>3.6001500000000002</v>
      </c>
      <c r="AX42" s="260">
        <v>3291980</v>
      </c>
      <c r="AY42" s="260">
        <v>541911</v>
      </c>
      <c r="AZ42" s="260">
        <f>(SQRT(((AE42+AF42+AI42)/2)*((AE42+AF42+AI42)/2-AE42)*((AE42+AF42+AI42)/2-AF42)*((AE42+AF42+AI42)/2-AI42)))+(SQRT(((AG42+AH42+AI42)/2)*((AG42+AH42+AI42)/2-AG42)*((AG42+AH42+AI42)/2-AH42)*((AG42+AH42+AI42)/2-AI42)))</f>
        <v>5419.1129150158858</v>
      </c>
      <c r="BA42" s="260">
        <v>54.191099999999999</v>
      </c>
      <c r="BB42" s="260">
        <v>0.54191100000000003</v>
      </c>
      <c r="BC42" s="260">
        <v>839.96400000000006</v>
      </c>
      <c r="BD42" s="260">
        <v>5.8330799999999998</v>
      </c>
      <c r="BE42" s="532">
        <v>5.4191100000000004E-3</v>
      </c>
      <c r="BF42" s="557">
        <v>5.4191099999999997E-5</v>
      </c>
      <c r="BG42" s="590">
        <v>1.3390900000000001E-4</v>
      </c>
      <c r="BH42" s="237" t="s">
        <v>9</v>
      </c>
      <c r="BI42" s="283">
        <f t="shared" si="2"/>
        <v>0</v>
      </c>
      <c r="BJ42" s="90">
        <f t="shared" si="3"/>
        <v>0</v>
      </c>
      <c r="BK42" s="90">
        <f t="shared" si="4"/>
        <v>-4.693337338345276E-4</v>
      </c>
      <c r="BL42" s="90">
        <f t="shared" si="5"/>
        <v>-4.2971939323585137E-3</v>
      </c>
      <c r="BM42" s="233">
        <f t="shared" si="6"/>
        <v>1.4205952774688046E-5</v>
      </c>
      <c r="BN42" s="237" t="s">
        <v>31</v>
      </c>
      <c r="BO42" s="213">
        <f t="shared" ref="BO42:BO63" si="43">(100*(M42-AQ42))/AQ42</f>
        <v>-1.306203070443631E-4</v>
      </c>
      <c r="BP42" s="91">
        <f t="shared" ref="BP42:BP63" si="44">(100*(N42-AR42))/AR42</f>
        <v>0</v>
      </c>
      <c r="BQ42" s="91">
        <f t="shared" ref="BQ42:BQ63" si="45">(100*(O42-AS42))/AS42</f>
        <v>0</v>
      </c>
      <c r="BR42" s="91">
        <f t="shared" ref="BR42:BR63" si="46">(100*(P42-AT42))/AT42</f>
        <v>0</v>
      </c>
      <c r="BS42" s="91">
        <f t="shared" ref="BS42:BS63" si="47">(100*(Q42-AU42))/AU42</f>
        <v>0</v>
      </c>
      <c r="BT42" s="91">
        <f t="shared" ref="BT42:BT63" si="48">(100*(R42-AV42))/AV42</f>
        <v>0</v>
      </c>
      <c r="BU42" s="91">
        <f t="shared" ref="BU42:BU63" si="49">(100*(S42-AW42))/AW42</f>
        <v>2.7776620417542107E-4</v>
      </c>
      <c r="BV42" s="91">
        <f t="shared" ref="BV42:BV63" si="50">(100*(T42-AX42))/AX42</f>
        <v>1.2150742106574159E-4</v>
      </c>
      <c r="BW42" s="93">
        <f t="shared" ref="BW42:BW63" si="51">(100*(U42-AY42))/AY42</f>
        <v>0</v>
      </c>
      <c r="BX42" s="93">
        <f t="shared" ref="BX42:BX63" si="52">(100*(V42-AZ42))/AZ42</f>
        <v>-5.3791384898009414E-5</v>
      </c>
      <c r="BY42" s="93">
        <f t="shared" ref="BY42:BY63" si="53">(100*(W42-BA42))/BA42</f>
        <v>0</v>
      </c>
      <c r="BZ42" s="93">
        <f t="shared" ref="BZ42:BZ63" si="54">(100*(X42-BB42))/BB42</f>
        <v>0</v>
      </c>
      <c r="CA42" s="93">
        <f t="shared" ref="CA42:CA63" si="55">(100*(Y42-BC42))/BC42</f>
        <v>0</v>
      </c>
      <c r="CB42" s="93">
        <f t="shared" ref="CB42:CB63" si="56">(100*(Z42-BD42))/BD42</f>
        <v>0</v>
      </c>
      <c r="CC42" s="93">
        <f t="shared" ref="CC42:CC63" si="57">(100*(AA42-BE42))/BE42</f>
        <v>0</v>
      </c>
      <c r="CD42" s="93">
        <f t="shared" ref="CD42:CD63" si="58">(100*(AB42-BF42))/BF42</f>
        <v>5.3791413910134669E-5</v>
      </c>
      <c r="CE42" s="95">
        <f t="shared" ref="CE42:CE63" si="59">(100*(AC42-BG42))/BG42</f>
        <v>0</v>
      </c>
    </row>
    <row r="43" spans="1:83" x14ac:dyDescent="0.25">
      <c r="A43" s="118">
        <v>100</v>
      </c>
      <c r="B43" s="1">
        <v>44</v>
      </c>
      <c r="C43" s="1">
        <v>134.25847999999999</v>
      </c>
      <c r="D43" s="1">
        <v>55</v>
      </c>
      <c r="E43" s="1">
        <v>122.25293000000001</v>
      </c>
      <c r="F43" s="6">
        <v>129.56550731962901</v>
      </c>
      <c r="G43" s="211" t="s">
        <v>5</v>
      </c>
      <c r="H43" s="482">
        <v>1.9198599999999999</v>
      </c>
      <c r="I43" s="348">
        <v>1.2987899999999999</v>
      </c>
      <c r="J43" s="348">
        <v>1.14466</v>
      </c>
      <c r="K43" s="456">
        <v>1.9198599999999999</v>
      </c>
      <c r="L43" s="211" t="s">
        <v>31</v>
      </c>
      <c r="M43" s="56">
        <v>10157.700000000001</v>
      </c>
      <c r="N43" s="1">
        <v>333.25799999999998</v>
      </c>
      <c r="O43" s="1">
        <v>3999.1</v>
      </c>
      <c r="P43" s="1">
        <v>101.577</v>
      </c>
      <c r="Q43" s="1">
        <v>6.3117099999999995E-2</v>
      </c>
      <c r="R43" s="1">
        <v>101577</v>
      </c>
      <c r="S43" s="1">
        <v>111.086</v>
      </c>
      <c r="T43" s="1">
        <v>101577185</v>
      </c>
      <c r="U43" s="1">
        <v>504393971</v>
      </c>
      <c r="V43" s="1">
        <v>5043940</v>
      </c>
      <c r="W43" s="1">
        <v>50439.4</v>
      </c>
      <c r="X43" s="1">
        <v>504.39400000000001</v>
      </c>
      <c r="Y43" s="1">
        <v>781812</v>
      </c>
      <c r="Z43" s="1">
        <v>5429.25</v>
      </c>
      <c r="AA43" s="1">
        <v>5.0439400000000001</v>
      </c>
      <c r="AB43" s="78">
        <v>5.0439400000000002E-2</v>
      </c>
      <c r="AC43" s="6">
        <v>0.124638</v>
      </c>
      <c r="AD43" s="143">
        <v>2</v>
      </c>
      <c r="AE43" s="34">
        <v>100</v>
      </c>
      <c r="AF43" s="2">
        <v>44</v>
      </c>
      <c r="AG43" s="2">
        <v>134.25847999999999</v>
      </c>
      <c r="AH43" s="2">
        <v>55</v>
      </c>
      <c r="AI43" s="2">
        <v>122.25293000000001</v>
      </c>
      <c r="AJ43" s="42">
        <v>129.56551999999999</v>
      </c>
      <c r="AK43" s="19" t="s">
        <v>5</v>
      </c>
      <c r="AL43" s="34">
        <v>1.9198599999999999</v>
      </c>
      <c r="AM43" s="2">
        <v>1.2988</v>
      </c>
      <c r="AN43" s="2">
        <v>1.14466</v>
      </c>
      <c r="AO43" s="42">
        <v>1.9198599999999999</v>
      </c>
      <c r="AP43" s="19" t="s">
        <v>31</v>
      </c>
      <c r="AQ43" s="34">
        <v>10157.700000000001</v>
      </c>
      <c r="AR43" s="186">
        <f>AE43+AF43+AG43+AH43</f>
        <v>333.25847999999996</v>
      </c>
      <c r="AS43" s="2">
        <v>3999.1</v>
      </c>
      <c r="AT43" s="2">
        <v>101.577</v>
      </c>
      <c r="AU43" s="2">
        <v>6.3117000000000006E-2</v>
      </c>
      <c r="AV43" s="2">
        <v>101577</v>
      </c>
      <c r="AW43" s="2">
        <v>111.086</v>
      </c>
      <c r="AX43" s="2">
        <v>101577038</v>
      </c>
      <c r="AY43" s="2">
        <v>504393830</v>
      </c>
      <c r="AZ43" s="2">
        <v>5043938</v>
      </c>
      <c r="BA43" s="2">
        <v>50439.4</v>
      </c>
      <c r="BB43" s="2">
        <v>504.39400000000001</v>
      </c>
      <c r="BC43" s="2">
        <v>781812</v>
      </c>
      <c r="BD43" s="2">
        <f>(SQRT(((AE43+AF43+AI43)/2)*((AE43+AF43+AI43)/2-AE43)*((AE43+AF43+AI43)/2-AF43)*((AE43+AF43+AI43)/2-AI43)))+(SQRT(((AG43+AH43+AI43)/2)*((AG43+AH43+AI43)/2-AG43)*((AG43+AH43+AI43)/2-AH43)*((AG43+AH43+AI43)/2-AI43)))</f>
        <v>5429.2515216718148</v>
      </c>
      <c r="BE43" s="2">
        <v>5.0439400000000001</v>
      </c>
      <c r="BF43" s="342">
        <v>5.0439400000000002E-2</v>
      </c>
      <c r="BG43" s="42">
        <v>0.124638</v>
      </c>
      <c r="BH43" s="238" t="s">
        <v>5</v>
      </c>
      <c r="BI43" s="251">
        <f t="shared" si="2"/>
        <v>0</v>
      </c>
      <c r="BJ43" s="73">
        <f t="shared" si="3"/>
        <v>-7.6994148445222606E-4</v>
      </c>
      <c r="BK43" s="73">
        <f t="shared" si="4"/>
        <v>0</v>
      </c>
      <c r="BL43" s="73">
        <f t="shared" si="5"/>
        <v>0</v>
      </c>
      <c r="BM43" s="234">
        <f t="shared" si="6"/>
        <v>-9.786840654919497E-6</v>
      </c>
      <c r="BN43" s="238" t="s">
        <v>31</v>
      </c>
      <c r="BO43" s="214">
        <f t="shared" si="43"/>
        <v>0</v>
      </c>
      <c r="BP43" s="82">
        <f t="shared" si="44"/>
        <v>-1.4403234389769417E-4</v>
      </c>
      <c r="BQ43" s="82">
        <f t="shared" si="45"/>
        <v>0</v>
      </c>
      <c r="BR43" s="82">
        <f t="shared" si="46"/>
        <v>0</v>
      </c>
      <c r="BS43" s="82">
        <f t="shared" si="47"/>
        <v>1.5843592057448511E-4</v>
      </c>
      <c r="BT43" s="82">
        <f t="shared" si="48"/>
        <v>0</v>
      </c>
      <c r="BU43" s="82">
        <f t="shared" si="49"/>
        <v>0</v>
      </c>
      <c r="BV43" s="82">
        <f t="shared" si="50"/>
        <v>1.4471774615046364E-4</v>
      </c>
      <c r="BW43" s="80">
        <f t="shared" si="51"/>
        <v>2.7954346705628813E-5</v>
      </c>
      <c r="BX43" s="80">
        <f t="shared" si="52"/>
        <v>3.9651557969189946E-5</v>
      </c>
      <c r="BY43" s="80">
        <f t="shared" si="53"/>
        <v>0</v>
      </c>
      <c r="BZ43" s="80">
        <f t="shared" si="54"/>
        <v>0</v>
      </c>
      <c r="CA43" s="80">
        <f t="shared" si="55"/>
        <v>0</v>
      </c>
      <c r="CB43" s="80">
        <f t="shared" si="56"/>
        <v>-2.8027285320955038E-5</v>
      </c>
      <c r="CC43" s="80">
        <f t="shared" si="57"/>
        <v>0</v>
      </c>
      <c r="CD43" s="80">
        <f t="shared" si="58"/>
        <v>0</v>
      </c>
      <c r="CE43" s="96">
        <f t="shared" si="59"/>
        <v>0</v>
      </c>
    </row>
    <row r="44" spans="1:83" x14ac:dyDescent="0.25">
      <c r="A44" s="118">
        <v>50</v>
      </c>
      <c r="B44" s="1">
        <v>80</v>
      </c>
      <c r="C44" s="1">
        <v>93.818330000000003</v>
      </c>
      <c r="D44" s="1">
        <v>60</v>
      </c>
      <c r="E44" s="1">
        <v>52.646380000000001</v>
      </c>
      <c r="F44" s="6">
        <v>104.951969258125</v>
      </c>
      <c r="G44" s="211" t="s">
        <v>8</v>
      </c>
      <c r="H44" s="482">
        <v>0.69813000000000003</v>
      </c>
      <c r="I44" s="348">
        <v>1.2881100000000001</v>
      </c>
      <c r="J44" s="348">
        <v>0.54447000000000001</v>
      </c>
      <c r="K44" s="456">
        <v>3.7524500000000001</v>
      </c>
      <c r="L44" s="211" t="s">
        <v>31</v>
      </c>
      <c r="M44" s="56">
        <v>720.899</v>
      </c>
      <c r="N44" s="1">
        <v>23.651499999999999</v>
      </c>
      <c r="O44" s="1">
        <v>283.81799999999998</v>
      </c>
      <c r="P44" s="1">
        <v>7.20899</v>
      </c>
      <c r="Q44" s="1">
        <v>4.4794600000000002E-3</v>
      </c>
      <c r="R44" s="1">
        <v>7208.99</v>
      </c>
      <c r="S44" s="1">
        <v>7.8838400000000002</v>
      </c>
      <c r="T44" s="1">
        <v>7208986</v>
      </c>
      <c r="U44" s="1">
        <v>1769953</v>
      </c>
      <c r="V44" s="1">
        <v>17699.5</v>
      </c>
      <c r="W44" s="1">
        <v>176.995</v>
      </c>
      <c r="X44" s="1">
        <v>1.7699499999999999</v>
      </c>
      <c r="Y44" s="1">
        <v>2743.43</v>
      </c>
      <c r="Z44" s="1">
        <v>19.051600000000001</v>
      </c>
      <c r="AA44" s="78">
        <v>1.76995E-2</v>
      </c>
      <c r="AB44" s="316">
        <v>1.76995E-4</v>
      </c>
      <c r="AC44" s="578">
        <v>4.37365E-4</v>
      </c>
      <c r="AD44" s="143">
        <v>3</v>
      </c>
      <c r="AE44" s="34">
        <v>50</v>
      </c>
      <c r="AF44" s="2">
        <v>80</v>
      </c>
      <c r="AG44" s="2">
        <v>93.818330000000003</v>
      </c>
      <c r="AH44" s="2">
        <v>60</v>
      </c>
      <c r="AI44" s="2">
        <v>52.646380000000001</v>
      </c>
      <c r="AJ44" s="42">
        <v>104.95191</v>
      </c>
      <c r="AK44" s="19" t="s">
        <v>8</v>
      </c>
      <c r="AL44" s="34">
        <v>0.69813000000000003</v>
      </c>
      <c r="AM44" s="2">
        <v>1.2881199999999999</v>
      </c>
      <c r="AN44" s="2">
        <v>0.54447999999999996</v>
      </c>
      <c r="AO44" s="42">
        <v>3.7524600000000001</v>
      </c>
      <c r="AP44" s="19" t="s">
        <v>31</v>
      </c>
      <c r="AQ44" s="34">
        <v>720.89800000000002</v>
      </c>
      <c r="AR44" s="2">
        <v>23.651499999999999</v>
      </c>
      <c r="AS44" s="2">
        <f>AE44+AF44+AG44+AH44</f>
        <v>283.81833</v>
      </c>
      <c r="AT44" s="2">
        <v>7.2089800000000004</v>
      </c>
      <c r="AU44" s="2">
        <v>4.4794500000000003E-3</v>
      </c>
      <c r="AV44" s="2">
        <v>7208.98</v>
      </c>
      <c r="AW44" s="2">
        <v>7.8838299999999997</v>
      </c>
      <c r="AX44" s="2">
        <v>7208977</v>
      </c>
      <c r="AY44" s="340">
        <v>1769951</v>
      </c>
      <c r="AZ44" s="26">
        <v>17699.5</v>
      </c>
      <c r="BA44" s="2">
        <v>176.995</v>
      </c>
      <c r="BB44" s="2">
        <v>1.7699499999999999</v>
      </c>
      <c r="BC44" s="2">
        <f>(SQRT(((AE44+AF44+AI44)/2)*((AE44+AF44+AI44)/2-AE44)*((AE44+AF44+AI44)/2-AF44)*((AE44+AF44+AI44)/2-AI44)))+(SQRT(((AG44+AH44+AI44)/2)*((AG44+AH44+AI44)/2-AG44)*((AG44+AH44+AI44)/2-AH44)*((AG44+AH44+AI44)/2-AI44)))</f>
        <v>2743.4318711402962</v>
      </c>
      <c r="BD44" s="2">
        <v>19.051600000000001</v>
      </c>
      <c r="BE44" s="342">
        <v>1.76995E-2</v>
      </c>
      <c r="BF44" s="302">
        <v>1.76995E-4</v>
      </c>
      <c r="BG44" s="188">
        <v>4.3736399999999998E-4</v>
      </c>
      <c r="BH44" s="238" t="s">
        <v>8</v>
      </c>
      <c r="BI44" s="251">
        <f t="shared" si="2"/>
        <v>0</v>
      </c>
      <c r="BJ44" s="73">
        <f t="shared" si="3"/>
        <v>-7.7632518708221812E-4</v>
      </c>
      <c r="BK44" s="73">
        <f t="shared" si="4"/>
        <v>-1.8366147516813273E-3</v>
      </c>
      <c r="BL44" s="73">
        <f t="shared" si="5"/>
        <v>-2.6649184801611506E-4</v>
      </c>
      <c r="BM44" s="234">
        <f t="shared" si="6"/>
        <v>5.646216920308314E-5</v>
      </c>
      <c r="BN44" s="238" t="s">
        <v>31</v>
      </c>
      <c r="BO44" s="214">
        <f t="shared" si="43"/>
        <v>1.3871587935829384E-4</v>
      </c>
      <c r="BP44" s="82">
        <f t="shared" si="44"/>
        <v>0</v>
      </c>
      <c r="BQ44" s="82">
        <f t="shared" si="45"/>
        <v>-1.1627156005726669E-4</v>
      </c>
      <c r="BR44" s="82">
        <f t="shared" si="46"/>
        <v>1.3871587935632257E-4</v>
      </c>
      <c r="BS44" s="82">
        <f t="shared" si="47"/>
        <v>2.2324169261718764E-4</v>
      </c>
      <c r="BT44" s="82">
        <f t="shared" si="48"/>
        <v>1.3871587936460192E-4</v>
      </c>
      <c r="BU44" s="82">
        <f t="shared" si="49"/>
        <v>1.2684190299016597E-4</v>
      </c>
      <c r="BV44" s="82">
        <f t="shared" si="50"/>
        <v>1.2484434337909527E-4</v>
      </c>
      <c r="BW44" s="80">
        <f t="shared" si="51"/>
        <v>1.1299747846126814E-4</v>
      </c>
      <c r="BX44" s="80">
        <f t="shared" si="52"/>
        <v>0</v>
      </c>
      <c r="BY44" s="80">
        <f t="shared" si="53"/>
        <v>0</v>
      </c>
      <c r="BZ44" s="80">
        <f t="shared" si="54"/>
        <v>0</v>
      </c>
      <c r="CA44" s="80">
        <f t="shared" si="55"/>
        <v>-6.8204365342543259E-5</v>
      </c>
      <c r="CB44" s="80">
        <f t="shared" si="56"/>
        <v>0</v>
      </c>
      <c r="CC44" s="80">
        <f t="shared" si="57"/>
        <v>0</v>
      </c>
      <c r="CD44" s="80">
        <f t="shared" si="58"/>
        <v>0</v>
      </c>
      <c r="CE44" s="96">
        <f t="shared" si="59"/>
        <v>2.2864250373047284E-4</v>
      </c>
    </row>
    <row r="45" spans="1:83" x14ac:dyDescent="0.25">
      <c r="A45" s="118">
        <v>77</v>
      </c>
      <c r="B45" s="1">
        <v>55</v>
      </c>
      <c r="C45" s="1">
        <v>77</v>
      </c>
      <c r="D45" s="1">
        <v>55</v>
      </c>
      <c r="E45" s="1">
        <v>77.827269999999999</v>
      </c>
      <c r="F45" s="6">
        <v>108.861912735112</v>
      </c>
      <c r="G45" s="211" t="s">
        <v>4</v>
      </c>
      <c r="H45" s="482">
        <v>1.22173</v>
      </c>
      <c r="I45" s="348">
        <v>1.9198599999999999</v>
      </c>
      <c r="J45" s="348">
        <v>1.22173</v>
      </c>
      <c r="K45" s="456">
        <v>1.9198599999999999</v>
      </c>
      <c r="L45" s="211" t="s">
        <v>31</v>
      </c>
      <c r="M45" s="56">
        <v>26400</v>
      </c>
      <c r="N45" s="1">
        <v>866.14200000000005</v>
      </c>
      <c r="O45" s="1">
        <v>10393.700000000001</v>
      </c>
      <c r="P45" s="1">
        <v>264</v>
      </c>
      <c r="Q45" s="1">
        <v>0.16404199999999999</v>
      </c>
      <c r="R45" s="1">
        <v>264000</v>
      </c>
      <c r="S45" s="1">
        <v>288.714</v>
      </c>
      <c r="T45" s="1">
        <v>264000000</v>
      </c>
      <c r="U45" s="1">
        <v>3979598558</v>
      </c>
      <c r="V45" s="1">
        <v>39795986</v>
      </c>
      <c r="W45" s="1">
        <v>397960</v>
      </c>
      <c r="X45" s="1">
        <v>3979.6</v>
      </c>
      <c r="Y45" s="1">
        <v>6168390</v>
      </c>
      <c r="Z45" s="1">
        <v>42836</v>
      </c>
      <c r="AA45" s="1">
        <v>39.795999999999999</v>
      </c>
      <c r="AB45" s="1">
        <v>0.39795999999999998</v>
      </c>
      <c r="AC45" s="6">
        <v>0.98338000000000003</v>
      </c>
      <c r="AD45" s="143">
        <v>4</v>
      </c>
      <c r="AE45" s="34">
        <v>77</v>
      </c>
      <c r="AF45" s="2">
        <v>55</v>
      </c>
      <c r="AG45" s="2">
        <v>77</v>
      </c>
      <c r="AH45" s="2">
        <v>55</v>
      </c>
      <c r="AI45" s="2">
        <v>77.827269999999999</v>
      </c>
      <c r="AJ45" s="42">
        <v>108.86188</v>
      </c>
      <c r="AK45" s="19" t="s">
        <v>4</v>
      </c>
      <c r="AL45" s="232">
        <v>1.22173</v>
      </c>
      <c r="AM45" s="76">
        <v>1.9198599999999999</v>
      </c>
      <c r="AN45" s="76">
        <v>1.22173</v>
      </c>
      <c r="AO45" s="322">
        <v>1.9198599999999999</v>
      </c>
      <c r="AP45" s="19" t="s">
        <v>31</v>
      </c>
      <c r="AQ45" s="34">
        <v>26400</v>
      </c>
      <c r="AR45" s="2">
        <v>866.14200000000005</v>
      </c>
      <c r="AS45" s="2">
        <v>10393.700000000001</v>
      </c>
      <c r="AT45" s="29">
        <f>AE45+AF45+AG45+AH45</f>
        <v>264</v>
      </c>
      <c r="AU45" s="2">
        <v>0.16404199999999999</v>
      </c>
      <c r="AV45" s="2">
        <v>264000</v>
      </c>
      <c r="AW45" s="2">
        <v>288.714</v>
      </c>
      <c r="AX45" s="2">
        <v>264000000</v>
      </c>
      <c r="AY45" s="2">
        <v>3979600000</v>
      </c>
      <c r="AZ45" s="2">
        <v>39796000</v>
      </c>
      <c r="BA45" s="2">
        <v>397960</v>
      </c>
      <c r="BB45" s="2">
        <f>(SQRT(((AE45+AF45+AI45)/2)*((AE45+AF45+AI45)/2-AE45)*((AE45+AF45+AI45)/2-AF45)*((AE45+AF45+AI45)/2-AI45)))+(SQRT(((AG45+AH45+AI45)/2)*((AG45+AH45+AI45)/2-AG45)*((AG45+AH45+AI45)/2-AH45)*((AG45+AH45+AI45)/2-AI45)))</f>
        <v>3979.5972607791714</v>
      </c>
      <c r="BC45" s="2">
        <v>6168392</v>
      </c>
      <c r="BD45" s="2">
        <v>42836.1</v>
      </c>
      <c r="BE45" s="2">
        <v>39.795999999999999</v>
      </c>
      <c r="BF45" s="2">
        <v>0.39795999999999998</v>
      </c>
      <c r="BG45" s="42">
        <v>0.98338099999999995</v>
      </c>
      <c r="BH45" s="238" t="s">
        <v>4</v>
      </c>
      <c r="BI45" s="251">
        <f t="shared" si="2"/>
        <v>0</v>
      </c>
      <c r="BJ45" s="73">
        <f t="shared" si="3"/>
        <v>0</v>
      </c>
      <c r="BK45" s="73">
        <f t="shared" si="4"/>
        <v>0</v>
      </c>
      <c r="BL45" s="73">
        <f t="shared" si="5"/>
        <v>0</v>
      </c>
      <c r="BM45" s="234">
        <f t="shared" si="6"/>
        <v>3.0070316625651647E-5</v>
      </c>
      <c r="BN45" s="238" t="s">
        <v>31</v>
      </c>
      <c r="BO45" s="214">
        <f t="shared" si="43"/>
        <v>0</v>
      </c>
      <c r="BP45" s="82">
        <f t="shared" si="44"/>
        <v>0</v>
      </c>
      <c r="BQ45" s="82">
        <f t="shared" si="45"/>
        <v>0</v>
      </c>
      <c r="BR45" s="82">
        <f t="shared" si="46"/>
        <v>0</v>
      </c>
      <c r="BS45" s="82">
        <f t="shared" si="47"/>
        <v>0</v>
      </c>
      <c r="BT45" s="82">
        <f t="shared" si="48"/>
        <v>0</v>
      </c>
      <c r="BU45" s="82">
        <f t="shared" si="49"/>
        <v>0</v>
      </c>
      <c r="BV45" s="82">
        <f t="shared" si="50"/>
        <v>0</v>
      </c>
      <c r="BW45" s="80">
        <f t="shared" si="51"/>
        <v>-3.6234797467082122E-5</v>
      </c>
      <c r="BX45" s="80">
        <f t="shared" si="52"/>
        <v>-3.5179415016584578E-5</v>
      </c>
      <c r="BY45" s="80">
        <f t="shared" si="53"/>
        <v>0</v>
      </c>
      <c r="BZ45" s="80">
        <f t="shared" si="54"/>
        <v>6.8831609055336742E-5</v>
      </c>
      <c r="CA45" s="80">
        <f t="shared" si="55"/>
        <v>-3.2423360901836327E-5</v>
      </c>
      <c r="CB45" s="80">
        <f t="shared" si="56"/>
        <v>-2.3344795627646965E-4</v>
      </c>
      <c r="CC45" s="80">
        <f t="shared" si="57"/>
        <v>0</v>
      </c>
      <c r="CD45" s="80">
        <f t="shared" si="58"/>
        <v>0</v>
      </c>
      <c r="CE45" s="96">
        <f t="shared" si="59"/>
        <v>-1.0168998586689528E-4</v>
      </c>
    </row>
    <row r="46" spans="1:83" x14ac:dyDescent="0.25">
      <c r="A46" s="118">
        <v>50</v>
      </c>
      <c r="B46" s="1">
        <v>100</v>
      </c>
      <c r="C46" s="1">
        <v>99.435670000000002</v>
      </c>
      <c r="D46" s="1">
        <v>40</v>
      </c>
      <c r="E46" s="1">
        <v>61.96566</v>
      </c>
      <c r="F46" s="6">
        <v>58.355792267544501</v>
      </c>
      <c r="G46" s="211" t="s">
        <v>10</v>
      </c>
      <c r="H46" s="482">
        <v>0.52359</v>
      </c>
      <c r="I46" s="348">
        <v>0.59387000000000001</v>
      </c>
      <c r="J46" s="348">
        <v>0.27878999999999998</v>
      </c>
      <c r="K46" s="456">
        <v>4.8869199999999999</v>
      </c>
      <c r="L46" s="211" t="s">
        <v>31</v>
      </c>
      <c r="M46" s="575">
        <v>46580156</v>
      </c>
      <c r="N46" s="1">
        <v>1528220</v>
      </c>
      <c r="O46" s="1">
        <v>18338644</v>
      </c>
      <c r="P46" s="1">
        <v>465802</v>
      </c>
      <c r="Q46" s="1">
        <v>289.43599999999998</v>
      </c>
      <c r="R46" s="1">
        <v>465801559</v>
      </c>
      <c r="S46" s="1">
        <v>509407</v>
      </c>
      <c r="T46" s="59">
        <v>465801558900</v>
      </c>
      <c r="U46" s="59">
        <v>4654928993145470</v>
      </c>
      <c r="V46" s="59">
        <v>46549289931455</v>
      </c>
      <c r="W46" s="59">
        <v>465492899315</v>
      </c>
      <c r="X46" s="1">
        <v>4654928993</v>
      </c>
      <c r="Y46" s="59">
        <v>7215154369684</v>
      </c>
      <c r="Z46" s="1">
        <v>50105238678</v>
      </c>
      <c r="AA46" s="1">
        <v>46549290</v>
      </c>
      <c r="AB46" s="1">
        <v>465493</v>
      </c>
      <c r="AC46" s="6">
        <v>1150258</v>
      </c>
      <c r="AD46" s="143">
        <v>5</v>
      </c>
      <c r="AE46" s="34">
        <v>50</v>
      </c>
      <c r="AF46" s="2">
        <v>100</v>
      </c>
      <c r="AG46" s="2">
        <v>99.435670000000002</v>
      </c>
      <c r="AH46" s="2">
        <v>40</v>
      </c>
      <c r="AI46" s="2">
        <v>61.96566</v>
      </c>
      <c r="AJ46" s="42">
        <v>58.355899999999998</v>
      </c>
      <c r="AK46" s="19" t="s">
        <v>10</v>
      </c>
      <c r="AL46" s="34">
        <v>0.52359999999999995</v>
      </c>
      <c r="AM46" s="2">
        <v>0.59387000000000001</v>
      </c>
      <c r="AN46" s="2">
        <v>0.27878999999999998</v>
      </c>
      <c r="AO46" s="42">
        <v>4.8869199999999999</v>
      </c>
      <c r="AP46" s="19" t="s">
        <v>31</v>
      </c>
      <c r="AQ46" s="34">
        <v>46580209</v>
      </c>
      <c r="AR46" s="2">
        <v>1528222</v>
      </c>
      <c r="AS46" s="2">
        <v>18338665</v>
      </c>
      <c r="AT46" s="2">
        <v>465802</v>
      </c>
      <c r="AU46" s="2">
        <f>AE46+AF46+AG46+AH46</f>
        <v>289.43567000000002</v>
      </c>
      <c r="AV46" s="2">
        <v>465802090</v>
      </c>
      <c r="AW46" s="2">
        <v>509407</v>
      </c>
      <c r="AX46" s="29">
        <v>465802089984</v>
      </c>
      <c r="AY46" s="29">
        <v>4654928993000000</v>
      </c>
      <c r="AZ46" s="29">
        <v>46549289930000</v>
      </c>
      <c r="BA46" s="29">
        <v>465492899300</v>
      </c>
      <c r="BB46" s="2">
        <f>((SQRT(((AE46+AF46+AI46)/2)*((AE46+AF46+AI46)/2-AE46)*((AE46+AF46+AI46)/2-AF46)*((AE46+AF46+AI46)/2-AI46)))+(SQRT(((AG46+AH46+AI46)/2)*((AG46+AH46+AI46)/2-AG46)*((AG46+AH46+AI46)/2-AH46)*((AG46+AH46+AI46)/2-AI46))))*1609.344*1609.344</f>
        <v>4654928993.1454678</v>
      </c>
      <c r="BC46" s="29">
        <v>7215154369459</v>
      </c>
      <c r="BD46" s="2">
        <v>50105238677</v>
      </c>
      <c r="BE46" s="2">
        <v>46549290</v>
      </c>
      <c r="BF46" s="2">
        <v>465493</v>
      </c>
      <c r="BG46" s="42">
        <v>1150258</v>
      </c>
      <c r="BH46" s="238" t="s">
        <v>10</v>
      </c>
      <c r="BI46" s="251">
        <f t="shared" si="2"/>
        <v>-1.9098548510226301E-3</v>
      </c>
      <c r="BJ46" s="73">
        <f t="shared" si="3"/>
        <v>0</v>
      </c>
      <c r="BK46" s="73">
        <f t="shared" si="4"/>
        <v>0</v>
      </c>
      <c r="BL46" s="73">
        <f t="shared" si="5"/>
        <v>0</v>
      </c>
      <c r="BM46" s="234">
        <f t="shared" si="6"/>
        <v>-1.8461279064670497E-4</v>
      </c>
      <c r="BN46" s="238" t="s">
        <v>31</v>
      </c>
      <c r="BO46" s="214">
        <f t="shared" si="43"/>
        <v>-1.1378222884315526E-4</v>
      </c>
      <c r="BP46" s="82">
        <f t="shared" si="44"/>
        <v>-1.3087103837007975E-4</v>
      </c>
      <c r="BQ46" s="82">
        <f t="shared" si="45"/>
        <v>-1.14512152329518E-4</v>
      </c>
      <c r="BR46" s="82">
        <f t="shared" si="46"/>
        <v>0</v>
      </c>
      <c r="BS46" s="82">
        <f t="shared" si="47"/>
        <v>1.1401497264060022E-4</v>
      </c>
      <c r="BT46" s="82">
        <f t="shared" si="48"/>
        <v>-1.1399691229380271E-4</v>
      </c>
      <c r="BU46" s="82">
        <f t="shared" si="49"/>
        <v>0</v>
      </c>
      <c r="BV46" s="82">
        <f t="shared" si="50"/>
        <v>-1.1401494570757345E-4</v>
      </c>
      <c r="BW46" s="80">
        <f t="shared" si="51"/>
        <v>3.1250745224847729E-9</v>
      </c>
      <c r="BX46" s="80">
        <f t="shared" si="52"/>
        <v>3.1257190006292325E-9</v>
      </c>
      <c r="BY46" s="80">
        <f t="shared" si="53"/>
        <v>3.2223907222981778E-9</v>
      </c>
      <c r="BZ46" s="80">
        <f t="shared" si="54"/>
        <v>-3.1250263622262956E-9</v>
      </c>
      <c r="CA46" s="80">
        <f t="shared" si="55"/>
        <v>3.1184363975967259E-9</v>
      </c>
      <c r="CB46" s="80">
        <f t="shared" si="56"/>
        <v>1.9957992944538829E-9</v>
      </c>
      <c r="CC46" s="80">
        <f t="shared" si="57"/>
        <v>0</v>
      </c>
      <c r="CD46" s="80">
        <f t="shared" si="58"/>
        <v>0</v>
      </c>
      <c r="CE46" s="96">
        <f t="shared" si="59"/>
        <v>0</v>
      </c>
    </row>
    <row r="47" spans="1:83" x14ac:dyDescent="0.25">
      <c r="A47" s="118">
        <v>149.71458999999999</v>
      </c>
      <c r="B47" s="1">
        <v>65</v>
      </c>
      <c r="C47" s="1">
        <v>72</v>
      </c>
      <c r="D47" s="1">
        <v>45</v>
      </c>
      <c r="E47" s="1">
        <v>110.33123000000001</v>
      </c>
      <c r="F47" s="6">
        <v>124.199335151626</v>
      </c>
      <c r="G47" s="211" t="s">
        <v>6</v>
      </c>
      <c r="H47" s="482">
        <v>0.73282000000000003</v>
      </c>
      <c r="I47" s="348">
        <v>2.26892</v>
      </c>
      <c r="J47" s="348">
        <v>2.44346</v>
      </c>
      <c r="K47" s="456">
        <v>0.83796000000000004</v>
      </c>
      <c r="L47" s="211" t="s">
        <v>31</v>
      </c>
      <c r="M47" s="56">
        <v>33.171500000000002</v>
      </c>
      <c r="N47" s="1">
        <v>1.0883</v>
      </c>
      <c r="O47" s="1">
        <v>13.0596</v>
      </c>
      <c r="P47" s="1">
        <v>0.33171499999999998</v>
      </c>
      <c r="Q47" s="316">
        <v>2.0611800000000001E-4</v>
      </c>
      <c r="R47" s="1">
        <v>331.71499999999997</v>
      </c>
      <c r="S47" s="1">
        <v>0.36276700000000001</v>
      </c>
      <c r="T47" s="1">
        <v>331715</v>
      </c>
      <c r="U47" s="348">
        <v>4296.3599999999997</v>
      </c>
      <c r="V47" s="78">
        <v>42.9636</v>
      </c>
      <c r="W47" s="78">
        <v>0.42963600000000002</v>
      </c>
      <c r="X47" s="326">
        <v>4.2963599999999999E-3</v>
      </c>
      <c r="Y47" s="78">
        <v>6.65937</v>
      </c>
      <c r="Z47" s="78">
        <v>4.6245599999999998E-2</v>
      </c>
      <c r="AA47" s="49">
        <v>4.2963598561946402E-5</v>
      </c>
      <c r="AB47" s="58">
        <v>4.2963598561946402E-7</v>
      </c>
      <c r="AC47" s="579">
        <v>1.06165364118519E-6</v>
      </c>
      <c r="AD47" s="143">
        <v>6</v>
      </c>
      <c r="AE47" s="34">
        <v>149.71458999999999</v>
      </c>
      <c r="AF47" s="2">
        <v>65</v>
      </c>
      <c r="AG47" s="2">
        <v>72</v>
      </c>
      <c r="AH47" s="2">
        <v>45</v>
      </c>
      <c r="AI47" s="2">
        <v>110.33123000000001</v>
      </c>
      <c r="AJ47" s="42">
        <v>124.19946</v>
      </c>
      <c r="AK47" s="19" t="s">
        <v>6</v>
      </c>
      <c r="AL47" s="34">
        <v>0.73282999999999998</v>
      </c>
      <c r="AM47" s="2">
        <v>2.2689300000000001</v>
      </c>
      <c r="AN47" s="2">
        <v>2.44346</v>
      </c>
      <c r="AO47" s="42">
        <v>0.83796999999999999</v>
      </c>
      <c r="AP47" s="19" t="s">
        <v>31</v>
      </c>
      <c r="AQ47" s="34">
        <v>33.171500000000002</v>
      </c>
      <c r="AR47" s="2">
        <v>1.0883</v>
      </c>
      <c r="AS47" s="2">
        <v>13.0596</v>
      </c>
      <c r="AT47" s="2">
        <v>0.33171499999999998</v>
      </c>
      <c r="AU47" s="302">
        <v>2.0611800000000001E-4</v>
      </c>
      <c r="AV47" s="2">
        <f>AE47+AF47+AG47+AH47</f>
        <v>331.71458999999999</v>
      </c>
      <c r="AW47" s="2">
        <v>0.36276799999999998</v>
      </c>
      <c r="AX47" s="2">
        <v>331715</v>
      </c>
      <c r="AY47" s="2">
        <f>(SQRT(((AE47+AF47+AI47)/2)*((AE47+AF47+AI47)/2-AE47)*((AE47+AF47+AI47)/2-AF47)*((AE47+AF47+AI47)/2-AI47)))+(SQRT(((AG47+AH47+AI47)/2)*((AG47+AH47+AI47)/2-AG47)*((AG47+AH47+AI47)/2-AH47)*((AG47+AH47+AI47)/2-AI47)))</f>
        <v>4296.3598561946383</v>
      </c>
      <c r="AZ47" s="2">
        <v>42.9636</v>
      </c>
      <c r="BA47" s="2">
        <v>0.42963600000000002</v>
      </c>
      <c r="BB47" s="309">
        <v>4.2963599999999999E-3</v>
      </c>
      <c r="BC47" s="2">
        <v>6.65937</v>
      </c>
      <c r="BD47" s="342">
        <v>4.6245599999999998E-2</v>
      </c>
      <c r="BE47" s="323">
        <v>4.2963600000000003E-5</v>
      </c>
      <c r="BF47" s="360">
        <v>4.2963600000000002E-7</v>
      </c>
      <c r="BG47" s="43">
        <v>1.06165367672027E-6</v>
      </c>
      <c r="BH47" s="238" t="s">
        <v>6</v>
      </c>
      <c r="BI47" s="251">
        <f t="shared" si="2"/>
        <v>-1.36457295688693E-3</v>
      </c>
      <c r="BJ47" s="73">
        <f t="shared" si="3"/>
        <v>-4.4073638235051372E-4</v>
      </c>
      <c r="BK47" s="73">
        <f t="shared" si="4"/>
        <v>0</v>
      </c>
      <c r="BL47" s="73">
        <f t="shared" si="5"/>
        <v>-1.1933601441524743E-3</v>
      </c>
      <c r="BM47" s="234">
        <f t="shared" si="6"/>
        <v>-1.0052247731186017E-4</v>
      </c>
      <c r="BN47" s="238" t="s">
        <v>31</v>
      </c>
      <c r="BO47" s="214">
        <f t="shared" si="43"/>
        <v>0</v>
      </c>
      <c r="BP47" s="82">
        <f t="shared" si="44"/>
        <v>0</v>
      </c>
      <c r="BQ47" s="82">
        <f t="shared" si="45"/>
        <v>0</v>
      </c>
      <c r="BR47" s="82">
        <f t="shared" si="46"/>
        <v>0</v>
      </c>
      <c r="BS47" s="82">
        <f t="shared" si="47"/>
        <v>0</v>
      </c>
      <c r="BT47" s="82">
        <f t="shared" si="48"/>
        <v>1.2360023114691188E-4</v>
      </c>
      <c r="BU47" s="82">
        <f t="shared" si="49"/>
        <v>-2.7565827194604942E-4</v>
      </c>
      <c r="BV47" s="82">
        <f t="shared" si="50"/>
        <v>0</v>
      </c>
      <c r="BW47" s="80">
        <f t="shared" si="51"/>
        <v>3.3471442387780703E-6</v>
      </c>
      <c r="BX47" s="80">
        <f t="shared" si="52"/>
        <v>0</v>
      </c>
      <c r="BY47" s="80">
        <f t="shared" si="53"/>
        <v>0</v>
      </c>
      <c r="BZ47" s="80">
        <f t="shared" si="54"/>
        <v>0</v>
      </c>
      <c r="CA47" s="80">
        <f t="shared" si="55"/>
        <v>0</v>
      </c>
      <c r="CB47" s="80">
        <f t="shared" si="56"/>
        <v>0</v>
      </c>
      <c r="CC47" s="80">
        <f t="shared" si="57"/>
        <v>-3.3471440974169569E-6</v>
      </c>
      <c r="CD47" s="80">
        <f t="shared" si="58"/>
        <v>-3.347144095938322E-6</v>
      </c>
      <c r="CE47" s="96">
        <f t="shared" si="59"/>
        <v>-3.3471442552719656E-6</v>
      </c>
    </row>
    <row r="48" spans="1:83" x14ac:dyDescent="0.25">
      <c r="A48" s="118">
        <v>25</v>
      </c>
      <c r="B48" s="1">
        <v>88.358009999999993</v>
      </c>
      <c r="C48" s="1">
        <v>95.000399999999999</v>
      </c>
      <c r="D48" s="1">
        <v>35</v>
      </c>
      <c r="E48" s="1">
        <v>86.252989999999997</v>
      </c>
      <c r="F48" s="241">
        <v>59.999999998675698</v>
      </c>
      <c r="G48" s="211" t="s">
        <v>7</v>
      </c>
      <c r="H48" s="482">
        <v>1.34419</v>
      </c>
      <c r="I48" s="348">
        <v>0.66293000000000002</v>
      </c>
      <c r="J48" s="348">
        <v>1.13445</v>
      </c>
      <c r="K48" s="456">
        <v>3.1415999999999999</v>
      </c>
      <c r="L48" s="211" t="s">
        <v>31</v>
      </c>
      <c r="M48" s="56">
        <v>22252.7</v>
      </c>
      <c r="N48" s="1">
        <v>730.07500000000005</v>
      </c>
      <c r="O48" s="1">
        <v>8760.9</v>
      </c>
      <c r="P48" s="1">
        <v>222.52699999999999</v>
      </c>
      <c r="Q48" s="1">
        <v>0.13827200000000001</v>
      </c>
      <c r="R48" s="1">
        <v>222527</v>
      </c>
      <c r="S48" s="1">
        <v>243.358</v>
      </c>
      <c r="T48" s="1">
        <v>222526930</v>
      </c>
      <c r="U48" s="1">
        <v>2159695281</v>
      </c>
      <c r="V48" s="1">
        <v>21596953</v>
      </c>
      <c r="W48" s="1">
        <v>215970</v>
      </c>
      <c r="X48" s="1">
        <v>2159.6999999999998</v>
      </c>
      <c r="Y48" s="1">
        <v>3347534</v>
      </c>
      <c r="Z48" s="1">
        <v>23246.799999999999</v>
      </c>
      <c r="AA48" s="1">
        <v>21.597000000000001</v>
      </c>
      <c r="AB48" s="1">
        <v>0.21597</v>
      </c>
      <c r="AC48" s="6">
        <v>0.53367200000000004</v>
      </c>
      <c r="AD48" s="143">
        <v>7</v>
      </c>
      <c r="AE48" s="34">
        <v>25</v>
      </c>
      <c r="AF48" s="2">
        <v>88.358009999999993</v>
      </c>
      <c r="AG48" s="2">
        <v>95.000399999999999</v>
      </c>
      <c r="AH48" s="2">
        <v>35</v>
      </c>
      <c r="AI48" s="2">
        <v>86.252989999999997</v>
      </c>
      <c r="AJ48" s="42">
        <v>60</v>
      </c>
      <c r="AK48" s="19" t="s">
        <v>7</v>
      </c>
      <c r="AL48" s="34">
        <v>1.34419</v>
      </c>
      <c r="AM48" s="2">
        <v>0.66293000000000002</v>
      </c>
      <c r="AN48" s="2">
        <v>1.13446</v>
      </c>
      <c r="AO48" s="42">
        <v>3.1415899999999999</v>
      </c>
      <c r="AP48" s="19" t="s">
        <v>31</v>
      </c>
      <c r="AQ48" s="34">
        <v>22252.7</v>
      </c>
      <c r="AR48" s="2">
        <v>730.07399999999996</v>
      </c>
      <c r="AS48" s="2">
        <v>8760.89</v>
      </c>
      <c r="AT48" s="2">
        <v>222.52699999999999</v>
      </c>
      <c r="AU48" s="2">
        <v>0.13827200000000001</v>
      </c>
      <c r="AV48" s="2">
        <v>222527</v>
      </c>
      <c r="AW48" s="2">
        <f>AE48+AF48+AG48+AH48</f>
        <v>243.35840999999999</v>
      </c>
      <c r="AX48" s="2">
        <v>222526555</v>
      </c>
      <c r="AY48" s="2">
        <v>2159700000</v>
      </c>
      <c r="AZ48" s="2">
        <v>21597000</v>
      </c>
      <c r="BA48" s="2">
        <v>215970</v>
      </c>
      <c r="BB48" s="2">
        <f>((SQRT(((AE48+AF48+AI48)/2)*((AE48+AF48+AI48)/2-AE48)*((AE48+AF48+AI48)/2-AF48)*((AE48+AF48+AI48)/2-AI48)))+(SQRT(((AG48+AH48+AI48)/2)*((AG48+AH48+AI48)/2-AG48)*((AG48+AH48+AI48)/2-AH48)*((AG48+AH48+AI48)/2-AI48))))*0.9144*0.9144</f>
        <v>2159.6952808538053</v>
      </c>
      <c r="BC48" s="2">
        <v>3347542</v>
      </c>
      <c r="BD48" s="2">
        <v>23246.799999999999</v>
      </c>
      <c r="BE48" s="2">
        <v>21.597000000000001</v>
      </c>
      <c r="BF48" s="2">
        <v>0.21597</v>
      </c>
      <c r="BG48" s="42">
        <v>0.53367299999999995</v>
      </c>
      <c r="BH48" s="238" t="s">
        <v>7</v>
      </c>
      <c r="BI48" s="251">
        <f t="shared" si="2"/>
        <v>0</v>
      </c>
      <c r="BJ48" s="73">
        <f t="shared" si="3"/>
        <v>0</v>
      </c>
      <c r="BK48" s="73">
        <f t="shared" si="4"/>
        <v>-8.8147664968932454E-4</v>
      </c>
      <c r="BL48" s="73">
        <f t="shared" si="5"/>
        <v>3.1831015505096185E-4</v>
      </c>
      <c r="BM48" s="234">
        <f t="shared" si="6"/>
        <v>-2.2071707424705287E-9</v>
      </c>
      <c r="BN48" s="238" t="s">
        <v>31</v>
      </c>
      <c r="BO48" s="214">
        <f t="shared" si="43"/>
        <v>0</v>
      </c>
      <c r="BP48" s="82">
        <f t="shared" si="44"/>
        <v>1.3697241650709928E-4</v>
      </c>
      <c r="BQ48" s="82">
        <f t="shared" si="45"/>
        <v>1.1414365435724315E-4</v>
      </c>
      <c r="BR48" s="82">
        <f t="shared" si="46"/>
        <v>0</v>
      </c>
      <c r="BS48" s="82">
        <f t="shared" si="47"/>
        <v>0</v>
      </c>
      <c r="BT48" s="82">
        <f t="shared" si="48"/>
        <v>0</v>
      </c>
      <c r="BU48" s="82">
        <f t="shared" si="49"/>
        <v>-1.6847578844225315E-4</v>
      </c>
      <c r="BV48" s="82">
        <f t="shared" si="50"/>
        <v>1.6851921335860344E-4</v>
      </c>
      <c r="BW48" s="80">
        <f t="shared" si="51"/>
        <v>-2.1850256980136129E-4</v>
      </c>
      <c r="BX48" s="80">
        <f t="shared" si="52"/>
        <v>-2.1762281798397927E-4</v>
      </c>
      <c r="BY48" s="80">
        <f t="shared" si="53"/>
        <v>0</v>
      </c>
      <c r="BZ48" s="80">
        <f t="shared" si="54"/>
        <v>2.1850981646861031E-4</v>
      </c>
      <c r="CA48" s="80">
        <f t="shared" si="55"/>
        <v>-2.3898131823290043E-4</v>
      </c>
      <c r="CB48" s="80">
        <f t="shared" si="56"/>
        <v>0</v>
      </c>
      <c r="CC48" s="80">
        <f t="shared" si="57"/>
        <v>0</v>
      </c>
      <c r="CD48" s="80">
        <f t="shared" si="58"/>
        <v>0</v>
      </c>
      <c r="CE48" s="96">
        <f t="shared" si="59"/>
        <v>-1.8738066192551121E-4</v>
      </c>
    </row>
    <row r="49" spans="1:83" x14ac:dyDescent="0.25">
      <c r="A49" s="118">
        <v>111</v>
      </c>
      <c r="B49" s="1">
        <v>55</v>
      </c>
      <c r="C49" s="1">
        <v>56</v>
      </c>
      <c r="D49" s="1">
        <v>77.781739999999999</v>
      </c>
      <c r="E49" s="1">
        <v>123.87897</v>
      </c>
      <c r="F49" s="6">
        <v>78.492036979343695</v>
      </c>
      <c r="G49" s="211" t="s">
        <v>20</v>
      </c>
      <c r="H49" s="482">
        <v>1.5707899999999999</v>
      </c>
      <c r="I49" s="348">
        <v>1.5707899999999999</v>
      </c>
      <c r="J49" s="348">
        <v>2.3561899999999998</v>
      </c>
      <c r="K49" s="456">
        <v>0.78539000000000003</v>
      </c>
      <c r="L49" s="211" t="s">
        <v>31</v>
      </c>
      <c r="M49" s="56">
        <v>2.99782E-2</v>
      </c>
      <c r="N49" s="316">
        <v>9.8353599999999992E-4</v>
      </c>
      <c r="O49" s="1">
        <v>1.1802399999999999E-2</v>
      </c>
      <c r="P49" s="316">
        <v>2.9978200000000001E-4</v>
      </c>
      <c r="Q49" s="58">
        <v>1.8627573719478199E-7</v>
      </c>
      <c r="R49" s="315">
        <v>0.29978199999999999</v>
      </c>
      <c r="S49" s="316">
        <v>3.27845E-4</v>
      </c>
      <c r="T49" s="1">
        <v>299.78199999999998</v>
      </c>
      <c r="U49" s="78">
        <v>4.5925000000000002E-3</v>
      </c>
      <c r="V49" s="49">
        <v>4.5924997324550299E-5</v>
      </c>
      <c r="W49" s="58">
        <v>4.5924997324550302E-7</v>
      </c>
      <c r="X49" s="447">
        <v>4.5924997324550297E-9</v>
      </c>
      <c r="Y49" s="50">
        <v>7.1183888220829497E-6</v>
      </c>
      <c r="Z49" s="51">
        <v>4.9433255708909298E-8</v>
      </c>
      <c r="AA49" s="525">
        <v>4.5924997324550301E-11</v>
      </c>
      <c r="AB49" s="525">
        <v>4.5924997324550304E-13</v>
      </c>
      <c r="AC49" s="580">
        <v>1.13483139827616E-12</v>
      </c>
      <c r="AD49" s="143">
        <v>8</v>
      </c>
      <c r="AE49" s="34">
        <v>111</v>
      </c>
      <c r="AF49" s="2">
        <v>55</v>
      </c>
      <c r="AG49" s="2">
        <v>56</v>
      </c>
      <c r="AH49" s="2">
        <v>77.781739999999999</v>
      </c>
      <c r="AI49" s="2">
        <v>123.87897</v>
      </c>
      <c r="AJ49" s="42">
        <v>78.492040000000003</v>
      </c>
      <c r="AK49" s="19" t="s">
        <v>20</v>
      </c>
      <c r="AL49" s="34">
        <v>1.5708</v>
      </c>
      <c r="AM49" s="2">
        <v>1.5708</v>
      </c>
      <c r="AN49" s="2">
        <v>2.3561899999999998</v>
      </c>
      <c r="AO49" s="42">
        <v>0.78539999999999999</v>
      </c>
      <c r="AP49" s="19" t="s">
        <v>31</v>
      </c>
      <c r="AQ49" s="34">
        <v>2.99782E-2</v>
      </c>
      <c r="AR49" s="302">
        <v>9.8353700000000004E-4</v>
      </c>
      <c r="AS49" s="2">
        <v>1.1802399999999999E-2</v>
      </c>
      <c r="AT49" s="302">
        <v>2.9978200000000001E-4</v>
      </c>
      <c r="AU49" s="526">
        <v>1.8627589875129201E-7</v>
      </c>
      <c r="AV49" s="2">
        <v>0.29978199999999999</v>
      </c>
      <c r="AW49" s="302">
        <v>3.2784600000000002E-4</v>
      </c>
      <c r="AX49" s="2">
        <f>AE49+AF49+AG49+AH49</f>
        <v>299.78174000000001</v>
      </c>
      <c r="AY49" s="2">
        <f>((SQRT(((AE49+AF49+AI49)/2)*((AE49+AF49+AI49)/2-AE49)*((AE49+AF49+AI49)/2-AF49)*((AE49+AF49+AI49)/2-AI49)))+(SQRT(((AG49+AH49+AI49)/2)*((AG49+AH49+AI49)/2-AG49)*((AG49+AH49+AI49)/2-AH49)*((AG49+AH49+AI49)/2-AI49))))/1000/1000</f>
        <v>4.5924997324550331E-3</v>
      </c>
      <c r="AZ49" s="302">
        <v>4.5924999999999998E-5</v>
      </c>
      <c r="BA49" s="23">
        <v>4.5924999999999999E-7</v>
      </c>
      <c r="BB49" s="31">
        <v>4.5924999999999996E-9</v>
      </c>
      <c r="BC49" s="33">
        <v>7.1183892367784697E-6</v>
      </c>
      <c r="BD49" s="527">
        <v>4.9433258588739401E-8</v>
      </c>
      <c r="BE49" s="32">
        <v>4.5924999999999999E-11</v>
      </c>
      <c r="BF49" s="528">
        <v>4.5924999999999999E-13</v>
      </c>
      <c r="BG49" s="591">
        <v>1.1348314643879599E-12</v>
      </c>
      <c r="BH49" s="238" t="s">
        <v>20</v>
      </c>
      <c r="BI49" s="251">
        <f t="shared" si="2"/>
        <v>-6.3661828368127783E-4</v>
      </c>
      <c r="BJ49" s="73">
        <f t="shared" si="3"/>
        <v>-6.3661828368127783E-4</v>
      </c>
      <c r="BK49" s="73">
        <f t="shared" si="4"/>
        <v>0</v>
      </c>
      <c r="BL49" s="73">
        <f t="shared" si="5"/>
        <v>-1.2732365673484198E-3</v>
      </c>
      <c r="BM49" s="234">
        <f t="shared" si="6"/>
        <v>-3.8483600479675419E-6</v>
      </c>
      <c r="BN49" s="238" t="s">
        <v>31</v>
      </c>
      <c r="BO49" s="214">
        <f t="shared" si="43"/>
        <v>0</v>
      </c>
      <c r="BP49" s="82">
        <f t="shared" si="44"/>
        <v>-1.0167385671552422E-4</v>
      </c>
      <c r="BQ49" s="82">
        <f t="shared" si="45"/>
        <v>0</v>
      </c>
      <c r="BR49" s="82">
        <f t="shared" si="46"/>
        <v>0</v>
      </c>
      <c r="BS49" s="82">
        <f t="shared" si="47"/>
        <v>-8.6729690261241505E-5</v>
      </c>
      <c r="BT49" s="82">
        <f t="shared" si="48"/>
        <v>0</v>
      </c>
      <c r="BU49" s="82">
        <f t="shared" si="49"/>
        <v>-3.0502125998662337E-4</v>
      </c>
      <c r="BV49" s="82">
        <f t="shared" si="50"/>
        <v>8.6729765451638478E-5</v>
      </c>
      <c r="BW49" s="80">
        <f t="shared" si="51"/>
        <v>5.8256936890569099E-6</v>
      </c>
      <c r="BX49" s="80">
        <f t="shared" si="52"/>
        <v>-5.8256934104607279E-6</v>
      </c>
      <c r="BY49" s="80">
        <f t="shared" si="53"/>
        <v>-5.8256934063108662E-6</v>
      </c>
      <c r="BZ49" s="80">
        <f t="shared" si="54"/>
        <v>-5.8256934106336395E-6</v>
      </c>
      <c r="CA49" s="80">
        <f t="shared" si="55"/>
        <v>-5.8256932313519486E-6</v>
      </c>
      <c r="CB49" s="80">
        <f t="shared" si="56"/>
        <v>-5.8256934410757351E-6</v>
      </c>
      <c r="CC49" s="80">
        <f t="shared" si="57"/>
        <v>-5.8256934083821946E-6</v>
      </c>
      <c r="CD49" s="80">
        <f t="shared" si="58"/>
        <v>-5.8256934013464315E-6</v>
      </c>
      <c r="CE49" s="96">
        <f t="shared" si="59"/>
        <v>-5.8256932454695459E-6</v>
      </c>
    </row>
    <row r="50" spans="1:83" x14ac:dyDescent="0.25">
      <c r="A50" s="118">
        <v>67.5</v>
      </c>
      <c r="B50" s="1">
        <v>73.280150000000006</v>
      </c>
      <c r="C50" s="1">
        <v>117.44826999999999</v>
      </c>
      <c r="D50" s="1">
        <v>108</v>
      </c>
      <c r="E50" s="1">
        <v>135.58026000000001</v>
      </c>
      <c r="F50" s="6">
        <v>71.072447849359506</v>
      </c>
      <c r="G50" s="211" t="s">
        <v>9</v>
      </c>
      <c r="H50" s="482">
        <v>3.6873399999999998</v>
      </c>
      <c r="I50" s="348">
        <v>0.60958999999999997</v>
      </c>
      <c r="J50" s="348">
        <v>1.2881100000000001</v>
      </c>
      <c r="K50" s="456">
        <v>0.69811999999999996</v>
      </c>
      <c r="L50" s="211" t="s">
        <v>31</v>
      </c>
      <c r="M50" s="56">
        <v>366.22800000000001</v>
      </c>
      <c r="N50" s="316">
        <v>12.0154</v>
      </c>
      <c r="O50" s="1">
        <v>144.184</v>
      </c>
      <c r="P50" s="348">
        <v>3.66228</v>
      </c>
      <c r="Q50" s="326">
        <v>2.2756400000000002E-3</v>
      </c>
      <c r="R50" s="315">
        <v>3662.28</v>
      </c>
      <c r="S50" s="316">
        <v>4.0051199999999998</v>
      </c>
      <c r="T50" s="1">
        <v>3662284</v>
      </c>
      <c r="U50" s="59">
        <v>480676</v>
      </c>
      <c r="V50" s="347">
        <v>4806.76</v>
      </c>
      <c r="W50" s="347">
        <v>48.067599999999999</v>
      </c>
      <c r="X50" s="315">
        <v>0.48067599999999999</v>
      </c>
      <c r="Y50" s="349">
        <v>745.04899999999998</v>
      </c>
      <c r="Z50" s="348">
        <v>5.1739499999999996</v>
      </c>
      <c r="AA50" s="326">
        <v>4.8067600000000002E-3</v>
      </c>
      <c r="AB50" s="49">
        <v>4.8067581387101499E-5</v>
      </c>
      <c r="AC50" s="578">
        <v>1.1877799999999999E-4</v>
      </c>
      <c r="AD50" s="143">
        <v>9</v>
      </c>
      <c r="AE50" s="34">
        <v>67.5</v>
      </c>
      <c r="AF50" s="2">
        <v>73.280150000000006</v>
      </c>
      <c r="AG50" s="2">
        <v>117.44826999999999</v>
      </c>
      <c r="AH50" s="2">
        <v>108</v>
      </c>
      <c r="AI50" s="2">
        <v>135.58026000000001</v>
      </c>
      <c r="AJ50" s="42">
        <v>71.072569999999999</v>
      </c>
      <c r="AK50" s="19" t="s">
        <v>9</v>
      </c>
      <c r="AL50" s="34">
        <f>0.5457+3.14159</f>
        <v>3.68729</v>
      </c>
      <c r="AM50" s="2">
        <v>0.60960000000000003</v>
      </c>
      <c r="AN50" s="2">
        <v>1.2881199999999999</v>
      </c>
      <c r="AO50" s="42">
        <v>0.69813000000000003</v>
      </c>
      <c r="AP50" s="19" t="s">
        <v>31</v>
      </c>
      <c r="AQ50" s="476">
        <f>AE50+AF50+AG50+AH50</f>
        <v>366.22841999999997</v>
      </c>
      <c r="AR50" s="307">
        <v>12.0154</v>
      </c>
      <c r="AS50" s="540">
        <v>144.184</v>
      </c>
      <c r="AT50" s="541">
        <v>3.66228</v>
      </c>
      <c r="AU50" s="543">
        <v>2.2756400000000002E-3</v>
      </c>
      <c r="AV50" s="540">
        <v>3662.28</v>
      </c>
      <c r="AW50" s="541">
        <v>4.0051199999999998</v>
      </c>
      <c r="AX50" s="540">
        <v>3662280</v>
      </c>
      <c r="AY50" s="2">
        <v>480677</v>
      </c>
      <c r="AZ50" s="2">
        <f>(SQRT(((AE50+AH50+AJ50)/2)*((AE50+AH50+AJ50)/2-AE50)*((AE50+AH50+AJ50)/2-AH50)*((AE50+AH50+AJ50)/2-AJ50)))+(SQRT(((AF50+AG50+AJ50)/2)*((AF50+AG50+AJ50)/2-AF50)*((AF50+AG50+AJ50)/2-AG50)*((AF50+AG50+AJ50)/2-AJ50)))</f>
        <v>4806.769527894061</v>
      </c>
      <c r="BA50" s="307">
        <v>48.067700000000002</v>
      </c>
      <c r="BB50" s="31">
        <v>0.48067700000000002</v>
      </c>
      <c r="BC50" s="2">
        <v>745.05100000000004</v>
      </c>
      <c r="BD50" s="186">
        <v>5.1739600000000001</v>
      </c>
      <c r="BE50" s="23">
        <v>4.8067700000000001E-3</v>
      </c>
      <c r="BF50" s="23">
        <v>4.8067700000000001E-5</v>
      </c>
      <c r="BG50" s="592">
        <v>1.1877799999999999E-4</v>
      </c>
      <c r="BH50" s="238" t="s">
        <v>9</v>
      </c>
      <c r="BI50" s="251">
        <f t="shared" si="2"/>
        <v>1.356009426974376E-3</v>
      </c>
      <c r="BJ50" s="73">
        <f t="shared" si="3"/>
        <v>-1.6404199475173083E-3</v>
      </c>
      <c r="BK50" s="73">
        <f t="shared" si="4"/>
        <v>-7.7632518708221812E-4</v>
      </c>
      <c r="BL50" s="73">
        <f t="shared" si="5"/>
        <v>-1.4323979774634398E-3</v>
      </c>
      <c r="BM50" s="234">
        <f t="shared" si="6"/>
        <v>-1.7186748768638317E-4</v>
      </c>
      <c r="BN50" s="238" t="s">
        <v>31</v>
      </c>
      <c r="BO50" s="214">
        <f t="shared" si="43"/>
        <v>-1.1468252517453001E-4</v>
      </c>
      <c r="BP50" s="82">
        <f t="shared" si="44"/>
        <v>0</v>
      </c>
      <c r="BQ50" s="82">
        <f t="shared" ref="BQ50:BQ55" si="60">(100*(O50-AS50))/AS50</f>
        <v>0</v>
      </c>
      <c r="BR50" s="82">
        <f t="shared" ref="BR50:BR55" si="61">(100*(P50-AT50))/AT50</f>
        <v>0</v>
      </c>
      <c r="BS50" s="82">
        <f t="shared" ref="BS50:BS55" si="62">(100*(Q50-AU50))/AU50</f>
        <v>0</v>
      </c>
      <c r="BT50" s="82">
        <f t="shared" ref="BT50:BT55" si="63">(100*(R50-AV50))/AV50</f>
        <v>0</v>
      </c>
      <c r="BU50" s="82">
        <f t="shared" ref="BU50:BU55" si="64">(100*(S50-AW50))/AW50</f>
        <v>0</v>
      </c>
      <c r="BV50" s="82">
        <f t="shared" ref="BV50:BV55" si="65">(100*(T50-AX50))/AX50</f>
        <v>1.0922157781491312E-4</v>
      </c>
      <c r="BW50" s="80">
        <f t="shared" ref="BW50:BW55" si="66">(100*(U50-AY50))/AY50</f>
        <v>-2.0803991037640662E-4</v>
      </c>
      <c r="BX50" s="80">
        <f t="shared" ref="BX50:BX55" si="67">(100*(V50-AZ50))/AZ50</f>
        <v>-1.9821824211557263E-4</v>
      </c>
      <c r="BY50" s="80">
        <f t="shared" ref="BY50:BY55" si="68">(100*(W50-BA50))/BA50</f>
        <v>-2.0803991038331282E-4</v>
      </c>
      <c r="BZ50" s="80">
        <f t="shared" ref="BZ50:BZ55" si="69">(100*(X50-BB50))/BB50</f>
        <v>-2.0803991038238892E-4</v>
      </c>
      <c r="CA50" s="80">
        <f t="shared" ref="CA50:CA55" si="70">(100*(Y50-BC50))/BC50</f>
        <v>-2.6843799955525097E-4</v>
      </c>
      <c r="CB50" s="80">
        <f t="shared" ref="CB50:CB55" si="71">(100*(Z50-BD50))/BD50</f>
        <v>-1.9327555683672855E-4</v>
      </c>
      <c r="CC50" s="80">
        <f t="shared" ref="CC50:CC55" si="72">(100*(AA50-BE50))/BE50</f>
        <v>-2.0803991037517109E-4</v>
      </c>
      <c r="CD50" s="80">
        <f t="shared" ref="CD50:CD55" si="73">(100*(AB50-BF50))/BF50</f>
        <v>-2.4676216773759777E-4</v>
      </c>
      <c r="CE50" s="96">
        <f t="shared" ref="CE50:CE55" si="74">(100*(AC50-BG50))/BG50</f>
        <v>0</v>
      </c>
    </row>
    <row r="51" spans="1:83" x14ac:dyDescent="0.25">
      <c r="A51" s="118">
        <v>55</v>
      </c>
      <c r="B51" s="1">
        <v>61.929290000000002</v>
      </c>
      <c r="C51" s="1">
        <v>118.39623</v>
      </c>
      <c r="D51" s="1">
        <v>110</v>
      </c>
      <c r="E51" s="1">
        <v>67.307559999999995</v>
      </c>
      <c r="F51" s="241">
        <v>61.275756812916498</v>
      </c>
      <c r="G51" s="211" t="s">
        <v>5</v>
      </c>
      <c r="H51" s="482">
        <v>5.0614499999999998</v>
      </c>
      <c r="I51" s="348">
        <v>0.27877999999999997</v>
      </c>
      <c r="J51" s="348">
        <v>0.59387000000000001</v>
      </c>
      <c r="K51" s="456">
        <v>0.34906500000000001</v>
      </c>
      <c r="L51" s="211" t="s">
        <v>31</v>
      </c>
      <c r="M51" s="56">
        <v>10525.5</v>
      </c>
      <c r="N51" s="316">
        <v>345.32600000000002</v>
      </c>
      <c r="O51" s="1">
        <v>4143.91</v>
      </c>
      <c r="P51" s="348">
        <v>105.255</v>
      </c>
      <c r="Q51" s="326">
        <v>6.5402600000000005E-2</v>
      </c>
      <c r="R51" s="315">
        <v>105255</v>
      </c>
      <c r="S51" s="316">
        <v>115.10899999999999</v>
      </c>
      <c r="T51" s="1">
        <v>105255218</v>
      </c>
      <c r="U51" s="59">
        <v>189846566</v>
      </c>
      <c r="V51" s="347">
        <v>1898466</v>
      </c>
      <c r="W51" s="347">
        <v>18984.7</v>
      </c>
      <c r="X51" s="349">
        <v>189.84700000000001</v>
      </c>
      <c r="Y51" s="59">
        <v>294263</v>
      </c>
      <c r="Z51" s="325">
        <v>2043.49</v>
      </c>
      <c r="AA51" s="348">
        <v>1.8984700000000001</v>
      </c>
      <c r="AB51" s="78">
        <v>1.89847E-2</v>
      </c>
      <c r="AC51" s="581">
        <v>4.6912099999999998E-2</v>
      </c>
      <c r="AD51" s="143">
        <v>10</v>
      </c>
      <c r="AE51" s="34">
        <v>55</v>
      </c>
      <c r="AF51" s="2">
        <v>61.929290000000002</v>
      </c>
      <c r="AG51" s="2">
        <v>118.39623</v>
      </c>
      <c r="AH51" s="2">
        <v>110</v>
      </c>
      <c r="AI51" s="2">
        <v>67.307559999999995</v>
      </c>
      <c r="AJ51" s="42">
        <v>61.275700000000001</v>
      </c>
      <c r="AK51" s="19" t="s">
        <v>5</v>
      </c>
      <c r="AL51" s="34">
        <f>1.91986+3.14159</f>
        <v>5.0614499999999998</v>
      </c>
      <c r="AM51" s="2">
        <v>0.27878999999999998</v>
      </c>
      <c r="AN51" s="2">
        <v>0.59387000000000001</v>
      </c>
      <c r="AO51" s="42">
        <v>0.34906999999999999</v>
      </c>
      <c r="AP51" s="19" t="s">
        <v>31</v>
      </c>
      <c r="AQ51" s="34">
        <v>10525.5</v>
      </c>
      <c r="AR51" s="186">
        <f>AE51+AF51+AG51+AH51</f>
        <v>345.32551999999998</v>
      </c>
      <c r="AS51" s="540">
        <v>4143.91</v>
      </c>
      <c r="AT51" s="541">
        <v>105.255</v>
      </c>
      <c r="AU51" s="542">
        <v>6.5402699999999994E-2</v>
      </c>
      <c r="AV51" s="540">
        <v>105255</v>
      </c>
      <c r="AW51" s="541">
        <v>115.10899999999999</v>
      </c>
      <c r="AX51" s="540">
        <v>105255365</v>
      </c>
      <c r="AY51" s="29">
        <v>189845504</v>
      </c>
      <c r="AZ51" s="29">
        <v>1898455</v>
      </c>
      <c r="BA51" s="340">
        <v>18984.599999999999</v>
      </c>
      <c r="BB51" s="26">
        <v>189.846</v>
      </c>
      <c r="BC51" s="2">
        <v>294261</v>
      </c>
      <c r="BD51" s="76">
        <f>(SQRT(((AE51+AH51+AJ51)/2)*((AE51+AH51+AJ51)/2-AE51)*((AE51+AH51+AJ51)/2-AH51)*((AE51+AH51+AJ51)/2-AJ51)))+(SQRT(((AF51+AG51+AJ51)/2)*((AF51+AG51+AJ51)/2-AF51)*((AF51+AG51+AJ51)/2-AG51)*((AF51+AG51+AJ51)/2-AJ51)))</f>
        <v>2043.4805624442474</v>
      </c>
      <c r="BE51" s="76">
        <v>1.89846</v>
      </c>
      <c r="BF51" s="342">
        <v>1.8984600000000001E-2</v>
      </c>
      <c r="BG51" s="324">
        <v>4.6911799999999997E-2</v>
      </c>
      <c r="BH51" s="238" t="s">
        <v>5</v>
      </c>
      <c r="BI51" s="251">
        <f t="shared" si="2"/>
        <v>0</v>
      </c>
      <c r="BJ51" s="73">
        <f t="shared" si="3"/>
        <v>-3.5869292298898819E-3</v>
      </c>
      <c r="BK51" s="73">
        <f t="shared" si="4"/>
        <v>0</v>
      </c>
      <c r="BL51" s="73">
        <f t="shared" si="5"/>
        <v>-1.4323774601017691E-3</v>
      </c>
      <c r="BM51" s="234">
        <f t="shared" si="6"/>
        <v>9.2716878791276468E-5</v>
      </c>
      <c r="BN51" s="238" t="s">
        <v>31</v>
      </c>
      <c r="BO51" s="214">
        <f t="shared" si="43"/>
        <v>0</v>
      </c>
      <c r="BP51" s="82">
        <f t="shared" si="44"/>
        <v>1.3899928393322096E-4</v>
      </c>
      <c r="BQ51" s="82">
        <f t="shared" si="60"/>
        <v>0</v>
      </c>
      <c r="BR51" s="82">
        <f t="shared" si="61"/>
        <v>0</v>
      </c>
      <c r="BS51" s="82">
        <f t="shared" si="62"/>
        <v>-1.5289888642058781E-4</v>
      </c>
      <c r="BT51" s="82">
        <f t="shared" si="63"/>
        <v>0</v>
      </c>
      <c r="BU51" s="82">
        <f t="shared" si="64"/>
        <v>0</v>
      </c>
      <c r="BV51" s="82">
        <f t="shared" si="65"/>
        <v>-1.3966033940407692E-4</v>
      </c>
      <c r="BW51" s="80">
        <f t="shared" si="66"/>
        <v>5.5940223899113252E-4</v>
      </c>
      <c r="BX51" s="80">
        <f t="shared" si="67"/>
        <v>5.7941852717077833E-4</v>
      </c>
      <c r="BY51" s="80">
        <f t="shared" si="68"/>
        <v>5.2674272832813334E-4</v>
      </c>
      <c r="BZ51" s="80">
        <f t="shared" si="69"/>
        <v>5.2674272831915072E-4</v>
      </c>
      <c r="CA51" s="80">
        <f t="shared" si="70"/>
        <v>6.7966872946126063E-4</v>
      </c>
      <c r="CB51" s="80">
        <f t="shared" si="71"/>
        <v>4.6183731453237811E-4</v>
      </c>
      <c r="CC51" s="80">
        <f t="shared" si="72"/>
        <v>5.2674272832008639E-4</v>
      </c>
      <c r="CD51" s="80">
        <f t="shared" si="73"/>
        <v>5.2674272831350734E-4</v>
      </c>
      <c r="CE51" s="96">
        <f t="shared" si="74"/>
        <v>6.3949795147849326E-4</v>
      </c>
    </row>
    <row r="52" spans="1:83" x14ac:dyDescent="0.25">
      <c r="A52" s="118">
        <v>97.2</v>
      </c>
      <c r="B52" s="1">
        <v>60.75</v>
      </c>
      <c r="C52" s="1">
        <v>65.952129999999997</v>
      </c>
      <c r="D52" s="1">
        <v>105.70339</v>
      </c>
      <c r="E52" s="1">
        <v>63.965339999999998</v>
      </c>
      <c r="F52" s="6">
        <v>122.022348465992</v>
      </c>
      <c r="G52" s="211" t="s">
        <v>8</v>
      </c>
      <c r="H52" s="482">
        <v>0.69813000000000003</v>
      </c>
      <c r="I52" s="348">
        <v>3.6873300000000002</v>
      </c>
      <c r="J52" s="348">
        <v>0.60958999999999997</v>
      </c>
      <c r="K52" s="456">
        <v>1.288119</v>
      </c>
      <c r="L52" s="211" t="s">
        <v>31</v>
      </c>
      <c r="M52" s="56">
        <v>837.19799999999998</v>
      </c>
      <c r="N52" s="316">
        <v>27.467099999999999</v>
      </c>
      <c r="O52" s="1">
        <v>329.60599999999999</v>
      </c>
      <c r="P52" s="348">
        <v>8.3719800000000006</v>
      </c>
      <c r="Q52" s="326">
        <v>5.2021100000000002E-3</v>
      </c>
      <c r="R52" s="315">
        <v>8371.98</v>
      </c>
      <c r="S52" s="316">
        <v>9.1557099999999991</v>
      </c>
      <c r="T52" s="1">
        <v>8371980</v>
      </c>
      <c r="U52" s="59">
        <v>2511922</v>
      </c>
      <c r="V52" s="350">
        <v>25119.200000000001</v>
      </c>
      <c r="W52" s="349">
        <v>251.19200000000001</v>
      </c>
      <c r="X52" s="348">
        <v>2.5119199999999999</v>
      </c>
      <c r="Y52" s="325">
        <v>3893.49</v>
      </c>
      <c r="Z52" s="347">
        <v>27.0381</v>
      </c>
      <c r="AA52" s="326">
        <v>2.5119200000000001E-2</v>
      </c>
      <c r="AB52" s="326">
        <v>2.5119200000000002E-4</v>
      </c>
      <c r="AC52" s="582">
        <v>6.20709E-4</v>
      </c>
      <c r="AD52" s="143">
        <v>11</v>
      </c>
      <c r="AE52" s="34">
        <v>97.2</v>
      </c>
      <c r="AF52" s="2">
        <v>60.75</v>
      </c>
      <c r="AG52" s="2">
        <v>65.952129999999997</v>
      </c>
      <c r="AH52" s="2">
        <v>105.70339</v>
      </c>
      <c r="AI52" s="2">
        <v>63.965339999999998</v>
      </c>
      <c r="AJ52" s="42">
        <v>122.02224</v>
      </c>
      <c r="AK52" s="19" t="s">
        <v>8</v>
      </c>
      <c r="AL52" s="34">
        <v>0.69813000000000003</v>
      </c>
      <c r="AM52" s="2">
        <f>0.54574+3.14159</f>
        <v>3.6873299999999998</v>
      </c>
      <c r="AN52" s="2">
        <v>0.60960000000000003</v>
      </c>
      <c r="AO52" s="42">
        <v>1.2881199999999999</v>
      </c>
      <c r="AP52" s="19" t="s">
        <v>31</v>
      </c>
      <c r="AQ52" s="34">
        <v>837.19899999999996</v>
      </c>
      <c r="AR52" s="307">
        <v>27.467199999999998</v>
      </c>
      <c r="AS52" s="540">
        <f>AE52+AF52+AG52+AH52</f>
        <v>329.60552000000001</v>
      </c>
      <c r="AT52" s="541">
        <v>8.3719900000000003</v>
      </c>
      <c r="AU52" s="543">
        <v>5.2021100000000002E-3</v>
      </c>
      <c r="AV52" s="540">
        <v>8371.99</v>
      </c>
      <c r="AW52" s="541">
        <v>9.1557200000000005</v>
      </c>
      <c r="AX52" s="540">
        <v>8371992</v>
      </c>
      <c r="AY52" s="29">
        <v>2511924</v>
      </c>
      <c r="AZ52" s="340">
        <v>25119.200000000001</v>
      </c>
      <c r="BA52" s="307">
        <v>251.19200000000001</v>
      </c>
      <c r="BB52" s="76">
        <v>2.5119199999999999</v>
      </c>
      <c r="BC52" s="23">
        <f>(SQRT(((AE52+AF52+AI52)/2)*((AE52+AF52+AI52)/2-AE52)*((AE52+AF52+AI52)/2-AF52)*((AE52+AF52+AI52)/2-AI52)))+(SQRT(((AG52+AH52+AI52)/2)*((AG52+AH52+AI52)/2-AG52)*((AG52+AH52+AI52)/2-AH52)*((AG52+AH52+AI52)/2-AI52)))</f>
        <v>3893.4863164916051</v>
      </c>
      <c r="BD52" s="534">
        <v>27.0381</v>
      </c>
      <c r="BE52" s="342">
        <v>2.5119200000000001E-2</v>
      </c>
      <c r="BF52" s="302">
        <v>2.5119200000000002E-4</v>
      </c>
      <c r="BG52" s="362">
        <v>6.2071000000000001E-4</v>
      </c>
      <c r="BH52" s="238" t="s">
        <v>8</v>
      </c>
      <c r="BI52" s="251">
        <f t="shared" si="2"/>
        <v>0</v>
      </c>
      <c r="BJ52" s="73">
        <f t="shared" si="3"/>
        <v>1.2043652449063758E-14</v>
      </c>
      <c r="BK52" s="73">
        <f t="shared" si="4"/>
        <v>-1.6404199475173083E-3</v>
      </c>
      <c r="BL52" s="73">
        <f t="shared" si="5"/>
        <v>-7.7632518703050446E-5</v>
      </c>
      <c r="BM52" s="234">
        <f t="shared" si="6"/>
        <v>8.8890346546376405E-5</v>
      </c>
      <c r="BN52" s="238" t="s">
        <v>31</v>
      </c>
      <c r="BO52" s="214">
        <f t="shared" si="43"/>
        <v>-1.1944591428995415E-4</v>
      </c>
      <c r="BP52" s="82">
        <f t="shared" si="44"/>
        <v>-3.6407060057001421E-4</v>
      </c>
      <c r="BQ52" s="82">
        <f t="shared" si="60"/>
        <v>1.4562862902958308E-4</v>
      </c>
      <c r="BR52" s="82">
        <f t="shared" si="61"/>
        <v>-1.1944591428825671E-4</v>
      </c>
      <c r="BS52" s="82">
        <f t="shared" si="62"/>
        <v>0</v>
      </c>
      <c r="BT52" s="82">
        <f t="shared" si="63"/>
        <v>-1.1944591429538591E-4</v>
      </c>
      <c r="BU52" s="82">
        <f t="shared" si="64"/>
        <v>-1.0922133924363982E-4</v>
      </c>
      <c r="BV52" s="82">
        <f t="shared" si="65"/>
        <v>-1.433350629097591E-4</v>
      </c>
      <c r="BW52" s="80">
        <f t="shared" si="66"/>
        <v>-7.9620243287615395E-5</v>
      </c>
      <c r="BX52" s="80">
        <f t="shared" si="67"/>
        <v>0</v>
      </c>
      <c r="BY52" s="80">
        <f t="shared" si="68"/>
        <v>0</v>
      </c>
      <c r="BZ52" s="80">
        <f t="shared" si="69"/>
        <v>0</v>
      </c>
      <c r="CA52" s="80">
        <f t="shared" si="70"/>
        <v>9.4606943373940077E-5</v>
      </c>
      <c r="CB52" s="80">
        <f t="shared" si="71"/>
        <v>0</v>
      </c>
      <c r="CC52" s="80">
        <f t="shared" si="72"/>
        <v>0</v>
      </c>
      <c r="CD52" s="80">
        <f t="shared" si="73"/>
        <v>0</v>
      </c>
      <c r="CE52" s="96">
        <f t="shared" si="74"/>
        <v>-1.6110583042253955E-4</v>
      </c>
    </row>
    <row r="53" spans="1:83" x14ac:dyDescent="0.25">
      <c r="A53" s="118">
        <v>110</v>
      </c>
      <c r="B53" s="1">
        <v>63.92633</v>
      </c>
      <c r="C53" s="1">
        <v>102.8934</v>
      </c>
      <c r="D53" s="1">
        <v>164.88032000000001</v>
      </c>
      <c r="E53" s="1">
        <v>69.399349999999998</v>
      </c>
      <c r="F53" s="6">
        <v>133.03390880391299</v>
      </c>
      <c r="G53" s="211" t="s">
        <v>4</v>
      </c>
      <c r="H53" s="482">
        <v>0.62922999999999996</v>
      </c>
      <c r="I53" s="348">
        <v>4.48041</v>
      </c>
      <c r="J53" s="348">
        <v>0.24016999999999999</v>
      </c>
      <c r="K53" s="456">
        <v>0.93337000000000003</v>
      </c>
      <c r="L53" s="211" t="s">
        <v>31</v>
      </c>
      <c r="M53" s="56">
        <v>44170</v>
      </c>
      <c r="N53" s="316">
        <v>1449.15</v>
      </c>
      <c r="O53" s="1">
        <v>17389.8</v>
      </c>
      <c r="P53" s="348">
        <v>441.7</v>
      </c>
      <c r="Q53" s="326">
        <v>0.27445999999999998</v>
      </c>
      <c r="R53" s="315">
        <v>441700</v>
      </c>
      <c r="S53" s="316">
        <v>483.04899999999998</v>
      </c>
      <c r="T53" s="1">
        <v>441700050</v>
      </c>
      <c r="U53" s="59">
        <v>4086951762</v>
      </c>
      <c r="V53" s="59">
        <v>40869518</v>
      </c>
      <c r="W53" s="59">
        <v>408695</v>
      </c>
      <c r="X53" s="325">
        <v>4086.95</v>
      </c>
      <c r="Y53" s="325">
        <v>6334788</v>
      </c>
      <c r="Z53" s="325">
        <v>43991.6</v>
      </c>
      <c r="AA53" s="347">
        <v>40.869500000000002</v>
      </c>
      <c r="AB53" s="315">
        <v>0.40869499999999997</v>
      </c>
      <c r="AC53" s="456">
        <v>1.0099100000000001</v>
      </c>
      <c r="AD53" s="143">
        <v>12</v>
      </c>
      <c r="AE53" s="34">
        <v>110</v>
      </c>
      <c r="AF53" s="2">
        <v>63.92633</v>
      </c>
      <c r="AG53" s="2">
        <v>102.8934</v>
      </c>
      <c r="AH53" s="2">
        <v>164.88032000000001</v>
      </c>
      <c r="AI53" s="2">
        <v>69.399349999999998</v>
      </c>
      <c r="AJ53" s="42">
        <v>133.03440000000001</v>
      </c>
      <c r="AK53" s="19" t="s">
        <v>4</v>
      </c>
      <c r="AL53" s="34">
        <v>0.62922999999999996</v>
      </c>
      <c r="AM53" s="2">
        <f>1.33881+3.14159</f>
        <v>4.4803999999999995</v>
      </c>
      <c r="AN53" s="2">
        <v>0.24018</v>
      </c>
      <c r="AO53" s="42">
        <v>0.93337999999999999</v>
      </c>
      <c r="AP53" s="19" t="s">
        <v>31</v>
      </c>
      <c r="AQ53" s="34">
        <v>44170</v>
      </c>
      <c r="AR53" s="396">
        <v>1449.15</v>
      </c>
      <c r="AS53" s="540">
        <v>17389.8</v>
      </c>
      <c r="AT53" s="544">
        <f>AE53+AF53+AG53+AH53</f>
        <v>441.70005000000003</v>
      </c>
      <c r="AU53" s="545">
        <v>0.27445999999999998</v>
      </c>
      <c r="AV53" s="540">
        <v>441700</v>
      </c>
      <c r="AW53" s="541">
        <v>483.04899999999998</v>
      </c>
      <c r="AX53" s="540">
        <v>441700000</v>
      </c>
      <c r="AY53" s="29">
        <v>4086950000</v>
      </c>
      <c r="AZ53" s="29">
        <v>40869500</v>
      </c>
      <c r="BA53" s="29">
        <v>408695</v>
      </c>
      <c r="BB53" s="76">
        <f>(SQRT(((AE53+AF53+AI53)/2)*((AE53+AF53+AI53)/2-AE53)*((AE53+AF53+AI53)/2-AF53)*((AE53+AF53+AI53)/2-AI53)))+(SQRT(((AG53+AH53+AI53)/2)*((AG53+AH53+AI53)/2-AG53)*((AG53+AH53+AI53)/2-AH53)*((AG53+AH53+AI53)/2-AI53)))</f>
        <v>4086.9517618820655</v>
      </c>
      <c r="BC53" s="396">
        <v>6334785</v>
      </c>
      <c r="BD53" s="396">
        <v>43991.6</v>
      </c>
      <c r="BE53" s="76">
        <v>40.869500000000002</v>
      </c>
      <c r="BF53" s="76">
        <v>0.40869499999999997</v>
      </c>
      <c r="BG53" s="322">
        <v>1.0099100000000001</v>
      </c>
      <c r="BH53" s="238" t="s">
        <v>4</v>
      </c>
      <c r="BI53" s="251">
        <f t="shared" si="2"/>
        <v>0</v>
      </c>
      <c r="BJ53" s="73">
        <f t="shared" si="3"/>
        <v>2.2319435765801274E-4</v>
      </c>
      <c r="BK53" s="73">
        <f t="shared" si="4"/>
        <v>-4.1635440086643357E-3</v>
      </c>
      <c r="BL53" s="73">
        <f t="shared" si="5"/>
        <v>-1.0713750026735617E-3</v>
      </c>
      <c r="BM53" s="234">
        <f t="shared" si="6"/>
        <v>-3.6922486741155537E-4</v>
      </c>
      <c r="BN53" s="238" t="s">
        <v>31</v>
      </c>
      <c r="BO53" s="214">
        <f t="shared" si="43"/>
        <v>0</v>
      </c>
      <c r="BP53" s="82">
        <f t="shared" si="44"/>
        <v>0</v>
      </c>
      <c r="BQ53" s="82">
        <f t="shared" si="60"/>
        <v>0</v>
      </c>
      <c r="BR53" s="82">
        <f t="shared" si="61"/>
        <v>-1.1319899113503018E-5</v>
      </c>
      <c r="BS53" s="82">
        <f t="shared" si="62"/>
        <v>0</v>
      </c>
      <c r="BT53" s="82">
        <f t="shared" si="63"/>
        <v>0</v>
      </c>
      <c r="BU53" s="82">
        <f t="shared" si="64"/>
        <v>0</v>
      </c>
      <c r="BV53" s="82">
        <f t="shared" si="65"/>
        <v>1.1319900384876613E-5</v>
      </c>
      <c r="BW53" s="80">
        <f t="shared" si="66"/>
        <v>4.3112834754523544E-5</v>
      </c>
      <c r="BX53" s="80">
        <f t="shared" si="67"/>
        <v>4.4042623472271501E-5</v>
      </c>
      <c r="BY53" s="80">
        <f t="shared" si="68"/>
        <v>0</v>
      </c>
      <c r="BZ53" s="80">
        <f t="shared" si="69"/>
        <v>-4.3109930538601255E-5</v>
      </c>
      <c r="CA53" s="80">
        <f t="shared" si="70"/>
        <v>4.7357566199957851E-5</v>
      </c>
      <c r="CB53" s="80">
        <f t="shared" si="71"/>
        <v>0</v>
      </c>
      <c r="CC53" s="80">
        <f t="shared" si="72"/>
        <v>0</v>
      </c>
      <c r="CD53" s="80">
        <f t="shared" si="73"/>
        <v>0</v>
      </c>
      <c r="CE53" s="96">
        <f t="shared" si="74"/>
        <v>0</v>
      </c>
    </row>
    <row r="54" spans="1:83" x14ac:dyDescent="0.25">
      <c r="A54" s="118">
        <v>200.83629999999999</v>
      </c>
      <c r="B54" s="1">
        <v>184.68</v>
      </c>
      <c r="C54" s="1">
        <v>115.42</v>
      </c>
      <c r="D54" s="1">
        <v>125.30909</v>
      </c>
      <c r="E54" s="1">
        <v>231.84227999999999</v>
      </c>
      <c r="F54" s="6">
        <v>121.542834135254</v>
      </c>
      <c r="G54" s="211" t="s">
        <v>10</v>
      </c>
      <c r="H54" s="482">
        <v>1.2881100000000001</v>
      </c>
      <c r="I54" s="348">
        <v>0.69818999999999998</v>
      </c>
      <c r="J54" s="348">
        <v>3.6871900000000002</v>
      </c>
      <c r="K54" s="456">
        <v>0.60960000000000003</v>
      </c>
      <c r="L54" s="211" t="s">
        <v>31</v>
      </c>
      <c r="M54" s="56">
        <v>100784426</v>
      </c>
      <c r="N54" s="59">
        <v>3306576</v>
      </c>
      <c r="O54" s="59">
        <v>39678908</v>
      </c>
      <c r="P54" s="59">
        <v>1007844</v>
      </c>
      <c r="Q54" s="349">
        <v>626.245</v>
      </c>
      <c r="R54" s="59">
        <v>1007844261</v>
      </c>
      <c r="S54" s="59">
        <v>1102192</v>
      </c>
      <c r="T54" s="59">
        <v>1007844260924</v>
      </c>
      <c r="U54" s="59">
        <v>3.6406180595892096E+16</v>
      </c>
      <c r="V54" s="59">
        <v>364061805958921</v>
      </c>
      <c r="W54" s="59">
        <v>3640618059589</v>
      </c>
      <c r="X54" s="59">
        <v>36406180596</v>
      </c>
      <c r="Y54" s="59">
        <v>56429692783018</v>
      </c>
      <c r="Z54" s="59">
        <v>391872866549</v>
      </c>
      <c r="AA54" s="59">
        <v>364061806</v>
      </c>
      <c r="AB54" s="59">
        <v>3640618</v>
      </c>
      <c r="AC54" s="224">
        <v>8996163</v>
      </c>
      <c r="AD54" s="143">
        <v>13</v>
      </c>
      <c r="AE54" s="34">
        <v>200.83629999999999</v>
      </c>
      <c r="AF54" s="2">
        <v>184.68</v>
      </c>
      <c r="AG54" s="2">
        <v>115.42</v>
      </c>
      <c r="AH54" s="2">
        <v>125.30909</v>
      </c>
      <c r="AI54" s="2">
        <v>231.84227999999999</v>
      </c>
      <c r="AJ54" s="42">
        <v>121.53412</v>
      </c>
      <c r="AK54" s="19" t="s">
        <v>10</v>
      </c>
      <c r="AL54" s="34">
        <v>1.2881199999999999</v>
      </c>
      <c r="AM54" s="2">
        <v>0.69813000000000003</v>
      </c>
      <c r="AN54" s="2">
        <f>0.54574+3.14159</f>
        <v>3.6873299999999998</v>
      </c>
      <c r="AO54" s="42">
        <v>0.60960000000000003</v>
      </c>
      <c r="AP54" s="19" t="s">
        <v>31</v>
      </c>
      <c r="AQ54" s="34">
        <v>100784363</v>
      </c>
      <c r="AR54" s="29">
        <v>3306574</v>
      </c>
      <c r="AS54" s="540">
        <v>39678883</v>
      </c>
      <c r="AT54" s="546">
        <v>1007844</v>
      </c>
      <c r="AU54" s="540">
        <f>AE54+AF54+AG54+AH54</f>
        <v>626.24539000000004</v>
      </c>
      <c r="AV54" s="540">
        <v>1007843633</v>
      </c>
      <c r="AW54" s="546">
        <v>1102191</v>
      </c>
      <c r="AX54" s="546">
        <v>1007843633280</v>
      </c>
      <c r="AY54" s="29">
        <v>3.6402582283E+16</v>
      </c>
      <c r="AZ54" s="29">
        <v>364025822830000</v>
      </c>
      <c r="BA54" s="29">
        <v>3640258228300</v>
      </c>
      <c r="BB54" s="307">
        <f>((SQRT(((AE54+AH54+AJ54)/2)*((AE54+AH54+AJ54)/2-AE54)*((AE54+AH54+AJ54)/2-AH54)*((AE54+AH54+AJ54)/2-AJ54)))+(SQRT(((AF54+AG54+AJ54)/2)*((AF54+AG54+AJ54)/2-AF54)*((AF54+AG54+AJ54)/2-AG54)*((AF54+AG54+AJ54)/2-AJ54))))*1609.344*1609.344</f>
        <v>36402582282.824371</v>
      </c>
      <c r="BC54" s="29">
        <v>56424115386881</v>
      </c>
      <c r="BD54" s="29">
        <v>391834134631</v>
      </c>
      <c r="BE54" s="29">
        <v>364025823</v>
      </c>
      <c r="BF54" s="29">
        <v>3640258</v>
      </c>
      <c r="BG54" s="593">
        <v>8995274</v>
      </c>
      <c r="BH54" s="238" t="s">
        <v>10</v>
      </c>
      <c r="BI54" s="251">
        <f t="shared" si="2"/>
        <v>-7.7632518708221812E-4</v>
      </c>
      <c r="BJ54" s="73">
        <f t="shared" si="3"/>
        <v>8.5943878647170274E-3</v>
      </c>
      <c r="BK54" s="73">
        <f t="shared" si="4"/>
        <v>-3.7967852077135733E-3</v>
      </c>
      <c r="BL54" s="73">
        <f t="shared" si="5"/>
        <v>0</v>
      </c>
      <c r="BM54" s="234">
        <f t="shared" si="6"/>
        <v>7.170114247748609E-3</v>
      </c>
      <c r="BN54" s="238" t="s">
        <v>31</v>
      </c>
      <c r="BO54" s="214">
        <f t="shared" si="43"/>
        <v>6.2509697064811533E-5</v>
      </c>
      <c r="BP54" s="82">
        <f t="shared" si="44"/>
        <v>6.0485566026951161E-5</v>
      </c>
      <c r="BQ54" s="82">
        <f t="shared" si="60"/>
        <v>6.3005805884202941E-5</v>
      </c>
      <c r="BR54" s="82">
        <f t="shared" si="61"/>
        <v>0</v>
      </c>
      <c r="BS54" s="82">
        <f t="shared" si="62"/>
        <v>-6.2275907538181821E-5</v>
      </c>
      <c r="BT54" s="82">
        <f t="shared" si="63"/>
        <v>6.2311253396587167E-5</v>
      </c>
      <c r="BU54" s="82">
        <f t="shared" si="64"/>
        <v>9.0728376479212771E-5</v>
      </c>
      <c r="BV54" s="82">
        <f t="shared" si="65"/>
        <v>6.2275930439462072E-5</v>
      </c>
      <c r="BW54" s="80">
        <f t="shared" si="66"/>
        <v>9.8847737342425065E-3</v>
      </c>
      <c r="BX54" s="80">
        <f t="shared" si="67"/>
        <v>9.8847737342534943E-3</v>
      </c>
      <c r="BY54" s="80">
        <f t="shared" si="68"/>
        <v>9.8847737284846731E-3</v>
      </c>
      <c r="BZ54" s="80">
        <f t="shared" si="69"/>
        <v>9.884774513170826E-3</v>
      </c>
      <c r="CA54" s="80">
        <f t="shared" si="70"/>
        <v>9.8847737332835237E-3</v>
      </c>
      <c r="CB54" s="80">
        <f t="shared" si="71"/>
        <v>9.8847738307625537E-3</v>
      </c>
      <c r="CC54" s="80">
        <f t="shared" si="72"/>
        <v>9.8847383142926099E-3</v>
      </c>
      <c r="CD54" s="80">
        <f t="shared" si="73"/>
        <v>9.8894089374983868E-3</v>
      </c>
      <c r="CE54" s="96">
        <f t="shared" si="74"/>
        <v>9.8829674337880084E-3</v>
      </c>
    </row>
    <row r="55" spans="1:83" ht="15.75" thickBot="1" x14ac:dyDescent="0.3">
      <c r="A55" s="513">
        <v>88</v>
      </c>
      <c r="B55" s="510">
        <v>94.717010000000002</v>
      </c>
      <c r="C55" s="510">
        <v>49.543410000000002</v>
      </c>
      <c r="D55" s="510">
        <v>44</v>
      </c>
      <c r="E55" s="510">
        <v>53.846040000000002</v>
      </c>
      <c r="F55" s="567">
        <v>49.020632515896096</v>
      </c>
      <c r="G55" s="511" t="s">
        <v>7</v>
      </c>
      <c r="H55" s="671">
        <v>0.59387000000000001</v>
      </c>
      <c r="I55" s="607">
        <v>0.27877999999999997</v>
      </c>
      <c r="J55" s="607">
        <v>5.0614499999999998</v>
      </c>
      <c r="K55" s="672">
        <v>0.34905999999999998</v>
      </c>
      <c r="L55" s="511" t="s">
        <v>31</v>
      </c>
      <c r="M55" s="576">
        <v>25261.3</v>
      </c>
      <c r="N55" s="514">
        <v>828.78099999999995</v>
      </c>
      <c r="O55" s="510">
        <v>9945.3799999999992</v>
      </c>
      <c r="P55" s="512">
        <v>252.613</v>
      </c>
      <c r="Q55" s="515">
        <v>0.15696599999999999</v>
      </c>
      <c r="R55" s="559">
        <v>252613</v>
      </c>
      <c r="S55" s="530">
        <v>276.26</v>
      </c>
      <c r="T55" s="510">
        <v>252612528</v>
      </c>
      <c r="U55" s="559">
        <v>1093516466</v>
      </c>
      <c r="V55" s="559">
        <v>10935165</v>
      </c>
      <c r="W55" s="559">
        <v>109352</v>
      </c>
      <c r="X55" s="530">
        <v>1093.52</v>
      </c>
      <c r="Y55" s="559">
        <v>1694954</v>
      </c>
      <c r="Z55" s="560">
        <v>11770.5</v>
      </c>
      <c r="AA55" s="515">
        <v>10.9352</v>
      </c>
      <c r="AB55" s="515">
        <v>0.109352</v>
      </c>
      <c r="AC55" s="583">
        <v>0.27021400000000001</v>
      </c>
      <c r="AD55" s="516">
        <v>14</v>
      </c>
      <c r="AE55" s="585">
        <v>88</v>
      </c>
      <c r="AF55" s="495">
        <v>94.717010000000002</v>
      </c>
      <c r="AG55" s="495">
        <v>49.543410000000002</v>
      </c>
      <c r="AH55" s="495">
        <v>44</v>
      </c>
      <c r="AI55" s="495">
        <v>53.846040000000002</v>
      </c>
      <c r="AJ55" s="517">
        <v>49.020569999999999</v>
      </c>
      <c r="AK55" s="518" t="s">
        <v>7</v>
      </c>
      <c r="AL55" s="585">
        <v>0.59387000000000001</v>
      </c>
      <c r="AM55" s="495">
        <v>0.27878999999999998</v>
      </c>
      <c r="AN55" s="495">
        <f>1.91986+3.14159</f>
        <v>5.0614499999999998</v>
      </c>
      <c r="AO55" s="517">
        <v>0.34906999999999999</v>
      </c>
      <c r="AP55" s="518" t="s">
        <v>31</v>
      </c>
      <c r="AQ55" s="585">
        <v>25261.200000000001</v>
      </c>
      <c r="AR55" s="561">
        <v>828.78</v>
      </c>
      <c r="AS55" s="562">
        <v>9945.36</v>
      </c>
      <c r="AT55" s="563">
        <v>252.61199999999999</v>
      </c>
      <c r="AU55" s="564">
        <v>0.15696599999999999</v>
      </c>
      <c r="AV55" s="562">
        <v>252612</v>
      </c>
      <c r="AW55" s="562">
        <f>AE55+AF55+AG55+AH55</f>
        <v>276.26042000000001</v>
      </c>
      <c r="AX55" s="562">
        <v>252612144</v>
      </c>
      <c r="AY55" s="565">
        <v>1093510000</v>
      </c>
      <c r="AZ55" s="565">
        <v>10935100</v>
      </c>
      <c r="BA55" s="565">
        <v>109351</v>
      </c>
      <c r="BB55" s="521">
        <v>1093.51</v>
      </c>
      <c r="BC55" s="566">
        <v>1694944</v>
      </c>
      <c r="BD55" s="566">
        <v>11770.4</v>
      </c>
      <c r="BE55" s="521">
        <v>10.9351</v>
      </c>
      <c r="BF55" s="561">
        <v>0.109351</v>
      </c>
      <c r="BG55" s="594">
        <v>0.27021200000000001</v>
      </c>
      <c r="BH55" s="522" t="s">
        <v>7</v>
      </c>
      <c r="BI55" s="596">
        <f t="shared" si="2"/>
        <v>0</v>
      </c>
      <c r="BJ55" s="523">
        <f t="shared" si="3"/>
        <v>-3.5869292298898819E-3</v>
      </c>
      <c r="BK55" s="523">
        <f t="shared" si="4"/>
        <v>0</v>
      </c>
      <c r="BL55" s="523">
        <f t="shared" si="5"/>
        <v>-2.8647549202194408E-3</v>
      </c>
      <c r="BM55" s="597">
        <f t="shared" si="6"/>
        <v>1.2752992488088505E-4</v>
      </c>
      <c r="BN55" s="522" t="s">
        <v>31</v>
      </c>
      <c r="BO55" s="598">
        <f t="shared" si="43"/>
        <v>3.9586401278856432E-4</v>
      </c>
      <c r="BP55" s="524">
        <f t="shared" si="44"/>
        <v>1.2065928231573557E-4</v>
      </c>
      <c r="BQ55" s="524">
        <f t="shared" si="60"/>
        <v>2.0109880385041432E-4</v>
      </c>
      <c r="BR55" s="524">
        <f t="shared" si="61"/>
        <v>3.958640127962151E-4</v>
      </c>
      <c r="BS55" s="524">
        <f t="shared" si="62"/>
        <v>0</v>
      </c>
      <c r="BT55" s="524">
        <f t="shared" si="63"/>
        <v>3.958640127943249E-4</v>
      </c>
      <c r="BU55" s="524">
        <f t="shared" si="64"/>
        <v>-1.5203046459555332E-4</v>
      </c>
      <c r="BV55" s="524">
        <f t="shared" si="65"/>
        <v>1.5201169425963941E-4</v>
      </c>
      <c r="BW55" s="488">
        <f t="shared" si="66"/>
        <v>5.913068924838365E-4</v>
      </c>
      <c r="BX55" s="488">
        <f t="shared" si="67"/>
        <v>5.9441614617150281E-4</v>
      </c>
      <c r="BY55" s="488">
        <f t="shared" si="68"/>
        <v>9.1448637872538889E-4</v>
      </c>
      <c r="BZ55" s="488">
        <f t="shared" si="69"/>
        <v>9.1448637872455719E-4</v>
      </c>
      <c r="CA55" s="488">
        <f t="shared" si="70"/>
        <v>5.8998999376970571E-4</v>
      </c>
      <c r="CB55" s="488">
        <f t="shared" si="71"/>
        <v>8.4958879902436455E-4</v>
      </c>
      <c r="CC55" s="488">
        <f t="shared" si="72"/>
        <v>9.1448637872325756E-4</v>
      </c>
      <c r="CD55" s="488">
        <f t="shared" si="73"/>
        <v>9.1448637872630341E-4</v>
      </c>
      <c r="CE55" s="489">
        <f t="shared" si="74"/>
        <v>7.4015957840584438E-4</v>
      </c>
    </row>
    <row r="56" spans="1:83" x14ac:dyDescent="0.25">
      <c r="A56" s="114">
        <v>130</v>
      </c>
      <c r="B56" s="115">
        <v>75</v>
      </c>
      <c r="C56" s="115">
        <v>94.198430000000002</v>
      </c>
      <c r="D56" s="537">
        <v>30</v>
      </c>
      <c r="E56" s="365">
        <v>113.02654</v>
      </c>
      <c r="F56" s="223">
        <v>128.24018821773799</v>
      </c>
      <c r="G56" s="210" t="s">
        <v>9</v>
      </c>
      <c r="H56" s="570">
        <v>66.67</v>
      </c>
      <c r="I56" s="531">
        <v>108.8</v>
      </c>
      <c r="J56" s="531">
        <v>135.63999999999999</v>
      </c>
      <c r="K56" s="574">
        <v>88.89</v>
      </c>
      <c r="L56" s="210" t="s">
        <v>32</v>
      </c>
      <c r="M56" s="255">
        <v>329.19799999999998</v>
      </c>
      <c r="N56" s="115">
        <v>10.8005</v>
      </c>
      <c r="O56" s="115">
        <v>129.60599999999999</v>
      </c>
      <c r="P56" s="115">
        <v>3.2919800000000001</v>
      </c>
      <c r="Q56" s="311">
        <v>2.0455400000000002E-3</v>
      </c>
      <c r="R56" s="115">
        <v>3291.98</v>
      </c>
      <c r="S56" s="115">
        <v>3.6001599999999998</v>
      </c>
      <c r="T56" s="115">
        <v>3291984</v>
      </c>
      <c r="U56" s="115">
        <v>541911</v>
      </c>
      <c r="V56" s="115">
        <v>5419.11</v>
      </c>
      <c r="W56" s="115">
        <v>54.191099999999999</v>
      </c>
      <c r="X56" s="115">
        <v>0.54191100000000003</v>
      </c>
      <c r="Y56" s="115">
        <v>839.96400000000006</v>
      </c>
      <c r="Z56" s="115">
        <v>5.8330799999999998</v>
      </c>
      <c r="AA56" s="311">
        <v>5.4191100000000004E-3</v>
      </c>
      <c r="AB56" s="116">
        <v>5.41911291501589E-5</v>
      </c>
      <c r="AC56" s="577">
        <v>1.3390900000000001E-4</v>
      </c>
      <c r="AD56" s="462">
        <v>1</v>
      </c>
      <c r="AE56" s="262">
        <v>130</v>
      </c>
      <c r="AF56" s="260">
        <v>75</v>
      </c>
      <c r="AG56" s="260">
        <v>94.198430000000002</v>
      </c>
      <c r="AH56" s="556">
        <v>30</v>
      </c>
      <c r="AI56" s="533">
        <v>113.02654</v>
      </c>
      <c r="AJ56" s="586">
        <v>128.24017000000001</v>
      </c>
      <c r="AK56" s="282" t="s">
        <v>9</v>
      </c>
      <c r="AL56" s="262">
        <v>66.67</v>
      </c>
      <c r="AM56" s="260">
        <v>108.8</v>
      </c>
      <c r="AN56" s="260">
        <v>135.63999999999999</v>
      </c>
      <c r="AO56" s="586">
        <v>88.89</v>
      </c>
      <c r="AP56" s="282" t="s">
        <v>32</v>
      </c>
      <c r="AQ56" s="589">
        <f>AE56+AF56+AG56+AH56</f>
        <v>329.19843000000003</v>
      </c>
      <c r="AR56" s="260">
        <v>10.8005</v>
      </c>
      <c r="AS56" s="260">
        <v>129.60599999999999</v>
      </c>
      <c r="AT56" s="260">
        <v>3.2919800000000001</v>
      </c>
      <c r="AU56" s="532">
        <v>2.0455400000000002E-3</v>
      </c>
      <c r="AV56" s="260">
        <v>3291.98</v>
      </c>
      <c r="AW56" s="260">
        <v>3.6001500000000002</v>
      </c>
      <c r="AX56" s="260">
        <v>3291980</v>
      </c>
      <c r="AY56" s="260">
        <v>541911</v>
      </c>
      <c r="AZ56" s="260">
        <f>(SQRT(((AE56+AF56+AI56)/2)*((AE56+AF56+AI56)/2-AE56)*((AE56+AF56+AI56)/2-AF56)*((AE56+AF56+AI56)/2-AI56)))+(SQRT(((AG56+AH56+AI56)/2)*((AG56+AH56+AI56)/2-AG56)*((AG56+AH56+AI56)/2-AH56)*((AG56+AH56+AI56)/2-AI56)))</f>
        <v>5419.1129150158858</v>
      </c>
      <c r="BA56" s="260">
        <v>54.191099999999999</v>
      </c>
      <c r="BB56" s="260">
        <v>0.54191100000000003</v>
      </c>
      <c r="BC56" s="260">
        <v>839.96400000000006</v>
      </c>
      <c r="BD56" s="260">
        <v>5.8330799999999998</v>
      </c>
      <c r="BE56" s="532">
        <v>5.4191100000000004E-3</v>
      </c>
      <c r="BF56" s="557">
        <v>5.4191099999999997E-5</v>
      </c>
      <c r="BG56" s="590">
        <v>1.3390900000000001E-4</v>
      </c>
      <c r="BH56" s="237" t="s">
        <v>9</v>
      </c>
      <c r="BI56" s="283">
        <f t="shared" ref="BI56:BI69" si="75">(100*(H56-AL56))/AL56</f>
        <v>0</v>
      </c>
      <c r="BJ56" s="90">
        <f t="shared" ref="BJ56:BJ69" si="76">(100*(I56-AM56))/AM56</f>
        <v>0</v>
      </c>
      <c r="BK56" s="90">
        <f t="shared" ref="BK56:BK69" si="77">(100*(J56-AN56))/AN56</f>
        <v>0</v>
      </c>
      <c r="BL56" s="90">
        <f t="shared" ref="BL56:BL69" si="78">(100*(K56-AO56))/AO56</f>
        <v>0</v>
      </c>
      <c r="BM56" s="233">
        <f t="shared" ref="BM56:BM69" si="79">(100*(F56-AJ56))/AJ56</f>
        <v>1.4205952774688046E-5</v>
      </c>
      <c r="BN56" s="237" t="s">
        <v>32</v>
      </c>
      <c r="BO56" s="213">
        <f t="shared" si="43"/>
        <v>-1.306203070443631E-4</v>
      </c>
      <c r="BP56" s="91">
        <f t="shared" si="44"/>
        <v>0</v>
      </c>
      <c r="BQ56" s="91">
        <f t="shared" si="45"/>
        <v>0</v>
      </c>
      <c r="BR56" s="91">
        <f t="shared" si="46"/>
        <v>0</v>
      </c>
      <c r="BS56" s="91">
        <f t="shared" si="47"/>
        <v>0</v>
      </c>
      <c r="BT56" s="91">
        <f t="shared" si="48"/>
        <v>0</v>
      </c>
      <c r="BU56" s="91">
        <f t="shared" si="49"/>
        <v>2.7776620417542107E-4</v>
      </c>
      <c r="BV56" s="91">
        <f t="shared" si="50"/>
        <v>1.2150742106574159E-4</v>
      </c>
      <c r="BW56" s="93">
        <f t="shared" si="51"/>
        <v>0</v>
      </c>
      <c r="BX56" s="93">
        <f t="shared" si="52"/>
        <v>-5.3791384898009414E-5</v>
      </c>
      <c r="BY56" s="93">
        <f t="shared" si="53"/>
        <v>0</v>
      </c>
      <c r="BZ56" s="93">
        <f t="shared" si="54"/>
        <v>0</v>
      </c>
      <c r="CA56" s="93">
        <f t="shared" si="55"/>
        <v>0</v>
      </c>
      <c r="CB56" s="93">
        <f t="shared" si="56"/>
        <v>0</v>
      </c>
      <c r="CC56" s="93">
        <f t="shared" si="57"/>
        <v>0</v>
      </c>
      <c r="CD56" s="93">
        <f t="shared" si="58"/>
        <v>5.3791413910134669E-5</v>
      </c>
      <c r="CE56" s="95">
        <f t="shared" si="59"/>
        <v>0</v>
      </c>
    </row>
    <row r="57" spans="1:83" x14ac:dyDescent="0.25">
      <c r="A57" s="118">
        <v>100</v>
      </c>
      <c r="B57" s="1">
        <v>44</v>
      </c>
      <c r="C57" s="1">
        <v>134.25847999999999</v>
      </c>
      <c r="D57" s="1">
        <v>55</v>
      </c>
      <c r="E57" s="1">
        <v>122.25293000000001</v>
      </c>
      <c r="F57" s="6">
        <v>129.56550731962901</v>
      </c>
      <c r="G57" s="211" t="s">
        <v>5</v>
      </c>
      <c r="H57" s="411">
        <v>122.22</v>
      </c>
      <c r="I57" s="325">
        <v>82.69</v>
      </c>
      <c r="J57" s="325">
        <v>72.87</v>
      </c>
      <c r="K57" s="412">
        <v>122.22</v>
      </c>
      <c r="L57" s="211" t="s">
        <v>32</v>
      </c>
      <c r="M57" s="56">
        <v>10157.700000000001</v>
      </c>
      <c r="N57" s="1">
        <v>333.25799999999998</v>
      </c>
      <c r="O57" s="1">
        <v>3999.1</v>
      </c>
      <c r="P57" s="1">
        <v>101.577</v>
      </c>
      <c r="Q57" s="1">
        <v>6.3117099999999995E-2</v>
      </c>
      <c r="R57" s="1">
        <v>101577</v>
      </c>
      <c r="S57" s="1">
        <v>111.086</v>
      </c>
      <c r="T57" s="1">
        <v>101577185</v>
      </c>
      <c r="U57" s="1">
        <v>504393971</v>
      </c>
      <c r="V57" s="1">
        <v>5043940</v>
      </c>
      <c r="W57" s="1">
        <v>50439.4</v>
      </c>
      <c r="X57" s="1">
        <v>504.39400000000001</v>
      </c>
      <c r="Y57" s="1">
        <v>781812</v>
      </c>
      <c r="Z57" s="1">
        <v>5429.25</v>
      </c>
      <c r="AA57" s="1">
        <v>5.0439400000000001</v>
      </c>
      <c r="AB57" s="78">
        <v>5.0439400000000002E-2</v>
      </c>
      <c r="AC57" s="6">
        <v>0.124638</v>
      </c>
      <c r="AD57" s="143">
        <v>2</v>
      </c>
      <c r="AE57" s="34">
        <v>100</v>
      </c>
      <c r="AF57" s="2">
        <v>44</v>
      </c>
      <c r="AG57" s="2">
        <v>134.25847999999999</v>
      </c>
      <c r="AH57" s="2">
        <v>55</v>
      </c>
      <c r="AI57" s="2">
        <v>122.25293000000001</v>
      </c>
      <c r="AJ57" s="42">
        <v>129.56551999999999</v>
      </c>
      <c r="AK57" s="19" t="s">
        <v>5</v>
      </c>
      <c r="AL57" s="34">
        <v>122.22</v>
      </c>
      <c r="AM57" s="2">
        <v>82.68</v>
      </c>
      <c r="AN57" s="2">
        <v>72.87</v>
      </c>
      <c r="AO57" s="42">
        <v>122.22</v>
      </c>
      <c r="AP57" s="19" t="s">
        <v>32</v>
      </c>
      <c r="AQ57" s="34">
        <v>10157.700000000001</v>
      </c>
      <c r="AR57" s="186">
        <f>AE57+AF57+AG57+AH57</f>
        <v>333.25847999999996</v>
      </c>
      <c r="AS57" s="2">
        <v>3999.1</v>
      </c>
      <c r="AT57" s="2">
        <v>101.577</v>
      </c>
      <c r="AU57" s="2">
        <v>6.3117000000000006E-2</v>
      </c>
      <c r="AV57" s="2">
        <v>101577</v>
      </c>
      <c r="AW57" s="2">
        <v>111.086</v>
      </c>
      <c r="AX57" s="2">
        <v>101577038</v>
      </c>
      <c r="AY57" s="2">
        <v>504393830</v>
      </c>
      <c r="AZ57" s="2">
        <v>5043938</v>
      </c>
      <c r="BA57" s="2">
        <v>50439.4</v>
      </c>
      <c r="BB57" s="2">
        <v>504.39400000000001</v>
      </c>
      <c r="BC57" s="2">
        <v>781812</v>
      </c>
      <c r="BD57" s="2">
        <f>(SQRT(((AE57+AF57+AI57)/2)*((AE57+AF57+AI57)/2-AE57)*((AE57+AF57+AI57)/2-AF57)*((AE57+AF57+AI57)/2-AI57)))+(SQRT(((AG57+AH57+AI57)/2)*((AG57+AH57+AI57)/2-AG57)*((AG57+AH57+AI57)/2-AH57)*((AG57+AH57+AI57)/2-AI57)))</f>
        <v>5429.2515216718148</v>
      </c>
      <c r="BE57" s="2">
        <v>5.0439400000000001</v>
      </c>
      <c r="BF57" s="342">
        <v>5.0439400000000002E-2</v>
      </c>
      <c r="BG57" s="42">
        <v>0.124638</v>
      </c>
      <c r="BH57" s="238" t="s">
        <v>5</v>
      </c>
      <c r="BI57" s="251">
        <f t="shared" si="75"/>
        <v>0</v>
      </c>
      <c r="BJ57" s="73">
        <f t="shared" si="76"/>
        <v>1.2094823415567132E-2</v>
      </c>
      <c r="BK57" s="73">
        <f t="shared" si="77"/>
        <v>0</v>
      </c>
      <c r="BL57" s="73">
        <f t="shared" si="78"/>
        <v>0</v>
      </c>
      <c r="BM57" s="234">
        <f t="shared" si="79"/>
        <v>-9.786840654919497E-6</v>
      </c>
      <c r="BN57" s="238" t="s">
        <v>32</v>
      </c>
      <c r="BO57" s="214">
        <f t="shared" si="43"/>
        <v>0</v>
      </c>
      <c r="BP57" s="82">
        <f t="shared" si="44"/>
        <v>-1.4403234389769417E-4</v>
      </c>
      <c r="BQ57" s="82">
        <f t="shared" si="45"/>
        <v>0</v>
      </c>
      <c r="BR57" s="82">
        <f t="shared" si="46"/>
        <v>0</v>
      </c>
      <c r="BS57" s="82">
        <f t="shared" si="47"/>
        <v>1.5843592057448511E-4</v>
      </c>
      <c r="BT57" s="82">
        <f t="shared" si="48"/>
        <v>0</v>
      </c>
      <c r="BU57" s="82">
        <f t="shared" si="49"/>
        <v>0</v>
      </c>
      <c r="BV57" s="82">
        <f t="shared" si="50"/>
        <v>1.4471774615046364E-4</v>
      </c>
      <c r="BW57" s="80">
        <f t="shared" si="51"/>
        <v>2.7954346705628813E-5</v>
      </c>
      <c r="BX57" s="80">
        <f t="shared" si="52"/>
        <v>3.9651557969189946E-5</v>
      </c>
      <c r="BY57" s="80">
        <f t="shared" si="53"/>
        <v>0</v>
      </c>
      <c r="BZ57" s="80">
        <f t="shared" si="54"/>
        <v>0</v>
      </c>
      <c r="CA57" s="80">
        <f t="shared" si="55"/>
        <v>0</v>
      </c>
      <c r="CB57" s="80">
        <f t="shared" si="56"/>
        <v>-2.8027285320955038E-5</v>
      </c>
      <c r="CC57" s="80">
        <f t="shared" si="57"/>
        <v>0</v>
      </c>
      <c r="CD57" s="80">
        <f t="shared" si="58"/>
        <v>0</v>
      </c>
      <c r="CE57" s="96">
        <f t="shared" si="59"/>
        <v>0</v>
      </c>
    </row>
    <row r="58" spans="1:83" x14ac:dyDescent="0.25">
      <c r="A58" s="118">
        <v>50</v>
      </c>
      <c r="B58" s="1">
        <v>80</v>
      </c>
      <c r="C58" s="1">
        <v>93.818330000000003</v>
      </c>
      <c r="D58" s="1">
        <v>60</v>
      </c>
      <c r="E58" s="1">
        <v>52.646380000000001</v>
      </c>
      <c r="F58" s="6">
        <v>104.951969258125</v>
      </c>
      <c r="G58" s="211" t="s">
        <v>8</v>
      </c>
      <c r="H58" s="411">
        <v>44.44</v>
      </c>
      <c r="I58" s="325">
        <v>82.01</v>
      </c>
      <c r="J58" s="325">
        <v>34.659999999999997</v>
      </c>
      <c r="K58" s="412">
        <v>238.89</v>
      </c>
      <c r="L58" s="211" t="s">
        <v>32</v>
      </c>
      <c r="M58" s="56">
        <v>720.899</v>
      </c>
      <c r="N58" s="1">
        <v>23.651499999999999</v>
      </c>
      <c r="O58" s="1">
        <v>283.81799999999998</v>
      </c>
      <c r="P58" s="1">
        <v>7.20899</v>
      </c>
      <c r="Q58" s="1">
        <v>4.4794600000000002E-3</v>
      </c>
      <c r="R58" s="1">
        <v>7208.99</v>
      </c>
      <c r="S58" s="1">
        <v>7.8838400000000002</v>
      </c>
      <c r="T58" s="1">
        <v>7208986</v>
      </c>
      <c r="U58" s="1">
        <v>1769953</v>
      </c>
      <c r="V58" s="1">
        <v>17699.5</v>
      </c>
      <c r="W58" s="1">
        <v>176.995</v>
      </c>
      <c r="X58" s="1">
        <v>1.7699499999999999</v>
      </c>
      <c r="Y58" s="1">
        <v>2743.43</v>
      </c>
      <c r="Z58" s="1">
        <v>19.051600000000001</v>
      </c>
      <c r="AA58" s="78">
        <v>1.76995E-2</v>
      </c>
      <c r="AB58" s="316">
        <v>1.76995E-4</v>
      </c>
      <c r="AC58" s="578">
        <v>4.37365E-4</v>
      </c>
      <c r="AD58" s="143">
        <v>3</v>
      </c>
      <c r="AE58" s="34">
        <v>50</v>
      </c>
      <c r="AF58" s="2">
        <v>80</v>
      </c>
      <c r="AG58" s="2">
        <v>93.818330000000003</v>
      </c>
      <c r="AH58" s="2">
        <v>60</v>
      </c>
      <c r="AI58" s="2">
        <v>52.646380000000001</v>
      </c>
      <c r="AJ58" s="42">
        <v>104.95191</v>
      </c>
      <c r="AK58" s="19" t="s">
        <v>8</v>
      </c>
      <c r="AL58" s="34">
        <v>44.44</v>
      </c>
      <c r="AM58" s="2">
        <v>82</v>
      </c>
      <c r="AN58" s="2">
        <v>34.659999999999997</v>
      </c>
      <c r="AO58" s="42">
        <v>238.89</v>
      </c>
      <c r="AP58" s="19" t="s">
        <v>32</v>
      </c>
      <c r="AQ58" s="34">
        <v>720.89800000000002</v>
      </c>
      <c r="AR58" s="2">
        <v>23.651499999999999</v>
      </c>
      <c r="AS58" s="2">
        <f>AE58+AF58+AG58+AH58</f>
        <v>283.81833</v>
      </c>
      <c r="AT58" s="2">
        <v>7.2089800000000004</v>
      </c>
      <c r="AU58" s="2">
        <v>4.4794500000000003E-3</v>
      </c>
      <c r="AV58" s="2">
        <v>7208.98</v>
      </c>
      <c r="AW58" s="2">
        <v>7.8838299999999997</v>
      </c>
      <c r="AX58" s="2">
        <v>7208977</v>
      </c>
      <c r="AY58" s="340">
        <v>1769951</v>
      </c>
      <c r="AZ58" s="26">
        <v>17699.5</v>
      </c>
      <c r="BA58" s="2">
        <v>176.995</v>
      </c>
      <c r="BB58" s="2">
        <v>1.7699499999999999</v>
      </c>
      <c r="BC58" s="2">
        <f>(SQRT(((AE58+AF58+AI58)/2)*((AE58+AF58+AI58)/2-AE58)*((AE58+AF58+AI58)/2-AF58)*((AE58+AF58+AI58)/2-AI58)))+(SQRT(((AG58+AH58+AI58)/2)*((AG58+AH58+AI58)/2-AG58)*((AG58+AH58+AI58)/2-AH58)*((AG58+AH58+AI58)/2-AI58)))</f>
        <v>2743.4318711402962</v>
      </c>
      <c r="BD58" s="2">
        <v>19.051600000000001</v>
      </c>
      <c r="BE58" s="342">
        <v>1.76995E-2</v>
      </c>
      <c r="BF58" s="302">
        <v>1.76995E-4</v>
      </c>
      <c r="BG58" s="188">
        <v>4.3736399999999998E-4</v>
      </c>
      <c r="BH58" s="238" t="s">
        <v>8</v>
      </c>
      <c r="BI58" s="251">
        <f t="shared" si="75"/>
        <v>0</v>
      </c>
      <c r="BJ58" s="73">
        <f t="shared" si="76"/>
        <v>1.2195121951225751E-2</v>
      </c>
      <c r="BK58" s="73">
        <f t="shared" si="77"/>
        <v>0</v>
      </c>
      <c r="BL58" s="73">
        <f t="shared" si="78"/>
        <v>0</v>
      </c>
      <c r="BM58" s="234">
        <f t="shared" si="79"/>
        <v>5.646216920308314E-5</v>
      </c>
      <c r="BN58" s="238" t="s">
        <v>32</v>
      </c>
      <c r="BO58" s="214">
        <f t="shared" si="43"/>
        <v>1.3871587935829384E-4</v>
      </c>
      <c r="BP58" s="82">
        <f t="shared" si="44"/>
        <v>0</v>
      </c>
      <c r="BQ58" s="82">
        <f t="shared" si="45"/>
        <v>-1.1627156005726669E-4</v>
      </c>
      <c r="BR58" s="82">
        <f t="shared" si="46"/>
        <v>1.3871587935632257E-4</v>
      </c>
      <c r="BS58" s="82">
        <f t="shared" si="47"/>
        <v>2.2324169261718764E-4</v>
      </c>
      <c r="BT58" s="82">
        <f t="shared" si="48"/>
        <v>1.3871587936460192E-4</v>
      </c>
      <c r="BU58" s="82">
        <f t="shared" si="49"/>
        <v>1.2684190299016597E-4</v>
      </c>
      <c r="BV58" s="82">
        <f t="shared" si="50"/>
        <v>1.2484434337909527E-4</v>
      </c>
      <c r="BW58" s="80">
        <f t="shared" si="51"/>
        <v>1.1299747846126814E-4</v>
      </c>
      <c r="BX58" s="80">
        <f t="shared" si="52"/>
        <v>0</v>
      </c>
      <c r="BY58" s="80">
        <f t="shared" si="53"/>
        <v>0</v>
      </c>
      <c r="BZ58" s="80">
        <f t="shared" si="54"/>
        <v>0</v>
      </c>
      <c r="CA58" s="80">
        <f t="shared" si="55"/>
        <v>-6.8204365342543259E-5</v>
      </c>
      <c r="CB58" s="80">
        <f t="shared" si="56"/>
        <v>0</v>
      </c>
      <c r="CC58" s="80">
        <f t="shared" si="57"/>
        <v>0</v>
      </c>
      <c r="CD58" s="80">
        <f t="shared" si="58"/>
        <v>0</v>
      </c>
      <c r="CE58" s="96">
        <f t="shared" si="59"/>
        <v>2.2864250373047284E-4</v>
      </c>
    </row>
    <row r="59" spans="1:83" x14ac:dyDescent="0.25">
      <c r="A59" s="118">
        <v>77</v>
      </c>
      <c r="B59" s="1">
        <v>55</v>
      </c>
      <c r="C59" s="1">
        <v>77</v>
      </c>
      <c r="D59" s="1">
        <v>55</v>
      </c>
      <c r="E59" s="1">
        <v>77.827269999999999</v>
      </c>
      <c r="F59" s="6">
        <v>108.861912735112</v>
      </c>
      <c r="G59" s="211" t="s">
        <v>4</v>
      </c>
      <c r="H59" s="411">
        <v>77.78</v>
      </c>
      <c r="I59" s="325">
        <v>122.22</v>
      </c>
      <c r="J59" s="325">
        <v>77.78</v>
      </c>
      <c r="K59" s="412">
        <v>122.22</v>
      </c>
      <c r="L59" s="211" t="s">
        <v>32</v>
      </c>
      <c r="M59" s="56">
        <v>26400</v>
      </c>
      <c r="N59" s="1">
        <v>866.14200000000005</v>
      </c>
      <c r="O59" s="1">
        <v>10393.700000000001</v>
      </c>
      <c r="P59" s="1">
        <v>264</v>
      </c>
      <c r="Q59" s="1">
        <v>0.16404199999999999</v>
      </c>
      <c r="R59" s="1">
        <v>264000</v>
      </c>
      <c r="S59" s="1">
        <v>288.714</v>
      </c>
      <c r="T59" s="1">
        <v>264000000</v>
      </c>
      <c r="U59" s="1">
        <v>3979598558</v>
      </c>
      <c r="V59" s="1">
        <v>39795986</v>
      </c>
      <c r="W59" s="1">
        <v>397960</v>
      </c>
      <c r="X59" s="1">
        <v>3979.6</v>
      </c>
      <c r="Y59" s="1">
        <v>6168390</v>
      </c>
      <c r="Z59" s="1">
        <v>42836</v>
      </c>
      <c r="AA59" s="1">
        <v>39.795999999999999</v>
      </c>
      <c r="AB59" s="1">
        <v>0.39795999999999998</v>
      </c>
      <c r="AC59" s="6">
        <v>0.98338000000000003</v>
      </c>
      <c r="AD59" s="143">
        <v>4</v>
      </c>
      <c r="AE59" s="34">
        <v>77</v>
      </c>
      <c r="AF59" s="2">
        <v>55</v>
      </c>
      <c r="AG59" s="2">
        <v>77</v>
      </c>
      <c r="AH59" s="2">
        <v>55</v>
      </c>
      <c r="AI59" s="2">
        <v>77.827269999999999</v>
      </c>
      <c r="AJ59" s="42">
        <v>108.86188</v>
      </c>
      <c r="AK59" s="19" t="s">
        <v>4</v>
      </c>
      <c r="AL59" s="34">
        <v>77.78</v>
      </c>
      <c r="AM59" s="2">
        <v>122.22</v>
      </c>
      <c r="AN59" s="2">
        <v>77.78</v>
      </c>
      <c r="AO59" s="42">
        <v>122.22</v>
      </c>
      <c r="AP59" s="19" t="s">
        <v>32</v>
      </c>
      <c r="AQ59" s="34">
        <v>26400</v>
      </c>
      <c r="AR59" s="2">
        <v>866.14200000000005</v>
      </c>
      <c r="AS59" s="2">
        <v>10393.700000000001</v>
      </c>
      <c r="AT59" s="29">
        <f>AE59+AF59+AG59+AH59</f>
        <v>264</v>
      </c>
      <c r="AU59" s="2">
        <v>0.16404199999999999</v>
      </c>
      <c r="AV59" s="2">
        <v>264000</v>
      </c>
      <c r="AW59" s="2">
        <v>288.714</v>
      </c>
      <c r="AX59" s="2">
        <v>264000000</v>
      </c>
      <c r="AY59" s="2">
        <v>3979600000</v>
      </c>
      <c r="AZ59" s="2">
        <v>39796000</v>
      </c>
      <c r="BA59" s="2">
        <v>397960</v>
      </c>
      <c r="BB59" s="2">
        <f>(SQRT(((AE59+AF59+AI59)/2)*((AE59+AF59+AI59)/2-AE59)*((AE59+AF59+AI59)/2-AF59)*((AE59+AF59+AI59)/2-AI59)))+(SQRT(((AG59+AH59+AI59)/2)*((AG59+AH59+AI59)/2-AG59)*((AG59+AH59+AI59)/2-AH59)*((AG59+AH59+AI59)/2-AI59)))</f>
        <v>3979.5972607791714</v>
      </c>
      <c r="BC59" s="2">
        <v>6168392</v>
      </c>
      <c r="BD59" s="2">
        <v>42836.1</v>
      </c>
      <c r="BE59" s="2">
        <v>39.795999999999999</v>
      </c>
      <c r="BF59" s="2">
        <v>0.39795999999999998</v>
      </c>
      <c r="BG59" s="42">
        <v>0.98338099999999995</v>
      </c>
      <c r="BH59" s="238" t="s">
        <v>4</v>
      </c>
      <c r="BI59" s="251">
        <f t="shared" si="75"/>
        <v>0</v>
      </c>
      <c r="BJ59" s="73">
        <f t="shared" si="76"/>
        <v>0</v>
      </c>
      <c r="BK59" s="73">
        <f t="shared" si="77"/>
        <v>0</v>
      </c>
      <c r="BL59" s="73">
        <f t="shared" si="78"/>
        <v>0</v>
      </c>
      <c r="BM59" s="234">
        <f t="shared" si="79"/>
        <v>3.0070316625651647E-5</v>
      </c>
      <c r="BN59" s="238" t="s">
        <v>32</v>
      </c>
      <c r="BO59" s="214">
        <f t="shared" si="43"/>
        <v>0</v>
      </c>
      <c r="BP59" s="82">
        <f t="shared" si="44"/>
        <v>0</v>
      </c>
      <c r="BQ59" s="82">
        <f t="shared" si="45"/>
        <v>0</v>
      </c>
      <c r="BR59" s="82">
        <f t="shared" si="46"/>
        <v>0</v>
      </c>
      <c r="BS59" s="82">
        <f t="shared" si="47"/>
        <v>0</v>
      </c>
      <c r="BT59" s="82">
        <f t="shared" si="48"/>
        <v>0</v>
      </c>
      <c r="BU59" s="82">
        <f t="shared" si="49"/>
        <v>0</v>
      </c>
      <c r="BV59" s="82">
        <f t="shared" si="50"/>
        <v>0</v>
      </c>
      <c r="BW59" s="80">
        <f t="shared" si="51"/>
        <v>-3.6234797467082122E-5</v>
      </c>
      <c r="BX59" s="80">
        <f t="shared" si="52"/>
        <v>-3.5179415016584578E-5</v>
      </c>
      <c r="BY59" s="80">
        <f t="shared" si="53"/>
        <v>0</v>
      </c>
      <c r="BZ59" s="80">
        <f t="shared" si="54"/>
        <v>6.8831609055336742E-5</v>
      </c>
      <c r="CA59" s="80">
        <f t="shared" si="55"/>
        <v>-3.2423360901836327E-5</v>
      </c>
      <c r="CB59" s="80">
        <f t="shared" si="56"/>
        <v>-2.3344795627646965E-4</v>
      </c>
      <c r="CC59" s="80">
        <f t="shared" si="57"/>
        <v>0</v>
      </c>
      <c r="CD59" s="80">
        <f t="shared" si="58"/>
        <v>0</v>
      </c>
      <c r="CE59" s="96">
        <f t="shared" si="59"/>
        <v>-1.0168998586689528E-4</v>
      </c>
    </row>
    <row r="60" spans="1:83" x14ac:dyDescent="0.25">
      <c r="A60" s="118">
        <v>50</v>
      </c>
      <c r="B60" s="1">
        <v>100</v>
      </c>
      <c r="C60" s="1">
        <v>99.435670000000002</v>
      </c>
      <c r="D60" s="1">
        <v>40</v>
      </c>
      <c r="E60" s="1">
        <v>61.96566</v>
      </c>
      <c r="F60" s="6">
        <v>58.355792267544501</v>
      </c>
      <c r="G60" s="211" t="s">
        <v>10</v>
      </c>
      <c r="H60" s="411">
        <v>33.33</v>
      </c>
      <c r="I60" s="325">
        <v>37.81</v>
      </c>
      <c r="J60" s="325">
        <v>17.75</v>
      </c>
      <c r="K60" s="412">
        <v>311.11</v>
      </c>
      <c r="L60" s="211" t="s">
        <v>32</v>
      </c>
      <c r="M60" s="575">
        <v>46580156</v>
      </c>
      <c r="N60" s="1">
        <v>1528220</v>
      </c>
      <c r="O60" s="1">
        <v>18338644</v>
      </c>
      <c r="P60" s="1">
        <v>465802</v>
      </c>
      <c r="Q60" s="1">
        <v>289.43599999999998</v>
      </c>
      <c r="R60" s="1">
        <v>465801559</v>
      </c>
      <c r="S60" s="1">
        <v>509407</v>
      </c>
      <c r="T60" s="59">
        <v>465801558900</v>
      </c>
      <c r="U60" s="59">
        <v>4654928993145470</v>
      </c>
      <c r="V60" s="59">
        <v>46549289931455</v>
      </c>
      <c r="W60" s="59">
        <v>465492899315</v>
      </c>
      <c r="X60" s="1">
        <v>4654928993</v>
      </c>
      <c r="Y60" s="59">
        <v>7215154369684</v>
      </c>
      <c r="Z60" s="1">
        <v>50105238678</v>
      </c>
      <c r="AA60" s="1">
        <v>46549290</v>
      </c>
      <c r="AB60" s="1">
        <v>465493</v>
      </c>
      <c r="AC60" s="6">
        <v>1150258</v>
      </c>
      <c r="AD60" s="143">
        <v>5</v>
      </c>
      <c r="AE60" s="34">
        <v>50</v>
      </c>
      <c r="AF60" s="2">
        <v>100</v>
      </c>
      <c r="AG60" s="2">
        <v>99.435670000000002</v>
      </c>
      <c r="AH60" s="2">
        <v>40</v>
      </c>
      <c r="AI60" s="2">
        <v>61.96566</v>
      </c>
      <c r="AJ60" s="42">
        <v>58.355899999999998</v>
      </c>
      <c r="AK60" s="19" t="s">
        <v>10</v>
      </c>
      <c r="AL60" s="34">
        <v>33.33</v>
      </c>
      <c r="AM60" s="2">
        <v>37.81</v>
      </c>
      <c r="AN60" s="2">
        <v>17.75</v>
      </c>
      <c r="AO60" s="42">
        <v>311.11</v>
      </c>
      <c r="AP60" s="19" t="s">
        <v>32</v>
      </c>
      <c r="AQ60" s="34">
        <v>46580209</v>
      </c>
      <c r="AR60" s="2">
        <v>1528222</v>
      </c>
      <c r="AS60" s="2">
        <v>18338665</v>
      </c>
      <c r="AT60" s="2">
        <v>465802</v>
      </c>
      <c r="AU60" s="2">
        <f>AE60+AF60+AG60+AH60</f>
        <v>289.43567000000002</v>
      </c>
      <c r="AV60" s="2">
        <v>465802090</v>
      </c>
      <c r="AW60" s="2">
        <v>509407</v>
      </c>
      <c r="AX60" s="29">
        <v>465802089984</v>
      </c>
      <c r="AY60" s="29">
        <v>4654928993000000</v>
      </c>
      <c r="AZ60" s="29">
        <v>46549289930000</v>
      </c>
      <c r="BA60" s="29">
        <v>465492899300</v>
      </c>
      <c r="BB60" s="2">
        <f>((SQRT(((AE60+AF60+AI60)/2)*((AE60+AF60+AI60)/2-AE60)*((AE60+AF60+AI60)/2-AF60)*((AE60+AF60+AI60)/2-AI60)))+(SQRT(((AG60+AH60+AI60)/2)*((AG60+AH60+AI60)/2-AG60)*((AG60+AH60+AI60)/2-AH60)*((AG60+AH60+AI60)/2-AI60))))*1609.344*1609.344</f>
        <v>4654928993.1454678</v>
      </c>
      <c r="BC60" s="29">
        <v>7215154369459</v>
      </c>
      <c r="BD60" s="2">
        <v>50105238677</v>
      </c>
      <c r="BE60" s="2">
        <v>46549290</v>
      </c>
      <c r="BF60" s="2">
        <v>465493</v>
      </c>
      <c r="BG60" s="42">
        <v>1150258</v>
      </c>
      <c r="BH60" s="238" t="s">
        <v>10</v>
      </c>
      <c r="BI60" s="251">
        <f t="shared" si="75"/>
        <v>0</v>
      </c>
      <c r="BJ60" s="73">
        <f t="shared" si="76"/>
        <v>0</v>
      </c>
      <c r="BK60" s="73">
        <f t="shared" si="77"/>
        <v>0</v>
      </c>
      <c r="BL60" s="73">
        <f t="shared" si="78"/>
        <v>0</v>
      </c>
      <c r="BM60" s="234">
        <f t="shared" si="79"/>
        <v>-1.8461279064670497E-4</v>
      </c>
      <c r="BN60" s="238" t="s">
        <v>32</v>
      </c>
      <c r="BO60" s="214">
        <f t="shared" si="43"/>
        <v>-1.1378222884315526E-4</v>
      </c>
      <c r="BP60" s="82">
        <f t="shared" si="44"/>
        <v>-1.3087103837007975E-4</v>
      </c>
      <c r="BQ60" s="82">
        <f t="shared" si="45"/>
        <v>-1.14512152329518E-4</v>
      </c>
      <c r="BR60" s="82">
        <f t="shared" si="46"/>
        <v>0</v>
      </c>
      <c r="BS60" s="82">
        <f t="shared" si="47"/>
        <v>1.1401497264060022E-4</v>
      </c>
      <c r="BT60" s="82">
        <f t="shared" si="48"/>
        <v>-1.1399691229380271E-4</v>
      </c>
      <c r="BU60" s="82">
        <f t="shared" si="49"/>
        <v>0</v>
      </c>
      <c r="BV60" s="82">
        <f t="shared" si="50"/>
        <v>-1.1401494570757345E-4</v>
      </c>
      <c r="BW60" s="80">
        <f t="shared" si="51"/>
        <v>3.1250745224847729E-9</v>
      </c>
      <c r="BX60" s="80">
        <f t="shared" si="52"/>
        <v>3.1257190006292325E-9</v>
      </c>
      <c r="BY60" s="80">
        <f t="shared" si="53"/>
        <v>3.2223907222981778E-9</v>
      </c>
      <c r="BZ60" s="80">
        <f t="shared" si="54"/>
        <v>-3.1250263622262956E-9</v>
      </c>
      <c r="CA60" s="80">
        <f t="shared" si="55"/>
        <v>3.1184363975967259E-9</v>
      </c>
      <c r="CB60" s="80">
        <f t="shared" si="56"/>
        <v>1.9957992944538829E-9</v>
      </c>
      <c r="CC60" s="80">
        <f t="shared" si="57"/>
        <v>0</v>
      </c>
      <c r="CD60" s="80">
        <f t="shared" si="58"/>
        <v>0</v>
      </c>
      <c r="CE60" s="96">
        <f t="shared" si="59"/>
        <v>0</v>
      </c>
    </row>
    <row r="61" spans="1:83" x14ac:dyDescent="0.25">
      <c r="A61" s="118">
        <v>149.71458999999999</v>
      </c>
      <c r="B61" s="1">
        <v>65</v>
      </c>
      <c r="C61" s="1">
        <v>72</v>
      </c>
      <c r="D61" s="1">
        <v>45</v>
      </c>
      <c r="E61" s="1">
        <v>110.33123000000001</v>
      </c>
      <c r="F61" s="6">
        <v>124.199335151626</v>
      </c>
      <c r="G61" s="211" t="s">
        <v>6</v>
      </c>
      <c r="H61" s="411">
        <v>46.65</v>
      </c>
      <c r="I61" s="325">
        <v>144.44</v>
      </c>
      <c r="J61" s="325">
        <v>155.56</v>
      </c>
      <c r="K61" s="412">
        <v>53.35</v>
      </c>
      <c r="L61" s="211" t="s">
        <v>32</v>
      </c>
      <c r="M61" s="56">
        <v>33.171500000000002</v>
      </c>
      <c r="N61" s="1">
        <v>1.0883</v>
      </c>
      <c r="O61" s="1">
        <v>13.0596</v>
      </c>
      <c r="P61" s="1">
        <v>0.33171499999999998</v>
      </c>
      <c r="Q61" s="316">
        <v>2.0611800000000001E-4</v>
      </c>
      <c r="R61" s="1">
        <v>331.71499999999997</v>
      </c>
      <c r="S61" s="1">
        <v>0.36276700000000001</v>
      </c>
      <c r="T61" s="1">
        <v>331715</v>
      </c>
      <c r="U61" s="348">
        <v>4296.3599999999997</v>
      </c>
      <c r="V61" s="78">
        <v>42.9636</v>
      </c>
      <c r="W61" s="78">
        <v>0.42963600000000002</v>
      </c>
      <c r="X61" s="326">
        <v>4.2963599999999999E-3</v>
      </c>
      <c r="Y61" s="78">
        <v>6.65937</v>
      </c>
      <c r="Z61" s="78">
        <v>4.6245599999999998E-2</v>
      </c>
      <c r="AA61" s="49">
        <v>4.2963598561946402E-5</v>
      </c>
      <c r="AB61" s="58">
        <v>4.2963598561946402E-7</v>
      </c>
      <c r="AC61" s="579">
        <v>1.06165364118519E-6</v>
      </c>
      <c r="AD61" s="143">
        <v>6</v>
      </c>
      <c r="AE61" s="34">
        <v>149.71458999999999</v>
      </c>
      <c r="AF61" s="2">
        <v>65</v>
      </c>
      <c r="AG61" s="2">
        <v>72</v>
      </c>
      <c r="AH61" s="2">
        <v>45</v>
      </c>
      <c r="AI61" s="2">
        <v>110.33123000000001</v>
      </c>
      <c r="AJ61" s="42">
        <v>124.19946</v>
      </c>
      <c r="AK61" s="19" t="s">
        <v>6</v>
      </c>
      <c r="AL61" s="34">
        <v>46.65</v>
      </c>
      <c r="AM61" s="2">
        <v>144.44</v>
      </c>
      <c r="AN61" s="2">
        <v>155.56</v>
      </c>
      <c r="AO61" s="42">
        <v>53.35</v>
      </c>
      <c r="AP61" s="19" t="s">
        <v>32</v>
      </c>
      <c r="AQ61" s="34">
        <v>33.171500000000002</v>
      </c>
      <c r="AR61" s="2">
        <v>1.0883</v>
      </c>
      <c r="AS61" s="2">
        <v>13.0596</v>
      </c>
      <c r="AT61" s="2">
        <v>0.33171499999999998</v>
      </c>
      <c r="AU61" s="302">
        <v>2.0611800000000001E-4</v>
      </c>
      <c r="AV61" s="2">
        <f>AE61+AF61+AG61+AH61</f>
        <v>331.71458999999999</v>
      </c>
      <c r="AW61" s="2">
        <v>0.36276799999999998</v>
      </c>
      <c r="AX61" s="2">
        <v>331715</v>
      </c>
      <c r="AY61" s="2">
        <f>(SQRT(((AE61+AF61+AI61)/2)*((AE61+AF61+AI61)/2-AE61)*((AE61+AF61+AI61)/2-AF61)*((AE61+AF61+AI61)/2-AI61)))+(SQRT(((AG61+AH61+AI61)/2)*((AG61+AH61+AI61)/2-AG61)*((AG61+AH61+AI61)/2-AH61)*((AG61+AH61+AI61)/2-AI61)))</f>
        <v>4296.3598561946383</v>
      </c>
      <c r="AZ61" s="2">
        <v>42.9636</v>
      </c>
      <c r="BA61" s="2">
        <v>0.42963600000000002</v>
      </c>
      <c r="BB61" s="309">
        <v>4.2963599999999999E-3</v>
      </c>
      <c r="BC61" s="2">
        <v>6.65937</v>
      </c>
      <c r="BD61" s="342">
        <v>4.6245599999999998E-2</v>
      </c>
      <c r="BE61" s="323">
        <v>4.2963600000000003E-5</v>
      </c>
      <c r="BF61" s="360">
        <v>4.2963600000000002E-7</v>
      </c>
      <c r="BG61" s="43">
        <v>1.06165367672027E-6</v>
      </c>
      <c r="BH61" s="238" t="s">
        <v>6</v>
      </c>
      <c r="BI61" s="251">
        <f t="shared" si="75"/>
        <v>0</v>
      </c>
      <c r="BJ61" s="73">
        <f t="shared" si="76"/>
        <v>0</v>
      </c>
      <c r="BK61" s="73">
        <f t="shared" si="77"/>
        <v>0</v>
      </c>
      <c r="BL61" s="73">
        <f t="shared" si="78"/>
        <v>0</v>
      </c>
      <c r="BM61" s="234">
        <f t="shared" si="79"/>
        <v>-1.0052247731186017E-4</v>
      </c>
      <c r="BN61" s="238" t="s">
        <v>32</v>
      </c>
      <c r="BO61" s="214">
        <f t="shared" si="43"/>
        <v>0</v>
      </c>
      <c r="BP61" s="82">
        <f t="shared" si="44"/>
        <v>0</v>
      </c>
      <c r="BQ61" s="82">
        <f t="shared" si="45"/>
        <v>0</v>
      </c>
      <c r="BR61" s="82">
        <f t="shared" si="46"/>
        <v>0</v>
      </c>
      <c r="BS61" s="82">
        <f t="shared" si="47"/>
        <v>0</v>
      </c>
      <c r="BT61" s="82">
        <f t="shared" si="48"/>
        <v>1.2360023114691188E-4</v>
      </c>
      <c r="BU61" s="82">
        <f t="shared" si="49"/>
        <v>-2.7565827194604942E-4</v>
      </c>
      <c r="BV61" s="82">
        <f t="shared" si="50"/>
        <v>0</v>
      </c>
      <c r="BW61" s="80">
        <f t="shared" si="51"/>
        <v>3.3471442387780703E-6</v>
      </c>
      <c r="BX61" s="80">
        <f t="shared" si="52"/>
        <v>0</v>
      </c>
      <c r="BY61" s="80">
        <f t="shared" si="53"/>
        <v>0</v>
      </c>
      <c r="BZ61" s="80">
        <f t="shared" si="54"/>
        <v>0</v>
      </c>
      <c r="CA61" s="80">
        <f t="shared" si="55"/>
        <v>0</v>
      </c>
      <c r="CB61" s="80">
        <f t="shared" si="56"/>
        <v>0</v>
      </c>
      <c r="CC61" s="80">
        <f t="shared" si="57"/>
        <v>-3.3471440974169569E-6</v>
      </c>
      <c r="CD61" s="80">
        <f t="shared" si="58"/>
        <v>-3.347144095938322E-6</v>
      </c>
      <c r="CE61" s="96">
        <f t="shared" si="59"/>
        <v>-3.3471442552719656E-6</v>
      </c>
    </row>
    <row r="62" spans="1:83" x14ac:dyDescent="0.25">
      <c r="A62" s="118">
        <v>25</v>
      </c>
      <c r="B62" s="1">
        <v>88.358009999999993</v>
      </c>
      <c r="C62" s="1">
        <v>95.000399999999999</v>
      </c>
      <c r="D62" s="1">
        <v>35</v>
      </c>
      <c r="E62" s="1">
        <v>86.252989999999997</v>
      </c>
      <c r="F62" s="241">
        <v>59.999999998675698</v>
      </c>
      <c r="G62" s="211" t="s">
        <v>7</v>
      </c>
      <c r="H62" s="411">
        <v>85.57</v>
      </c>
      <c r="I62" s="325">
        <v>42.21</v>
      </c>
      <c r="J62" s="325">
        <v>72.22</v>
      </c>
      <c r="K62" s="412">
        <v>200</v>
      </c>
      <c r="L62" s="211" t="s">
        <v>32</v>
      </c>
      <c r="M62" s="56">
        <v>22252.7</v>
      </c>
      <c r="N62" s="1">
        <v>730.07500000000005</v>
      </c>
      <c r="O62" s="1">
        <v>8760.9</v>
      </c>
      <c r="P62" s="1">
        <v>222.52699999999999</v>
      </c>
      <c r="Q62" s="1">
        <v>0.13827200000000001</v>
      </c>
      <c r="R62" s="1">
        <v>222527</v>
      </c>
      <c r="S62" s="1">
        <v>243.358</v>
      </c>
      <c r="T62" s="1">
        <v>222526930</v>
      </c>
      <c r="U62" s="1">
        <v>2159695281</v>
      </c>
      <c r="V62" s="1">
        <v>21596953</v>
      </c>
      <c r="W62" s="1">
        <v>215970</v>
      </c>
      <c r="X62" s="1">
        <v>2159.6999999999998</v>
      </c>
      <c r="Y62" s="1">
        <v>3347534</v>
      </c>
      <c r="Z62" s="1">
        <v>23246.799999999999</v>
      </c>
      <c r="AA62" s="1">
        <v>21.597000000000001</v>
      </c>
      <c r="AB62" s="1">
        <v>0.21597</v>
      </c>
      <c r="AC62" s="6">
        <v>0.53367200000000004</v>
      </c>
      <c r="AD62" s="143">
        <v>7</v>
      </c>
      <c r="AE62" s="34">
        <v>25</v>
      </c>
      <c r="AF62" s="2">
        <v>88.358009999999993</v>
      </c>
      <c r="AG62" s="2">
        <v>95.000399999999999</v>
      </c>
      <c r="AH62" s="2">
        <v>35</v>
      </c>
      <c r="AI62" s="2">
        <v>86.252989999999997</v>
      </c>
      <c r="AJ62" s="42">
        <v>60</v>
      </c>
      <c r="AK62" s="19" t="s">
        <v>7</v>
      </c>
      <c r="AL62" s="34">
        <v>85.57</v>
      </c>
      <c r="AM62" s="2">
        <v>42.2</v>
      </c>
      <c r="AN62" s="2">
        <v>72.22</v>
      </c>
      <c r="AO62" s="42">
        <v>200</v>
      </c>
      <c r="AP62" s="19" t="s">
        <v>32</v>
      </c>
      <c r="AQ62" s="34">
        <v>22252.7</v>
      </c>
      <c r="AR62" s="2">
        <v>730.07399999999996</v>
      </c>
      <c r="AS62" s="2">
        <v>8760.89</v>
      </c>
      <c r="AT62" s="2">
        <v>222.52699999999999</v>
      </c>
      <c r="AU62" s="2">
        <v>0.13827200000000001</v>
      </c>
      <c r="AV62" s="2">
        <v>222527</v>
      </c>
      <c r="AW62" s="2">
        <f>AE62+AF62+AG62+AH62</f>
        <v>243.35840999999999</v>
      </c>
      <c r="AX62" s="2">
        <v>222526555</v>
      </c>
      <c r="AY62" s="2">
        <v>2159700000</v>
      </c>
      <c r="AZ62" s="2">
        <v>21597000</v>
      </c>
      <c r="BA62" s="2">
        <v>215970</v>
      </c>
      <c r="BB62" s="2">
        <f>((SQRT(((AE62+AF62+AI62)/2)*((AE62+AF62+AI62)/2-AE62)*((AE62+AF62+AI62)/2-AF62)*((AE62+AF62+AI62)/2-AI62)))+(SQRT(((AG62+AH62+AI62)/2)*((AG62+AH62+AI62)/2-AG62)*((AG62+AH62+AI62)/2-AH62)*((AG62+AH62+AI62)/2-AI62))))*0.9144*0.9144</f>
        <v>2159.6952808538053</v>
      </c>
      <c r="BC62" s="2">
        <v>3347542</v>
      </c>
      <c r="BD62" s="2">
        <v>23246.799999999999</v>
      </c>
      <c r="BE62" s="2">
        <v>21.597000000000001</v>
      </c>
      <c r="BF62" s="2">
        <v>0.21597</v>
      </c>
      <c r="BG62" s="42">
        <v>0.53367299999999995</v>
      </c>
      <c r="BH62" s="238" t="s">
        <v>7</v>
      </c>
      <c r="BI62" s="251">
        <f t="shared" si="75"/>
        <v>0</v>
      </c>
      <c r="BJ62" s="73">
        <f t="shared" si="76"/>
        <v>2.369668246445026E-2</v>
      </c>
      <c r="BK62" s="73">
        <f t="shared" si="77"/>
        <v>0</v>
      </c>
      <c r="BL62" s="73">
        <f t="shared" si="78"/>
        <v>0</v>
      </c>
      <c r="BM62" s="234">
        <f t="shared" si="79"/>
        <v>-2.2071707424705287E-9</v>
      </c>
      <c r="BN62" s="238" t="s">
        <v>32</v>
      </c>
      <c r="BO62" s="214">
        <f t="shared" si="43"/>
        <v>0</v>
      </c>
      <c r="BP62" s="82">
        <f t="shared" si="44"/>
        <v>1.3697241650709928E-4</v>
      </c>
      <c r="BQ62" s="82">
        <f t="shared" si="45"/>
        <v>1.1414365435724315E-4</v>
      </c>
      <c r="BR62" s="82">
        <f t="shared" si="46"/>
        <v>0</v>
      </c>
      <c r="BS62" s="82">
        <f t="shared" si="47"/>
        <v>0</v>
      </c>
      <c r="BT62" s="82">
        <f t="shared" si="48"/>
        <v>0</v>
      </c>
      <c r="BU62" s="82">
        <f t="shared" si="49"/>
        <v>-1.6847578844225315E-4</v>
      </c>
      <c r="BV62" s="82">
        <f t="shared" si="50"/>
        <v>1.6851921335860344E-4</v>
      </c>
      <c r="BW62" s="80">
        <f t="shared" si="51"/>
        <v>-2.1850256980136129E-4</v>
      </c>
      <c r="BX62" s="80">
        <f t="shared" si="52"/>
        <v>-2.1762281798397927E-4</v>
      </c>
      <c r="BY62" s="80">
        <f t="shared" si="53"/>
        <v>0</v>
      </c>
      <c r="BZ62" s="80">
        <f t="shared" si="54"/>
        <v>2.1850981646861031E-4</v>
      </c>
      <c r="CA62" s="80">
        <f t="shared" si="55"/>
        <v>-2.3898131823290043E-4</v>
      </c>
      <c r="CB62" s="80">
        <f t="shared" si="56"/>
        <v>0</v>
      </c>
      <c r="CC62" s="80">
        <f t="shared" si="57"/>
        <v>0</v>
      </c>
      <c r="CD62" s="80">
        <f t="shared" si="58"/>
        <v>0</v>
      </c>
      <c r="CE62" s="96">
        <f t="shared" si="59"/>
        <v>-1.8738066192551121E-4</v>
      </c>
    </row>
    <row r="63" spans="1:83" x14ac:dyDescent="0.25">
      <c r="A63" s="118">
        <v>111</v>
      </c>
      <c r="B63" s="1">
        <v>55</v>
      </c>
      <c r="C63" s="1">
        <v>56</v>
      </c>
      <c r="D63" s="1">
        <v>77.781739999999999</v>
      </c>
      <c r="E63" s="1">
        <v>123.87897</v>
      </c>
      <c r="F63" s="6">
        <v>78.492036979343695</v>
      </c>
      <c r="G63" s="211" t="s">
        <v>20</v>
      </c>
      <c r="H63" s="411">
        <v>100</v>
      </c>
      <c r="I63" s="325">
        <v>100</v>
      </c>
      <c r="J63" s="325">
        <v>150</v>
      </c>
      <c r="K63" s="412">
        <v>50</v>
      </c>
      <c r="L63" s="211" t="s">
        <v>32</v>
      </c>
      <c r="M63" s="56">
        <v>2.99782E-2</v>
      </c>
      <c r="N63" s="316">
        <v>9.8353599999999992E-4</v>
      </c>
      <c r="O63" s="1">
        <v>1.1802399999999999E-2</v>
      </c>
      <c r="P63" s="316">
        <v>2.9978200000000001E-4</v>
      </c>
      <c r="Q63" s="58">
        <v>1.8627573719478199E-7</v>
      </c>
      <c r="R63" s="315">
        <v>0.29978199999999999</v>
      </c>
      <c r="S63" s="316">
        <v>3.27845E-4</v>
      </c>
      <c r="T63" s="1">
        <v>299.78199999999998</v>
      </c>
      <c r="U63" s="78">
        <v>4.5925000000000002E-3</v>
      </c>
      <c r="V63" s="49">
        <v>4.5924997324550299E-5</v>
      </c>
      <c r="W63" s="58">
        <v>4.5924997324550302E-7</v>
      </c>
      <c r="X63" s="447">
        <v>4.5924997324550297E-9</v>
      </c>
      <c r="Y63" s="50">
        <v>7.1183888220829497E-6</v>
      </c>
      <c r="Z63" s="51">
        <v>4.9433255708909298E-8</v>
      </c>
      <c r="AA63" s="525">
        <v>4.5924997324550301E-11</v>
      </c>
      <c r="AB63" s="525">
        <v>4.5924997324550304E-13</v>
      </c>
      <c r="AC63" s="580">
        <v>1.13483139827616E-12</v>
      </c>
      <c r="AD63" s="143">
        <v>8</v>
      </c>
      <c r="AE63" s="34">
        <v>111</v>
      </c>
      <c r="AF63" s="2">
        <v>55</v>
      </c>
      <c r="AG63" s="2">
        <v>56</v>
      </c>
      <c r="AH63" s="2">
        <v>77.781739999999999</v>
      </c>
      <c r="AI63" s="2">
        <v>123.87897</v>
      </c>
      <c r="AJ63" s="42">
        <v>78.492040000000003</v>
      </c>
      <c r="AK63" s="19" t="s">
        <v>20</v>
      </c>
      <c r="AL63" s="34">
        <v>100</v>
      </c>
      <c r="AM63" s="2">
        <v>100</v>
      </c>
      <c r="AN63" s="2">
        <v>150</v>
      </c>
      <c r="AO63" s="42">
        <v>50</v>
      </c>
      <c r="AP63" s="19" t="s">
        <v>32</v>
      </c>
      <c r="AQ63" s="34">
        <v>2.99782E-2</v>
      </c>
      <c r="AR63" s="302">
        <v>9.8353700000000004E-4</v>
      </c>
      <c r="AS63" s="2">
        <v>1.1802399999999999E-2</v>
      </c>
      <c r="AT63" s="302">
        <v>2.9978200000000001E-4</v>
      </c>
      <c r="AU63" s="526">
        <v>1.8627589875129201E-7</v>
      </c>
      <c r="AV63" s="2">
        <v>0.29978199999999999</v>
      </c>
      <c r="AW63" s="302">
        <v>3.2784600000000002E-4</v>
      </c>
      <c r="AX63" s="2">
        <f>AE63+AF63+AG63+AH63</f>
        <v>299.78174000000001</v>
      </c>
      <c r="AY63" s="2">
        <f>((SQRT(((AE63+AF63+AI63)/2)*((AE63+AF63+AI63)/2-AE63)*((AE63+AF63+AI63)/2-AF63)*((AE63+AF63+AI63)/2-AI63)))+(SQRT(((AG63+AH63+AI63)/2)*((AG63+AH63+AI63)/2-AG63)*((AG63+AH63+AI63)/2-AH63)*((AG63+AH63+AI63)/2-AI63))))/1000/1000</f>
        <v>4.5924997324550331E-3</v>
      </c>
      <c r="AZ63" s="302">
        <v>4.5924999999999998E-5</v>
      </c>
      <c r="BA63" s="23">
        <v>4.5924999999999999E-7</v>
      </c>
      <c r="BB63" s="31">
        <v>4.5924999999999996E-9</v>
      </c>
      <c r="BC63" s="33">
        <v>7.1183892367784697E-6</v>
      </c>
      <c r="BD63" s="527">
        <v>4.9433258588739401E-8</v>
      </c>
      <c r="BE63" s="32">
        <v>4.5924999999999999E-11</v>
      </c>
      <c r="BF63" s="528">
        <v>4.5924999999999999E-13</v>
      </c>
      <c r="BG63" s="591">
        <v>1.1348314643879599E-12</v>
      </c>
      <c r="BH63" s="238" t="s">
        <v>20</v>
      </c>
      <c r="BI63" s="251">
        <f t="shared" si="75"/>
        <v>0</v>
      </c>
      <c r="BJ63" s="73">
        <f t="shared" si="76"/>
        <v>0</v>
      </c>
      <c r="BK63" s="73">
        <f t="shared" si="77"/>
        <v>0</v>
      </c>
      <c r="BL63" s="73">
        <f t="shared" si="78"/>
        <v>0</v>
      </c>
      <c r="BM63" s="234">
        <f t="shared" si="79"/>
        <v>-3.8483600479675419E-6</v>
      </c>
      <c r="BN63" s="238" t="s">
        <v>32</v>
      </c>
      <c r="BO63" s="214">
        <f t="shared" si="43"/>
        <v>0</v>
      </c>
      <c r="BP63" s="82">
        <f t="shared" si="44"/>
        <v>-1.0167385671552422E-4</v>
      </c>
      <c r="BQ63" s="82">
        <f t="shared" si="45"/>
        <v>0</v>
      </c>
      <c r="BR63" s="82">
        <f t="shared" si="46"/>
        <v>0</v>
      </c>
      <c r="BS63" s="82">
        <f t="shared" si="47"/>
        <v>-8.6729690261241505E-5</v>
      </c>
      <c r="BT63" s="82">
        <f t="shared" si="48"/>
        <v>0</v>
      </c>
      <c r="BU63" s="82">
        <f t="shared" si="49"/>
        <v>-3.0502125998662337E-4</v>
      </c>
      <c r="BV63" s="82">
        <f t="shared" si="50"/>
        <v>8.6729765451638478E-5</v>
      </c>
      <c r="BW63" s="80">
        <f t="shared" si="51"/>
        <v>5.8256936890569099E-6</v>
      </c>
      <c r="BX63" s="80">
        <f t="shared" si="52"/>
        <v>-5.8256934104607279E-6</v>
      </c>
      <c r="BY63" s="80">
        <f t="shared" si="53"/>
        <v>-5.8256934063108662E-6</v>
      </c>
      <c r="BZ63" s="80">
        <f t="shared" si="54"/>
        <v>-5.8256934106336395E-6</v>
      </c>
      <c r="CA63" s="80">
        <f t="shared" si="55"/>
        <v>-5.8256932313519486E-6</v>
      </c>
      <c r="CB63" s="80">
        <f t="shared" si="56"/>
        <v>-5.8256934410757351E-6</v>
      </c>
      <c r="CC63" s="80">
        <f t="shared" si="57"/>
        <v>-5.8256934083821946E-6</v>
      </c>
      <c r="CD63" s="80">
        <f t="shared" si="58"/>
        <v>-5.8256934013464315E-6</v>
      </c>
      <c r="CE63" s="96">
        <f t="shared" si="59"/>
        <v>-5.8256932454695459E-6</v>
      </c>
    </row>
    <row r="64" spans="1:83" x14ac:dyDescent="0.25">
      <c r="A64" s="118">
        <v>67.5</v>
      </c>
      <c r="B64" s="1">
        <v>73.280150000000006</v>
      </c>
      <c r="C64" s="1">
        <v>117.44826999999999</v>
      </c>
      <c r="D64" s="1">
        <v>108</v>
      </c>
      <c r="E64" s="1">
        <v>135.58026000000001</v>
      </c>
      <c r="F64" s="6">
        <v>71.072447849359506</v>
      </c>
      <c r="G64" s="211" t="s">
        <v>9</v>
      </c>
      <c r="H64" s="411">
        <v>234.74</v>
      </c>
      <c r="I64" s="325">
        <v>38.82</v>
      </c>
      <c r="J64" s="325">
        <v>82</v>
      </c>
      <c r="K64" s="412">
        <v>44.44</v>
      </c>
      <c r="L64" s="211" t="s">
        <v>32</v>
      </c>
      <c r="M64" s="56">
        <v>366.22800000000001</v>
      </c>
      <c r="N64" s="316">
        <v>12.0154</v>
      </c>
      <c r="O64" s="1">
        <v>144.184</v>
      </c>
      <c r="P64" s="348">
        <v>3.66228</v>
      </c>
      <c r="Q64" s="326">
        <v>2.2756400000000002E-3</v>
      </c>
      <c r="R64" s="315">
        <v>3662.28</v>
      </c>
      <c r="S64" s="316">
        <v>4.0051199999999998</v>
      </c>
      <c r="T64" s="1">
        <v>3662284</v>
      </c>
      <c r="U64" s="59">
        <v>480676</v>
      </c>
      <c r="V64" s="347">
        <v>4806.76</v>
      </c>
      <c r="W64" s="347">
        <v>48.067599999999999</v>
      </c>
      <c r="X64" s="315">
        <v>0.48067599999999999</v>
      </c>
      <c r="Y64" s="349">
        <v>745.04899999999998</v>
      </c>
      <c r="Z64" s="348">
        <v>5.1739499999999996</v>
      </c>
      <c r="AA64" s="326">
        <v>4.8067600000000002E-3</v>
      </c>
      <c r="AB64" s="49">
        <v>4.8067581387101499E-5</v>
      </c>
      <c r="AC64" s="578">
        <v>1.1877799999999999E-4</v>
      </c>
      <c r="AD64" s="143">
        <v>9</v>
      </c>
      <c r="AE64" s="34">
        <v>67.5</v>
      </c>
      <c r="AF64" s="2">
        <v>73.280150000000006</v>
      </c>
      <c r="AG64" s="2">
        <v>117.44826999999999</v>
      </c>
      <c r="AH64" s="2">
        <v>108</v>
      </c>
      <c r="AI64" s="2">
        <v>135.58026000000001</v>
      </c>
      <c r="AJ64" s="42">
        <v>71.072569999999999</v>
      </c>
      <c r="AK64" s="19" t="s">
        <v>9</v>
      </c>
      <c r="AL64" s="604">
        <f>34.74319+200</f>
        <v>234.74319</v>
      </c>
      <c r="AM64" s="2">
        <v>38.81</v>
      </c>
      <c r="AN64" s="2">
        <v>82</v>
      </c>
      <c r="AO64" s="42">
        <v>44.44</v>
      </c>
      <c r="AP64" s="19" t="s">
        <v>32</v>
      </c>
      <c r="AQ64" s="476">
        <f>AE64+AF64+AG64+AH64</f>
        <v>366.22841999999997</v>
      </c>
      <c r="AR64" s="307">
        <v>12.0154</v>
      </c>
      <c r="AS64" s="540">
        <v>144.184</v>
      </c>
      <c r="AT64" s="541">
        <v>3.66228</v>
      </c>
      <c r="AU64" s="543">
        <v>2.2756400000000002E-3</v>
      </c>
      <c r="AV64" s="540">
        <v>3662.28</v>
      </c>
      <c r="AW64" s="541">
        <v>4.0051199999999998</v>
      </c>
      <c r="AX64" s="540">
        <v>3662280</v>
      </c>
      <c r="AY64" s="2">
        <v>480677</v>
      </c>
      <c r="AZ64" s="2">
        <f>(SQRT(((AE64+AH64+AJ64)/2)*((AE64+AH64+AJ64)/2-AE64)*((AE64+AH64+AJ64)/2-AH64)*((AE64+AH64+AJ64)/2-AJ64)))+(SQRT(((AF64+AG64+AJ64)/2)*((AF64+AG64+AJ64)/2-AF64)*((AF64+AG64+AJ64)/2-AG64)*((AF64+AG64+AJ64)/2-AJ64)))</f>
        <v>4806.769527894061</v>
      </c>
      <c r="BA64" s="307">
        <v>48.067700000000002</v>
      </c>
      <c r="BB64" s="31">
        <v>0.48067700000000002</v>
      </c>
      <c r="BC64" s="2">
        <v>745.05100000000004</v>
      </c>
      <c r="BD64" s="186">
        <v>5.1739600000000001</v>
      </c>
      <c r="BE64" s="23">
        <v>4.8067700000000001E-3</v>
      </c>
      <c r="BF64" s="23">
        <v>4.8067700000000001E-5</v>
      </c>
      <c r="BG64" s="592">
        <v>1.1877799999999999E-4</v>
      </c>
      <c r="BH64" s="238" t="s">
        <v>9</v>
      </c>
      <c r="BI64" s="251">
        <f t="shared" si="75"/>
        <v>-1.3589318608089836E-3</v>
      </c>
      <c r="BJ64" s="73">
        <f t="shared" si="76"/>
        <v>2.5766555011589823E-2</v>
      </c>
      <c r="BK64" s="73">
        <f t="shared" si="77"/>
        <v>0</v>
      </c>
      <c r="BL64" s="73">
        <f t="shared" si="78"/>
        <v>0</v>
      </c>
      <c r="BM64" s="234">
        <f t="shared" si="79"/>
        <v>-1.7186748768638317E-4</v>
      </c>
      <c r="BN64" s="238" t="s">
        <v>32</v>
      </c>
      <c r="BO64" s="214">
        <f t="shared" ref="BO64:BO69" si="80">(100*(M64-AQ64))/AQ64</f>
        <v>-1.1468252517453001E-4</v>
      </c>
      <c r="BP64" s="82">
        <f t="shared" ref="BP64:BP69" si="81">(100*(N64-AR64))/AR64</f>
        <v>0</v>
      </c>
      <c r="BQ64" s="82">
        <f t="shared" ref="BQ64:BQ69" si="82">(100*(O64-AS64))/AS64</f>
        <v>0</v>
      </c>
      <c r="BR64" s="82">
        <f t="shared" ref="BR64:BR69" si="83">(100*(P64-AT64))/AT64</f>
        <v>0</v>
      </c>
      <c r="BS64" s="82">
        <f t="shared" ref="BS64:BS69" si="84">(100*(Q64-AU64))/AU64</f>
        <v>0</v>
      </c>
      <c r="BT64" s="82">
        <f t="shared" ref="BT64:BT69" si="85">(100*(R64-AV64))/AV64</f>
        <v>0</v>
      </c>
      <c r="BU64" s="82">
        <f t="shared" ref="BU64:BU69" si="86">(100*(S64-AW64))/AW64</f>
        <v>0</v>
      </c>
      <c r="BV64" s="82">
        <f t="shared" ref="BV64:BV69" si="87">(100*(T64-AX64))/AX64</f>
        <v>1.0922157781491312E-4</v>
      </c>
      <c r="BW64" s="80">
        <f t="shared" ref="BW64:BW69" si="88">(100*(U64-AY64))/AY64</f>
        <v>-2.0803991037640662E-4</v>
      </c>
      <c r="BX64" s="80">
        <f t="shared" ref="BX64:BX69" si="89">(100*(V64-AZ64))/AZ64</f>
        <v>-1.9821824211557263E-4</v>
      </c>
      <c r="BY64" s="80">
        <f t="shared" ref="BY64:BY69" si="90">(100*(W64-BA64))/BA64</f>
        <v>-2.0803991038331282E-4</v>
      </c>
      <c r="BZ64" s="80">
        <f t="shared" ref="BZ64:BZ69" si="91">(100*(X64-BB64))/BB64</f>
        <v>-2.0803991038238892E-4</v>
      </c>
      <c r="CA64" s="80">
        <f t="shared" ref="CA64:CA69" si="92">(100*(Y64-BC64))/BC64</f>
        <v>-2.6843799955525097E-4</v>
      </c>
      <c r="CB64" s="80">
        <f t="shared" ref="CB64:CB69" si="93">(100*(Z64-BD64))/BD64</f>
        <v>-1.9327555683672855E-4</v>
      </c>
      <c r="CC64" s="80">
        <f t="shared" ref="CC64:CC69" si="94">(100*(AA64-BE64))/BE64</f>
        <v>-2.0803991037517109E-4</v>
      </c>
      <c r="CD64" s="80">
        <f t="shared" ref="CD64:CD69" si="95">(100*(AB64-BF64))/BF64</f>
        <v>-2.4676216773759777E-4</v>
      </c>
      <c r="CE64" s="96">
        <f t="shared" ref="CE64:CE69" si="96">(100*(AC64-BG64))/BG64</f>
        <v>0</v>
      </c>
    </row>
    <row r="65" spans="1:83" x14ac:dyDescent="0.25">
      <c r="A65" s="118">
        <v>55</v>
      </c>
      <c r="B65" s="1">
        <v>61.929290000000002</v>
      </c>
      <c r="C65" s="1">
        <v>118.39623</v>
      </c>
      <c r="D65" s="1">
        <v>110</v>
      </c>
      <c r="E65" s="1">
        <v>67.307559999999995</v>
      </c>
      <c r="F65" s="241">
        <v>61.275756812916498</v>
      </c>
      <c r="G65" s="211" t="s">
        <v>5</v>
      </c>
      <c r="H65" s="411">
        <v>322.22000000000003</v>
      </c>
      <c r="I65" s="325">
        <v>17.75</v>
      </c>
      <c r="J65" s="325">
        <v>37.81</v>
      </c>
      <c r="K65" s="412">
        <v>22.22</v>
      </c>
      <c r="L65" s="211" t="s">
        <v>32</v>
      </c>
      <c r="M65" s="56">
        <v>10525.5</v>
      </c>
      <c r="N65" s="316">
        <v>345.32600000000002</v>
      </c>
      <c r="O65" s="1">
        <v>4143.91</v>
      </c>
      <c r="P65" s="348">
        <v>105.255</v>
      </c>
      <c r="Q65" s="326">
        <v>6.5402600000000005E-2</v>
      </c>
      <c r="R65" s="315">
        <v>105255</v>
      </c>
      <c r="S65" s="316">
        <v>115.10899999999999</v>
      </c>
      <c r="T65" s="1">
        <v>105255218</v>
      </c>
      <c r="U65" s="59">
        <v>189846566</v>
      </c>
      <c r="V65" s="347">
        <v>1898466</v>
      </c>
      <c r="W65" s="347">
        <v>18984.7</v>
      </c>
      <c r="X65" s="349">
        <v>189.84700000000001</v>
      </c>
      <c r="Y65" s="59">
        <v>294263</v>
      </c>
      <c r="Z65" s="325">
        <v>2043.49</v>
      </c>
      <c r="AA65" s="348">
        <v>1.8984700000000001</v>
      </c>
      <c r="AB65" s="78">
        <v>1.89847E-2</v>
      </c>
      <c r="AC65" s="581">
        <v>4.6912099999999998E-2</v>
      </c>
      <c r="AD65" s="143">
        <v>10</v>
      </c>
      <c r="AE65" s="34">
        <v>55</v>
      </c>
      <c r="AF65" s="2">
        <v>61.929290000000002</v>
      </c>
      <c r="AG65" s="2">
        <v>118.39623</v>
      </c>
      <c r="AH65" s="2">
        <v>110</v>
      </c>
      <c r="AI65" s="2">
        <v>67.307559999999995</v>
      </c>
      <c r="AJ65" s="42">
        <v>61.275700000000001</v>
      </c>
      <c r="AK65" s="19" t="s">
        <v>5</v>
      </c>
      <c r="AL65" s="604">
        <f>122.22222+200</f>
        <v>322.22221999999999</v>
      </c>
      <c r="AM65" s="2">
        <v>17.75</v>
      </c>
      <c r="AN65" s="2">
        <v>37.81</v>
      </c>
      <c r="AO65" s="42">
        <v>22.22</v>
      </c>
      <c r="AP65" s="19" t="s">
        <v>32</v>
      </c>
      <c r="AQ65" s="34">
        <v>10525.5</v>
      </c>
      <c r="AR65" s="186">
        <f>AE65+AF65+AG65+AH65</f>
        <v>345.32551999999998</v>
      </c>
      <c r="AS65" s="540">
        <v>4143.91</v>
      </c>
      <c r="AT65" s="541">
        <v>105.255</v>
      </c>
      <c r="AU65" s="542">
        <v>6.5402699999999994E-2</v>
      </c>
      <c r="AV65" s="540">
        <v>105255</v>
      </c>
      <c r="AW65" s="541">
        <v>115.10899999999999</v>
      </c>
      <c r="AX65" s="540">
        <v>105255365</v>
      </c>
      <c r="AY65" s="29">
        <v>189845504</v>
      </c>
      <c r="AZ65" s="29">
        <v>1898455</v>
      </c>
      <c r="BA65" s="340">
        <v>18984.599999999999</v>
      </c>
      <c r="BB65" s="26">
        <v>189.846</v>
      </c>
      <c r="BC65" s="2">
        <v>294261</v>
      </c>
      <c r="BD65" s="76">
        <f>(SQRT(((AE65+AH65+AJ65)/2)*((AE65+AH65+AJ65)/2-AE65)*((AE65+AH65+AJ65)/2-AH65)*((AE65+AH65+AJ65)/2-AJ65)))+(SQRT(((AF65+AG65+AJ65)/2)*((AF65+AG65+AJ65)/2-AF65)*((AF65+AG65+AJ65)/2-AG65)*((AF65+AG65+AJ65)/2-AJ65)))</f>
        <v>2043.4805624442474</v>
      </c>
      <c r="BE65" s="76">
        <v>1.89846</v>
      </c>
      <c r="BF65" s="342">
        <v>1.8984600000000001E-2</v>
      </c>
      <c r="BG65" s="324">
        <v>4.6911799999999997E-2</v>
      </c>
      <c r="BH65" s="238" t="s">
        <v>5</v>
      </c>
      <c r="BI65" s="251">
        <f t="shared" si="75"/>
        <v>-6.8896552198221899E-4</v>
      </c>
      <c r="BJ65" s="73">
        <f t="shared" si="76"/>
        <v>0</v>
      </c>
      <c r="BK65" s="73">
        <f t="shared" si="77"/>
        <v>0</v>
      </c>
      <c r="BL65" s="73">
        <f t="shared" si="78"/>
        <v>0</v>
      </c>
      <c r="BM65" s="234">
        <f t="shared" si="79"/>
        <v>9.2716878791276468E-5</v>
      </c>
      <c r="BN65" s="238" t="s">
        <v>32</v>
      </c>
      <c r="BO65" s="214">
        <f t="shared" si="80"/>
        <v>0</v>
      </c>
      <c r="BP65" s="82">
        <f t="shared" si="81"/>
        <v>1.3899928393322096E-4</v>
      </c>
      <c r="BQ65" s="82">
        <f t="shared" si="82"/>
        <v>0</v>
      </c>
      <c r="BR65" s="82">
        <f t="shared" si="83"/>
        <v>0</v>
      </c>
      <c r="BS65" s="82">
        <f t="shared" si="84"/>
        <v>-1.5289888642058781E-4</v>
      </c>
      <c r="BT65" s="82">
        <f t="shared" si="85"/>
        <v>0</v>
      </c>
      <c r="BU65" s="82">
        <f t="shared" si="86"/>
        <v>0</v>
      </c>
      <c r="BV65" s="82">
        <f t="shared" si="87"/>
        <v>-1.3966033940407692E-4</v>
      </c>
      <c r="BW65" s="80">
        <f t="shared" si="88"/>
        <v>5.5940223899113252E-4</v>
      </c>
      <c r="BX65" s="80">
        <f t="shared" si="89"/>
        <v>5.7941852717077833E-4</v>
      </c>
      <c r="BY65" s="80">
        <f t="shared" si="90"/>
        <v>5.2674272832813334E-4</v>
      </c>
      <c r="BZ65" s="80">
        <f t="shared" si="91"/>
        <v>5.2674272831915072E-4</v>
      </c>
      <c r="CA65" s="80">
        <f t="shared" si="92"/>
        <v>6.7966872946126063E-4</v>
      </c>
      <c r="CB65" s="80">
        <f t="shared" si="93"/>
        <v>4.6183731453237811E-4</v>
      </c>
      <c r="CC65" s="80">
        <f t="shared" si="94"/>
        <v>5.2674272832008639E-4</v>
      </c>
      <c r="CD65" s="80">
        <f t="shared" si="95"/>
        <v>5.2674272831350734E-4</v>
      </c>
      <c r="CE65" s="96">
        <f t="shared" si="96"/>
        <v>6.3949795147849326E-4</v>
      </c>
    </row>
    <row r="66" spans="1:83" x14ac:dyDescent="0.25">
      <c r="A66" s="118">
        <v>97.2</v>
      </c>
      <c r="B66" s="1">
        <v>60.75</v>
      </c>
      <c r="C66" s="1">
        <v>65.952129999999997</v>
      </c>
      <c r="D66" s="1">
        <v>105.70339</v>
      </c>
      <c r="E66" s="1">
        <v>63.965339999999998</v>
      </c>
      <c r="F66" s="6">
        <v>122.022348465992</v>
      </c>
      <c r="G66" s="211" t="s">
        <v>8</v>
      </c>
      <c r="H66" s="411">
        <v>44.44</v>
      </c>
      <c r="I66" s="325">
        <v>234.75</v>
      </c>
      <c r="J66" s="325">
        <v>38.81</v>
      </c>
      <c r="K66" s="412">
        <v>82</v>
      </c>
      <c r="L66" s="211" t="s">
        <v>32</v>
      </c>
      <c r="M66" s="56">
        <v>837.19799999999998</v>
      </c>
      <c r="N66" s="316">
        <v>27.467099999999999</v>
      </c>
      <c r="O66" s="1">
        <v>329.60599999999999</v>
      </c>
      <c r="P66" s="348">
        <v>8.3719800000000006</v>
      </c>
      <c r="Q66" s="326">
        <v>5.2021100000000002E-3</v>
      </c>
      <c r="R66" s="315">
        <v>8371.98</v>
      </c>
      <c r="S66" s="316">
        <v>9.1557099999999991</v>
      </c>
      <c r="T66" s="1">
        <v>8371980</v>
      </c>
      <c r="U66" s="59">
        <v>2511922</v>
      </c>
      <c r="V66" s="350">
        <v>25119.200000000001</v>
      </c>
      <c r="W66" s="349">
        <v>251.19200000000001</v>
      </c>
      <c r="X66" s="348">
        <v>2.5119199999999999</v>
      </c>
      <c r="Y66" s="325">
        <v>3893.49</v>
      </c>
      <c r="Z66" s="347">
        <v>27.0381</v>
      </c>
      <c r="AA66" s="326">
        <v>2.5119200000000001E-2</v>
      </c>
      <c r="AB66" s="326">
        <v>2.5119200000000002E-4</v>
      </c>
      <c r="AC66" s="582">
        <v>6.20709E-4</v>
      </c>
      <c r="AD66" s="143">
        <v>11</v>
      </c>
      <c r="AE66" s="34">
        <v>97.2</v>
      </c>
      <c r="AF66" s="2">
        <v>60.75</v>
      </c>
      <c r="AG66" s="2">
        <v>65.952129999999997</v>
      </c>
      <c r="AH66" s="2">
        <v>105.70339</v>
      </c>
      <c r="AI66" s="2">
        <v>63.965339999999998</v>
      </c>
      <c r="AJ66" s="42">
        <v>122.02224</v>
      </c>
      <c r="AK66" s="19" t="s">
        <v>8</v>
      </c>
      <c r="AL66" s="34">
        <v>44.44</v>
      </c>
      <c r="AM66" s="396">
        <f>34.74319+200</f>
        <v>234.74319</v>
      </c>
      <c r="AN66" s="2">
        <v>38.81</v>
      </c>
      <c r="AO66" s="42">
        <v>82</v>
      </c>
      <c r="AP66" s="19" t="s">
        <v>32</v>
      </c>
      <c r="AQ66" s="34">
        <v>837.19899999999996</v>
      </c>
      <c r="AR66" s="307">
        <v>27.467199999999998</v>
      </c>
      <c r="AS66" s="540">
        <f>AE66+AF66+AG66+AH66</f>
        <v>329.60552000000001</v>
      </c>
      <c r="AT66" s="541">
        <v>8.3719900000000003</v>
      </c>
      <c r="AU66" s="543">
        <v>5.2021100000000002E-3</v>
      </c>
      <c r="AV66" s="540">
        <v>8371.99</v>
      </c>
      <c r="AW66" s="541">
        <v>9.1557200000000005</v>
      </c>
      <c r="AX66" s="540">
        <v>8371992</v>
      </c>
      <c r="AY66" s="29">
        <v>2511924</v>
      </c>
      <c r="AZ66" s="340">
        <v>25119.200000000001</v>
      </c>
      <c r="BA66" s="307">
        <v>251.19200000000001</v>
      </c>
      <c r="BB66" s="76">
        <v>2.5119199999999999</v>
      </c>
      <c r="BC66" s="23">
        <f>(SQRT(((AE66+AF66+AI66)/2)*((AE66+AF66+AI66)/2-AE66)*((AE66+AF66+AI66)/2-AF66)*((AE66+AF66+AI66)/2-AI66)))+(SQRT(((AG66+AH66+AI66)/2)*((AG66+AH66+AI66)/2-AG66)*((AG66+AH66+AI66)/2-AH66)*((AG66+AH66+AI66)/2-AI66)))</f>
        <v>3893.4863164916051</v>
      </c>
      <c r="BD66" s="534">
        <v>27.0381</v>
      </c>
      <c r="BE66" s="342">
        <v>2.5119200000000001E-2</v>
      </c>
      <c r="BF66" s="302">
        <v>2.5119200000000002E-4</v>
      </c>
      <c r="BG66" s="362">
        <v>6.2071000000000001E-4</v>
      </c>
      <c r="BH66" s="238" t="s">
        <v>8</v>
      </c>
      <c r="BI66" s="251">
        <f t="shared" si="75"/>
        <v>0</v>
      </c>
      <c r="BJ66" s="73">
        <f t="shared" si="76"/>
        <v>2.9010426244959597E-3</v>
      </c>
      <c r="BK66" s="73">
        <f t="shared" si="77"/>
        <v>0</v>
      </c>
      <c r="BL66" s="73">
        <f t="shared" si="78"/>
        <v>0</v>
      </c>
      <c r="BM66" s="234">
        <f t="shared" si="79"/>
        <v>8.8890346546376405E-5</v>
      </c>
      <c r="BN66" s="238" t="s">
        <v>32</v>
      </c>
      <c r="BO66" s="214">
        <f t="shared" si="80"/>
        <v>-1.1944591428995415E-4</v>
      </c>
      <c r="BP66" s="82">
        <f t="shared" si="81"/>
        <v>-3.6407060057001421E-4</v>
      </c>
      <c r="BQ66" s="82">
        <f t="shared" si="82"/>
        <v>1.4562862902958308E-4</v>
      </c>
      <c r="BR66" s="82">
        <f t="shared" si="83"/>
        <v>-1.1944591428825671E-4</v>
      </c>
      <c r="BS66" s="82">
        <f t="shared" si="84"/>
        <v>0</v>
      </c>
      <c r="BT66" s="82">
        <f t="shared" si="85"/>
        <v>-1.1944591429538591E-4</v>
      </c>
      <c r="BU66" s="82">
        <f t="shared" si="86"/>
        <v>-1.0922133924363982E-4</v>
      </c>
      <c r="BV66" s="82">
        <f t="shared" si="87"/>
        <v>-1.433350629097591E-4</v>
      </c>
      <c r="BW66" s="80">
        <f t="shared" si="88"/>
        <v>-7.9620243287615395E-5</v>
      </c>
      <c r="BX66" s="80">
        <f t="shared" si="89"/>
        <v>0</v>
      </c>
      <c r="BY66" s="80">
        <f t="shared" si="90"/>
        <v>0</v>
      </c>
      <c r="BZ66" s="80">
        <f t="shared" si="91"/>
        <v>0</v>
      </c>
      <c r="CA66" s="80">
        <f t="shared" si="92"/>
        <v>9.4606943373940077E-5</v>
      </c>
      <c r="CB66" s="80">
        <f t="shared" si="93"/>
        <v>0</v>
      </c>
      <c r="CC66" s="80">
        <f t="shared" si="94"/>
        <v>0</v>
      </c>
      <c r="CD66" s="80">
        <f t="shared" si="95"/>
        <v>0</v>
      </c>
      <c r="CE66" s="96">
        <f t="shared" si="96"/>
        <v>-1.6110583042253955E-4</v>
      </c>
    </row>
    <row r="67" spans="1:83" x14ac:dyDescent="0.25">
      <c r="A67" s="118">
        <v>110</v>
      </c>
      <c r="B67" s="1">
        <v>63.92633</v>
      </c>
      <c r="C67" s="1">
        <v>102.8934</v>
      </c>
      <c r="D67" s="1">
        <v>164.88032000000001</v>
      </c>
      <c r="E67" s="1">
        <v>69.399349999999998</v>
      </c>
      <c r="F67" s="6">
        <v>133.03390880391299</v>
      </c>
      <c r="G67" s="211" t="s">
        <v>4</v>
      </c>
      <c r="H67" s="411">
        <v>40.06</v>
      </c>
      <c r="I67" s="325">
        <v>285.23</v>
      </c>
      <c r="J67" s="325">
        <v>15.29</v>
      </c>
      <c r="K67" s="412">
        <v>59.42</v>
      </c>
      <c r="L67" s="211" t="s">
        <v>32</v>
      </c>
      <c r="M67" s="56">
        <v>44170</v>
      </c>
      <c r="N67" s="316">
        <v>1449.15</v>
      </c>
      <c r="O67" s="1">
        <v>17389.8</v>
      </c>
      <c r="P67" s="348">
        <v>441.7</v>
      </c>
      <c r="Q67" s="326">
        <v>0.27445999999999998</v>
      </c>
      <c r="R67" s="315">
        <v>441700</v>
      </c>
      <c r="S67" s="316">
        <v>483.04899999999998</v>
      </c>
      <c r="T67" s="1">
        <v>441700050</v>
      </c>
      <c r="U67" s="59">
        <v>4086951762</v>
      </c>
      <c r="V67" s="59">
        <v>40869518</v>
      </c>
      <c r="W67" s="59">
        <v>408695</v>
      </c>
      <c r="X67" s="325">
        <v>4086.95</v>
      </c>
      <c r="Y67" s="325">
        <v>6334788</v>
      </c>
      <c r="Z67" s="325">
        <v>43991.6</v>
      </c>
      <c r="AA67" s="347">
        <v>40.869500000000002</v>
      </c>
      <c r="AB67" s="315">
        <v>0.40869499999999997</v>
      </c>
      <c r="AC67" s="456">
        <v>1.0099100000000001</v>
      </c>
      <c r="AD67" s="143">
        <v>12</v>
      </c>
      <c r="AE67" s="34">
        <v>110</v>
      </c>
      <c r="AF67" s="2">
        <v>63.92633</v>
      </c>
      <c r="AG67" s="2">
        <v>102.8934</v>
      </c>
      <c r="AH67" s="2">
        <v>164.88032000000001</v>
      </c>
      <c r="AI67" s="2">
        <v>69.399349999999998</v>
      </c>
      <c r="AJ67" s="42">
        <v>133.03440000000001</v>
      </c>
      <c r="AK67" s="19" t="s">
        <v>4</v>
      </c>
      <c r="AL67" s="34">
        <v>40.06</v>
      </c>
      <c r="AM67" s="396">
        <f>85.2312+200</f>
        <v>285.2312</v>
      </c>
      <c r="AN67" s="2">
        <v>15.29</v>
      </c>
      <c r="AO67" s="42">
        <v>59.42</v>
      </c>
      <c r="AP67" s="19" t="s">
        <v>32</v>
      </c>
      <c r="AQ67" s="34">
        <v>44170</v>
      </c>
      <c r="AR67" s="396">
        <v>1449.15</v>
      </c>
      <c r="AS67" s="540">
        <v>17389.8</v>
      </c>
      <c r="AT67" s="544">
        <f>AE67+AF67+AG67+AH67</f>
        <v>441.70005000000003</v>
      </c>
      <c r="AU67" s="545">
        <v>0.27445999999999998</v>
      </c>
      <c r="AV67" s="540">
        <v>441700</v>
      </c>
      <c r="AW67" s="541">
        <v>483.04899999999998</v>
      </c>
      <c r="AX67" s="540">
        <v>441700000</v>
      </c>
      <c r="AY67" s="29">
        <v>4086950000</v>
      </c>
      <c r="AZ67" s="29">
        <v>40869500</v>
      </c>
      <c r="BA67" s="29">
        <v>408695</v>
      </c>
      <c r="BB67" s="76">
        <f>(SQRT(((AE67+AF67+AI67)/2)*((AE67+AF67+AI67)/2-AE67)*((AE67+AF67+AI67)/2-AF67)*((AE67+AF67+AI67)/2-AI67)))+(SQRT(((AG67+AH67+AI67)/2)*((AG67+AH67+AI67)/2-AG67)*((AG67+AH67+AI67)/2-AH67)*((AG67+AH67+AI67)/2-AI67)))</f>
        <v>4086.9517618820655</v>
      </c>
      <c r="BC67" s="396">
        <v>6334785</v>
      </c>
      <c r="BD67" s="396">
        <v>43991.6</v>
      </c>
      <c r="BE67" s="76">
        <v>40.869500000000002</v>
      </c>
      <c r="BF67" s="76">
        <v>0.40869499999999997</v>
      </c>
      <c r="BG67" s="322">
        <v>1.0099100000000001</v>
      </c>
      <c r="BH67" s="238" t="s">
        <v>4</v>
      </c>
      <c r="BI67" s="251">
        <f t="shared" si="75"/>
        <v>0</v>
      </c>
      <c r="BJ67" s="73">
        <f t="shared" si="76"/>
        <v>-4.2071133872556451E-4</v>
      </c>
      <c r="BK67" s="73">
        <f t="shared" si="77"/>
        <v>0</v>
      </c>
      <c r="BL67" s="73">
        <f t="shared" si="78"/>
        <v>0</v>
      </c>
      <c r="BM67" s="234">
        <f t="shared" si="79"/>
        <v>-3.6922486741155537E-4</v>
      </c>
      <c r="BN67" s="238" t="s">
        <v>32</v>
      </c>
      <c r="BO67" s="214">
        <f t="shared" si="80"/>
        <v>0</v>
      </c>
      <c r="BP67" s="82">
        <f t="shared" si="81"/>
        <v>0</v>
      </c>
      <c r="BQ67" s="82">
        <f t="shared" si="82"/>
        <v>0</v>
      </c>
      <c r="BR67" s="82">
        <f t="shared" si="83"/>
        <v>-1.1319899113503018E-5</v>
      </c>
      <c r="BS67" s="82">
        <f t="shared" si="84"/>
        <v>0</v>
      </c>
      <c r="BT67" s="82">
        <f t="shared" si="85"/>
        <v>0</v>
      </c>
      <c r="BU67" s="82">
        <f t="shared" si="86"/>
        <v>0</v>
      </c>
      <c r="BV67" s="82">
        <f t="shared" si="87"/>
        <v>1.1319900384876613E-5</v>
      </c>
      <c r="BW67" s="80">
        <f t="shared" si="88"/>
        <v>4.3112834754523544E-5</v>
      </c>
      <c r="BX67" s="80">
        <f t="shared" si="89"/>
        <v>4.4042623472271501E-5</v>
      </c>
      <c r="BY67" s="80">
        <f t="shared" si="90"/>
        <v>0</v>
      </c>
      <c r="BZ67" s="80">
        <f t="shared" si="91"/>
        <v>-4.3109930538601255E-5</v>
      </c>
      <c r="CA67" s="80">
        <f t="shared" si="92"/>
        <v>4.7357566199957851E-5</v>
      </c>
      <c r="CB67" s="80">
        <f t="shared" si="93"/>
        <v>0</v>
      </c>
      <c r="CC67" s="80">
        <f t="shared" si="94"/>
        <v>0</v>
      </c>
      <c r="CD67" s="80">
        <f t="shared" si="95"/>
        <v>0</v>
      </c>
      <c r="CE67" s="96">
        <f t="shared" si="96"/>
        <v>0</v>
      </c>
    </row>
    <row r="68" spans="1:83" x14ac:dyDescent="0.25">
      <c r="A68" s="118">
        <v>200.83629999999999</v>
      </c>
      <c r="B68" s="1">
        <v>184.68</v>
      </c>
      <c r="C68" s="1">
        <v>115.42</v>
      </c>
      <c r="D68" s="1">
        <v>125.30909</v>
      </c>
      <c r="E68" s="1">
        <v>231.84227999999999</v>
      </c>
      <c r="F68" s="6">
        <v>121.542834135254</v>
      </c>
      <c r="G68" s="211" t="s">
        <v>10</v>
      </c>
      <c r="H68" s="411">
        <v>82</v>
      </c>
      <c r="I68" s="325">
        <v>44.45</v>
      </c>
      <c r="J68" s="325">
        <v>234.73</v>
      </c>
      <c r="K68" s="412">
        <v>38.81</v>
      </c>
      <c r="L68" s="211" t="s">
        <v>32</v>
      </c>
      <c r="M68" s="56">
        <v>100784426</v>
      </c>
      <c r="N68" s="59">
        <v>3306576</v>
      </c>
      <c r="O68" s="59">
        <v>39678908</v>
      </c>
      <c r="P68" s="59">
        <v>1007844</v>
      </c>
      <c r="Q68" s="349">
        <v>626.245</v>
      </c>
      <c r="R68" s="59">
        <v>1007844261</v>
      </c>
      <c r="S68" s="59">
        <v>1102192</v>
      </c>
      <c r="T68" s="59">
        <v>1007844260924</v>
      </c>
      <c r="U68" s="59">
        <v>3.6406180595892096E+16</v>
      </c>
      <c r="V68" s="59">
        <v>364061805958921</v>
      </c>
      <c r="W68" s="59">
        <v>3640618059589</v>
      </c>
      <c r="X68" s="59">
        <v>36406180596</v>
      </c>
      <c r="Y68" s="59">
        <v>56429692783018</v>
      </c>
      <c r="Z68" s="59">
        <v>391872866549</v>
      </c>
      <c r="AA68" s="59">
        <v>364061806</v>
      </c>
      <c r="AB68" s="59">
        <v>3640618</v>
      </c>
      <c r="AC68" s="224">
        <v>8996163</v>
      </c>
      <c r="AD68" s="143">
        <v>13</v>
      </c>
      <c r="AE68" s="34">
        <v>200.83629999999999</v>
      </c>
      <c r="AF68" s="2">
        <v>184.68</v>
      </c>
      <c r="AG68" s="2">
        <v>115.42</v>
      </c>
      <c r="AH68" s="2">
        <v>125.30909</v>
      </c>
      <c r="AI68" s="2">
        <v>231.84227999999999</v>
      </c>
      <c r="AJ68" s="42">
        <v>121.53412</v>
      </c>
      <c r="AK68" s="19" t="s">
        <v>10</v>
      </c>
      <c r="AL68" s="34">
        <v>82</v>
      </c>
      <c r="AM68" s="2">
        <v>44.44</v>
      </c>
      <c r="AN68" s="396">
        <f>34.74319+200</f>
        <v>234.74319</v>
      </c>
      <c r="AO68" s="42">
        <v>38.81</v>
      </c>
      <c r="AP68" s="19" t="s">
        <v>32</v>
      </c>
      <c r="AQ68" s="34">
        <v>100784363</v>
      </c>
      <c r="AR68" s="29">
        <v>3306574</v>
      </c>
      <c r="AS68" s="540">
        <v>39678883</v>
      </c>
      <c r="AT68" s="546">
        <v>1007844</v>
      </c>
      <c r="AU68" s="540">
        <f>AE68+AF68+AG68+AH68</f>
        <v>626.24539000000004</v>
      </c>
      <c r="AV68" s="540">
        <v>1007843633</v>
      </c>
      <c r="AW68" s="546">
        <v>1102191</v>
      </c>
      <c r="AX68" s="546">
        <v>1007843633280</v>
      </c>
      <c r="AY68" s="29">
        <v>3.6402582283E+16</v>
      </c>
      <c r="AZ68" s="29">
        <v>364025822830000</v>
      </c>
      <c r="BA68" s="29">
        <v>3640258228300</v>
      </c>
      <c r="BB68" s="307">
        <f>((SQRT(((AE68+AH68+AJ68)/2)*((AE68+AH68+AJ68)/2-AE68)*((AE68+AH68+AJ68)/2-AH68)*((AE68+AH68+AJ68)/2-AJ68)))+(SQRT(((AF68+AG68+AJ68)/2)*((AF68+AG68+AJ68)/2-AF68)*((AF68+AG68+AJ68)/2-AG68)*((AF68+AG68+AJ68)/2-AJ68))))*1609.344*1609.344</f>
        <v>36402582282.824371</v>
      </c>
      <c r="BC68" s="29">
        <v>56424115386881</v>
      </c>
      <c r="BD68" s="29">
        <v>391834134631</v>
      </c>
      <c r="BE68" s="29">
        <v>364025823</v>
      </c>
      <c r="BF68" s="29">
        <v>3640258</v>
      </c>
      <c r="BG68" s="593">
        <v>8995274</v>
      </c>
      <c r="BH68" s="238" t="s">
        <v>10</v>
      </c>
      <c r="BI68" s="251">
        <f t="shared" si="75"/>
        <v>0</v>
      </c>
      <c r="BJ68" s="73">
        <f t="shared" si="76"/>
        <v>2.2502250225034014E-2</v>
      </c>
      <c r="BK68" s="73">
        <f t="shared" si="77"/>
        <v>-5.6189063461260349E-3</v>
      </c>
      <c r="BL68" s="73">
        <f t="shared" si="78"/>
        <v>0</v>
      </c>
      <c r="BM68" s="234">
        <f t="shared" si="79"/>
        <v>7.170114247748609E-3</v>
      </c>
      <c r="BN68" s="238" t="s">
        <v>32</v>
      </c>
      <c r="BO68" s="214">
        <f t="shared" si="80"/>
        <v>6.2509697064811533E-5</v>
      </c>
      <c r="BP68" s="82">
        <f t="shared" si="81"/>
        <v>6.0485566026951161E-5</v>
      </c>
      <c r="BQ68" s="82">
        <f t="shared" si="82"/>
        <v>6.3005805884202941E-5</v>
      </c>
      <c r="BR68" s="82">
        <f t="shared" si="83"/>
        <v>0</v>
      </c>
      <c r="BS68" s="82">
        <f t="shared" si="84"/>
        <v>-6.2275907538181821E-5</v>
      </c>
      <c r="BT68" s="82">
        <f t="shared" si="85"/>
        <v>6.2311253396587167E-5</v>
      </c>
      <c r="BU68" s="82">
        <f t="shared" si="86"/>
        <v>9.0728376479212771E-5</v>
      </c>
      <c r="BV68" s="82">
        <f t="shared" si="87"/>
        <v>6.2275930439462072E-5</v>
      </c>
      <c r="BW68" s="80">
        <f t="shared" si="88"/>
        <v>9.8847737342425065E-3</v>
      </c>
      <c r="BX68" s="80">
        <f t="shared" si="89"/>
        <v>9.8847737342534943E-3</v>
      </c>
      <c r="BY68" s="80">
        <f t="shared" si="90"/>
        <v>9.8847737284846731E-3</v>
      </c>
      <c r="BZ68" s="80">
        <f t="shared" si="91"/>
        <v>9.884774513170826E-3</v>
      </c>
      <c r="CA68" s="80">
        <f t="shared" si="92"/>
        <v>9.8847737332835237E-3</v>
      </c>
      <c r="CB68" s="80">
        <f t="shared" si="93"/>
        <v>9.8847738307625537E-3</v>
      </c>
      <c r="CC68" s="80">
        <f t="shared" si="94"/>
        <v>9.8847383142926099E-3</v>
      </c>
      <c r="CD68" s="80">
        <f t="shared" si="95"/>
        <v>9.8894089374983868E-3</v>
      </c>
      <c r="CE68" s="96">
        <f t="shared" si="96"/>
        <v>9.8829674337880084E-3</v>
      </c>
    </row>
    <row r="69" spans="1:83" ht="15.75" thickBot="1" x14ac:dyDescent="0.3">
      <c r="A69" s="121">
        <v>88</v>
      </c>
      <c r="B69" s="55">
        <v>94.717010000000002</v>
      </c>
      <c r="C69" s="55">
        <v>49.543410000000002</v>
      </c>
      <c r="D69" s="55">
        <v>44</v>
      </c>
      <c r="E69" s="55">
        <v>53.846040000000002</v>
      </c>
      <c r="F69" s="243">
        <v>49.020632515896096</v>
      </c>
      <c r="G69" s="212" t="s">
        <v>7</v>
      </c>
      <c r="H69" s="571">
        <v>37.81</v>
      </c>
      <c r="I69" s="373">
        <v>17.75</v>
      </c>
      <c r="J69" s="373">
        <v>322.22000000000003</v>
      </c>
      <c r="K69" s="413">
        <v>22.22</v>
      </c>
      <c r="L69" s="212" t="s">
        <v>32</v>
      </c>
      <c r="M69" s="61">
        <v>25261.3</v>
      </c>
      <c r="N69" s="329">
        <v>828.78099999999995</v>
      </c>
      <c r="O69" s="55">
        <v>9945.3799999999992</v>
      </c>
      <c r="P69" s="368">
        <v>252.613</v>
      </c>
      <c r="Q69" s="351">
        <v>0.15696599999999999</v>
      </c>
      <c r="R69" s="538">
        <v>252613</v>
      </c>
      <c r="S69" s="373">
        <v>276.26</v>
      </c>
      <c r="T69" s="55">
        <v>252612528</v>
      </c>
      <c r="U69" s="538">
        <v>1093516466</v>
      </c>
      <c r="V69" s="538">
        <v>10935165</v>
      </c>
      <c r="W69" s="538">
        <v>109352</v>
      </c>
      <c r="X69" s="373">
        <v>1093.52</v>
      </c>
      <c r="Y69" s="538">
        <v>1694954</v>
      </c>
      <c r="Z69" s="539">
        <v>11770.5</v>
      </c>
      <c r="AA69" s="351">
        <v>10.9352</v>
      </c>
      <c r="AB69" s="351">
        <v>0.109352</v>
      </c>
      <c r="AC69" s="584">
        <v>0.27021400000000001</v>
      </c>
      <c r="AD69" s="144">
        <v>14</v>
      </c>
      <c r="AE69" s="281">
        <v>88</v>
      </c>
      <c r="AF69" s="9">
        <v>94.717010000000002</v>
      </c>
      <c r="AG69" s="9">
        <v>49.543410000000002</v>
      </c>
      <c r="AH69" s="9">
        <v>44</v>
      </c>
      <c r="AI69" s="9">
        <v>53.846040000000002</v>
      </c>
      <c r="AJ69" s="399">
        <v>49.020569999999999</v>
      </c>
      <c r="AK69" s="20" t="s">
        <v>7</v>
      </c>
      <c r="AL69" s="281">
        <v>37.81</v>
      </c>
      <c r="AM69" s="9">
        <v>17.75</v>
      </c>
      <c r="AN69" s="674">
        <f>122.22221+200</f>
        <v>322.22221000000002</v>
      </c>
      <c r="AO69" s="399">
        <v>22.22</v>
      </c>
      <c r="AP69" s="20" t="s">
        <v>32</v>
      </c>
      <c r="AQ69" s="281">
        <v>25261.200000000001</v>
      </c>
      <c r="AR69" s="319">
        <v>828.78</v>
      </c>
      <c r="AS69" s="547">
        <v>9945.36</v>
      </c>
      <c r="AT69" s="548">
        <v>252.61199999999999</v>
      </c>
      <c r="AU69" s="549">
        <v>0.15696599999999999</v>
      </c>
      <c r="AV69" s="547">
        <v>252612</v>
      </c>
      <c r="AW69" s="547">
        <f>AE69+AF69+AG69+AH69</f>
        <v>276.26042000000001</v>
      </c>
      <c r="AX69" s="547">
        <v>252612144</v>
      </c>
      <c r="AY69" s="536">
        <v>1093510000</v>
      </c>
      <c r="AZ69" s="536">
        <v>10935100</v>
      </c>
      <c r="BA69" s="536">
        <v>109351</v>
      </c>
      <c r="BB69" s="405">
        <v>1093.51</v>
      </c>
      <c r="BC69" s="535">
        <v>1694944</v>
      </c>
      <c r="BD69" s="535">
        <v>11770.4</v>
      </c>
      <c r="BE69" s="405">
        <v>10.9351</v>
      </c>
      <c r="BF69" s="319">
        <v>0.109351</v>
      </c>
      <c r="BG69" s="595">
        <v>0.27021200000000001</v>
      </c>
      <c r="BH69" s="239" t="s">
        <v>7</v>
      </c>
      <c r="BI69" s="252">
        <f t="shared" si="75"/>
        <v>0</v>
      </c>
      <c r="BJ69" s="97">
        <f t="shared" si="76"/>
        <v>0</v>
      </c>
      <c r="BK69" s="97">
        <f t="shared" si="77"/>
        <v>-6.8586209497816474E-4</v>
      </c>
      <c r="BL69" s="97">
        <f t="shared" si="78"/>
        <v>0</v>
      </c>
      <c r="BM69" s="235">
        <f t="shared" si="79"/>
        <v>1.2752992488088505E-4</v>
      </c>
      <c r="BN69" s="239" t="s">
        <v>32</v>
      </c>
      <c r="BO69" s="215">
        <f t="shared" si="80"/>
        <v>3.9586401278856432E-4</v>
      </c>
      <c r="BP69" s="98">
        <f t="shared" si="81"/>
        <v>1.2065928231573557E-4</v>
      </c>
      <c r="BQ69" s="98">
        <f t="shared" si="82"/>
        <v>2.0109880385041432E-4</v>
      </c>
      <c r="BR69" s="98">
        <f t="shared" si="83"/>
        <v>3.958640127962151E-4</v>
      </c>
      <c r="BS69" s="98">
        <f t="shared" si="84"/>
        <v>0</v>
      </c>
      <c r="BT69" s="98">
        <f t="shared" si="85"/>
        <v>3.958640127943249E-4</v>
      </c>
      <c r="BU69" s="98">
        <f t="shared" si="86"/>
        <v>-1.5203046459555332E-4</v>
      </c>
      <c r="BV69" s="98">
        <f t="shared" si="87"/>
        <v>1.5201169425963941E-4</v>
      </c>
      <c r="BW69" s="100">
        <f t="shared" si="88"/>
        <v>5.913068924838365E-4</v>
      </c>
      <c r="BX69" s="100">
        <f t="shared" si="89"/>
        <v>5.9441614617150281E-4</v>
      </c>
      <c r="BY69" s="100">
        <f t="shared" si="90"/>
        <v>9.1448637872538889E-4</v>
      </c>
      <c r="BZ69" s="100">
        <f t="shared" si="91"/>
        <v>9.1448637872455719E-4</v>
      </c>
      <c r="CA69" s="100">
        <f t="shared" si="92"/>
        <v>5.8998999376970571E-4</v>
      </c>
      <c r="CB69" s="100">
        <f t="shared" si="93"/>
        <v>8.4958879902436455E-4</v>
      </c>
      <c r="CC69" s="100">
        <f t="shared" si="94"/>
        <v>9.1448637872325756E-4</v>
      </c>
      <c r="CD69" s="100">
        <f t="shared" si="95"/>
        <v>9.1448637872630341E-4</v>
      </c>
      <c r="CE69" s="102">
        <f t="shared" si="96"/>
        <v>7.4015957840584438E-4</v>
      </c>
    </row>
    <row r="71" spans="1:83" x14ac:dyDescent="0.25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25"/>
      <c r="S71" s="625"/>
      <c r="T71" s="625"/>
      <c r="U71" s="625"/>
      <c r="V71" s="625"/>
      <c r="W71" s="625"/>
      <c r="X71" s="625"/>
      <c r="Y71" s="625"/>
      <c r="Z71" s="625"/>
      <c r="AA71" s="625"/>
      <c r="AB71" s="625"/>
      <c r="AC71" s="625"/>
      <c r="AD71" s="625"/>
      <c r="AE71" s="625"/>
      <c r="AF71" s="625"/>
      <c r="AG71" s="625"/>
      <c r="AH71" s="625"/>
      <c r="AI71" s="625"/>
      <c r="AJ71" s="625"/>
      <c r="AK71" s="625"/>
      <c r="AL71" s="625"/>
      <c r="AM71" s="625"/>
      <c r="AN71" s="625"/>
      <c r="AO71" s="625"/>
      <c r="AP71" s="625"/>
      <c r="AQ71" s="625"/>
      <c r="AR71" s="625"/>
      <c r="AS71" s="625"/>
      <c r="AT71" s="625"/>
      <c r="AU71" s="625"/>
      <c r="AV71" s="625"/>
      <c r="AW71" s="625"/>
      <c r="AX71" s="625"/>
      <c r="AY71" s="625"/>
      <c r="AZ71" s="625"/>
      <c r="BA71" s="625"/>
      <c r="BB71" s="625"/>
      <c r="BC71" s="625"/>
      <c r="BD71" s="625"/>
      <c r="BE71" s="625"/>
      <c r="BF71" s="625"/>
      <c r="BG71" s="625"/>
      <c r="BH71" s="625"/>
      <c r="BI71" s="625"/>
    </row>
    <row r="72" spans="1:83" ht="21" x14ac:dyDescent="0.35">
      <c r="A72" s="625"/>
      <c r="B72" s="625"/>
      <c r="C72" s="625"/>
      <c r="D72" s="628">
        <v>1</v>
      </c>
      <c r="E72" s="625"/>
      <c r="F72" s="625"/>
      <c r="G72" s="625"/>
      <c r="H72" s="625"/>
      <c r="I72" s="625"/>
      <c r="J72" s="666">
        <v>2</v>
      </c>
      <c r="K72" s="625"/>
      <c r="L72" s="625"/>
      <c r="M72" s="625"/>
      <c r="N72" s="625"/>
      <c r="O72" s="625"/>
      <c r="P72" s="666">
        <v>3</v>
      </c>
      <c r="Q72" s="625"/>
      <c r="R72" s="625"/>
      <c r="S72" s="666">
        <v>4</v>
      </c>
      <c r="T72" s="625"/>
      <c r="U72" s="625"/>
      <c r="V72" s="666">
        <v>5</v>
      </c>
      <c r="W72" s="628"/>
      <c r="X72" s="625"/>
      <c r="Y72" s="667">
        <v>6</v>
      </c>
      <c r="Z72" s="628"/>
      <c r="AA72" s="628"/>
      <c r="AB72" s="667">
        <v>7</v>
      </c>
      <c r="AC72" s="628"/>
      <c r="AD72" s="625"/>
      <c r="AE72" s="625"/>
      <c r="AF72" s="668">
        <v>8</v>
      </c>
      <c r="AG72" s="625"/>
      <c r="AH72" s="625"/>
      <c r="AI72" s="628"/>
      <c r="AJ72" s="625"/>
      <c r="AK72" s="625"/>
      <c r="AL72" s="668">
        <v>9</v>
      </c>
      <c r="AM72" s="625"/>
      <c r="AN72" s="625"/>
      <c r="AO72" s="625"/>
      <c r="AP72" s="625"/>
      <c r="AQ72" s="625"/>
      <c r="AR72" s="666">
        <v>10</v>
      </c>
      <c r="AS72" s="625"/>
      <c r="AT72" s="625"/>
      <c r="AU72" s="629"/>
      <c r="AV72" s="666">
        <v>11</v>
      </c>
      <c r="AW72" s="625"/>
      <c r="AX72" s="625"/>
      <c r="AY72" s="669"/>
      <c r="AZ72" s="666">
        <v>12</v>
      </c>
      <c r="BA72" s="625"/>
      <c r="BB72" s="629"/>
      <c r="BC72" s="625"/>
      <c r="BD72" s="666">
        <v>13</v>
      </c>
      <c r="BE72" s="625"/>
      <c r="BF72" s="625"/>
      <c r="BG72" s="666">
        <v>14</v>
      </c>
      <c r="BH72" s="625"/>
      <c r="BI72" s="625"/>
      <c r="BJ72" s="395"/>
    </row>
    <row r="73" spans="1:83" x14ac:dyDescent="0.25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25"/>
      <c r="S73" s="625"/>
      <c r="T73" s="625"/>
      <c r="U73" s="625"/>
      <c r="V73" s="625"/>
      <c r="W73" s="625"/>
      <c r="X73" s="625"/>
      <c r="Y73" s="625"/>
      <c r="Z73" s="625"/>
      <c r="AA73" s="625"/>
      <c r="AB73" s="625"/>
      <c r="AC73" s="625"/>
      <c r="AD73" s="625"/>
      <c r="AE73" s="625"/>
      <c r="AF73" s="625"/>
      <c r="AG73" s="625"/>
      <c r="AH73" s="625"/>
      <c r="AI73" s="625"/>
      <c r="AJ73" s="625"/>
      <c r="AK73" s="625"/>
      <c r="AL73" s="625"/>
      <c r="AM73" s="625"/>
      <c r="AN73" s="625"/>
      <c r="AO73" s="625"/>
      <c r="AP73" s="625"/>
      <c r="AQ73" s="625"/>
      <c r="AR73" s="625"/>
      <c r="AS73" s="625"/>
      <c r="AT73" s="625"/>
      <c r="AU73" s="625"/>
      <c r="AV73" s="625"/>
      <c r="AW73" s="625"/>
      <c r="AX73" s="625"/>
      <c r="AY73" s="625"/>
      <c r="AZ73" s="625"/>
      <c r="BA73" s="625"/>
      <c r="BB73" s="625"/>
      <c r="BC73" s="625"/>
      <c r="BD73" s="625"/>
      <c r="BE73" s="625"/>
      <c r="BF73" s="625"/>
      <c r="BG73" s="625"/>
      <c r="BH73" s="625"/>
      <c r="BI73" s="625"/>
    </row>
    <row r="74" spans="1:83" x14ac:dyDescent="0.25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25"/>
      <c r="S74" s="625"/>
      <c r="T74" s="625"/>
      <c r="U74" s="625"/>
      <c r="V74" s="625"/>
      <c r="W74" s="625"/>
      <c r="X74" s="625"/>
      <c r="Y74" s="625"/>
      <c r="Z74" s="625"/>
      <c r="AA74" s="625"/>
      <c r="AB74" s="625"/>
      <c r="AC74" s="625"/>
      <c r="AD74" s="625"/>
      <c r="AE74" s="625"/>
      <c r="AF74" s="625"/>
      <c r="AG74" s="625"/>
      <c r="AH74" s="625"/>
      <c r="AI74" s="625"/>
      <c r="AJ74" s="625"/>
      <c r="AK74" s="625"/>
      <c r="AL74" s="625"/>
      <c r="AM74" s="625"/>
      <c r="AN74" s="625"/>
      <c r="AO74" s="625"/>
      <c r="AP74" s="625"/>
      <c r="AQ74" s="625"/>
      <c r="AR74" s="625"/>
      <c r="AS74" s="625"/>
      <c r="AT74" s="625"/>
      <c r="AU74" s="625"/>
      <c r="AV74" s="625"/>
      <c r="AW74" s="625"/>
      <c r="AX74" s="625"/>
      <c r="AY74" s="625"/>
      <c r="AZ74" s="625"/>
      <c r="BA74" s="625"/>
      <c r="BB74" s="625"/>
      <c r="BC74" s="625"/>
      <c r="BD74" s="625"/>
      <c r="BE74" s="625"/>
      <c r="BF74" s="625"/>
      <c r="BG74" s="625"/>
      <c r="BH74" s="625"/>
      <c r="BI74" s="625"/>
    </row>
    <row r="75" spans="1:83" x14ac:dyDescent="0.25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25"/>
      <c r="S75" s="625"/>
      <c r="T75" s="625"/>
      <c r="U75" s="625"/>
      <c r="V75" s="625"/>
      <c r="W75" s="625"/>
      <c r="X75" s="625"/>
      <c r="Y75" s="625"/>
      <c r="Z75" s="625"/>
      <c r="AA75" s="625"/>
      <c r="AB75" s="625"/>
      <c r="AC75" s="625"/>
      <c r="AD75" s="625"/>
      <c r="AE75" s="625"/>
      <c r="AF75" s="625"/>
      <c r="AG75" s="625"/>
      <c r="AH75" s="625"/>
      <c r="AI75" s="625"/>
      <c r="AJ75" s="625"/>
      <c r="AK75" s="625"/>
      <c r="AL75" s="625"/>
      <c r="AM75" s="625"/>
      <c r="AN75" s="625"/>
      <c r="AO75" s="625"/>
      <c r="AP75" s="625"/>
      <c r="AQ75" s="625"/>
      <c r="AR75" s="625"/>
      <c r="AS75" s="625"/>
      <c r="AT75" s="625"/>
      <c r="AU75" s="625"/>
      <c r="AV75" s="625"/>
      <c r="AW75" s="625"/>
      <c r="AX75" s="625"/>
      <c r="AY75" s="625"/>
      <c r="AZ75" s="625"/>
      <c r="BA75" s="625"/>
      <c r="BB75" s="625"/>
      <c r="BC75" s="625"/>
      <c r="BD75" s="625"/>
      <c r="BE75" s="625"/>
      <c r="BF75" s="625"/>
      <c r="BG75" s="625"/>
      <c r="BH75" s="625"/>
      <c r="BI75" s="625"/>
    </row>
    <row r="76" spans="1:83" x14ac:dyDescent="0.25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25"/>
      <c r="S76" s="625"/>
      <c r="T76" s="625"/>
      <c r="U76" s="625"/>
      <c r="V76" s="625"/>
      <c r="W76" s="625"/>
      <c r="X76" s="625"/>
      <c r="Y76" s="625"/>
      <c r="Z76" s="625"/>
      <c r="AA76" s="625"/>
      <c r="AB76" s="625"/>
      <c r="AC76" s="625"/>
      <c r="AD76" s="625"/>
      <c r="AE76" s="625"/>
      <c r="AF76" s="625"/>
      <c r="AG76" s="625"/>
      <c r="AH76" s="625"/>
      <c r="AI76" s="625"/>
      <c r="AJ76" s="625"/>
      <c r="AK76" s="625"/>
      <c r="AL76" s="625"/>
      <c r="AM76" s="625"/>
      <c r="AN76" s="625"/>
      <c r="AO76" s="625"/>
      <c r="AP76" s="625"/>
      <c r="AQ76" s="625"/>
      <c r="AR76" s="625"/>
      <c r="AS76" s="625"/>
      <c r="AT76" s="625"/>
      <c r="AU76" s="625"/>
      <c r="AV76" s="625"/>
      <c r="AW76" s="625"/>
      <c r="AX76" s="625"/>
      <c r="AY76" s="625"/>
      <c r="AZ76" s="625"/>
      <c r="BA76" s="625"/>
      <c r="BB76" s="625"/>
      <c r="BC76" s="625"/>
      <c r="BD76" s="625"/>
      <c r="BE76" s="625"/>
      <c r="BF76" s="625"/>
      <c r="BG76" s="625"/>
      <c r="BH76" s="625"/>
      <c r="BI76" s="625"/>
    </row>
    <row r="77" spans="1:83" x14ac:dyDescent="0.25">
      <c r="A77" s="625"/>
      <c r="B77" s="625"/>
      <c r="C77" s="625"/>
      <c r="D77" s="625"/>
      <c r="E77" s="625"/>
      <c r="F77" s="625"/>
      <c r="G77" s="625"/>
      <c r="H77" s="625"/>
      <c r="I77" s="625"/>
      <c r="J77" s="625"/>
      <c r="K77" s="625"/>
      <c r="L77" s="625"/>
      <c r="M77" s="625"/>
      <c r="N77" s="625"/>
      <c r="O77" s="625"/>
      <c r="P77" s="625"/>
      <c r="Q77" s="625"/>
      <c r="R77" s="625"/>
      <c r="S77" s="625"/>
      <c r="T77" s="625"/>
      <c r="U77" s="625"/>
      <c r="V77" s="625"/>
      <c r="W77" s="625"/>
      <c r="X77" s="625"/>
      <c r="Y77" s="625"/>
      <c r="Z77" s="625"/>
      <c r="AA77" s="625"/>
      <c r="AB77" s="625"/>
      <c r="AC77" s="625"/>
      <c r="AD77" s="625"/>
      <c r="AE77" s="625"/>
      <c r="AF77" s="625"/>
      <c r="AG77" s="625"/>
      <c r="AH77" s="625"/>
      <c r="AI77" s="625"/>
      <c r="AJ77" s="625"/>
      <c r="AK77" s="625"/>
      <c r="AL77" s="625"/>
      <c r="AM77" s="625"/>
      <c r="AN77" s="625"/>
      <c r="AO77" s="625"/>
      <c r="AP77" s="625"/>
      <c r="AQ77" s="625"/>
      <c r="AR77" s="625"/>
      <c r="AS77" s="625"/>
      <c r="AT77" s="625"/>
      <c r="AU77" s="625"/>
      <c r="AV77" s="625"/>
      <c r="AW77" s="625"/>
      <c r="AX77" s="625"/>
      <c r="AY77" s="625"/>
      <c r="AZ77" s="625"/>
      <c r="BA77" s="625"/>
      <c r="BB77" s="625"/>
      <c r="BC77" s="625"/>
      <c r="BD77" s="625"/>
      <c r="BE77" s="625"/>
      <c r="BF77" s="625"/>
      <c r="BG77" s="625"/>
      <c r="BH77" s="625"/>
      <c r="BI77" s="625"/>
    </row>
    <row r="78" spans="1:83" x14ac:dyDescent="0.25">
      <c r="A78" s="625"/>
      <c r="B78" s="625"/>
      <c r="C78" s="625"/>
      <c r="D78" s="625"/>
      <c r="E78" s="625"/>
      <c r="F78" s="625"/>
      <c r="G78" s="625"/>
      <c r="H78" s="625"/>
      <c r="I78" s="625"/>
      <c r="J78" s="625"/>
      <c r="K78" s="625"/>
      <c r="L78" s="625"/>
      <c r="M78" s="625"/>
      <c r="N78" s="625"/>
      <c r="O78" s="625"/>
      <c r="P78" s="625"/>
      <c r="Q78" s="625"/>
      <c r="R78" s="625"/>
      <c r="S78" s="625"/>
      <c r="T78" s="625"/>
      <c r="U78" s="625"/>
      <c r="V78" s="625"/>
      <c r="W78" s="625"/>
      <c r="X78" s="625"/>
      <c r="Y78" s="625"/>
      <c r="Z78" s="625"/>
      <c r="AA78" s="625"/>
      <c r="AB78" s="625"/>
      <c r="AC78" s="625"/>
      <c r="AD78" s="625"/>
      <c r="AE78" s="625"/>
      <c r="AF78" s="625"/>
      <c r="AG78" s="625"/>
      <c r="AH78" s="625"/>
      <c r="AI78" s="625"/>
      <c r="AJ78" s="625"/>
      <c r="AK78" s="625"/>
      <c r="AL78" s="625"/>
      <c r="AM78" s="625"/>
      <c r="AN78" s="625"/>
      <c r="AO78" s="625"/>
      <c r="AP78" s="625"/>
      <c r="AQ78" s="625"/>
      <c r="AR78" s="625"/>
      <c r="AS78" s="625"/>
      <c r="AT78" s="625"/>
      <c r="AU78" s="625"/>
      <c r="AV78" s="625"/>
      <c r="AW78" s="625"/>
      <c r="AX78" s="625"/>
      <c r="AY78" s="625"/>
      <c r="AZ78" s="625"/>
      <c r="BA78" s="625"/>
      <c r="BB78" s="625"/>
      <c r="BC78" s="625"/>
      <c r="BD78" s="625"/>
      <c r="BE78" s="625"/>
      <c r="BF78" s="625"/>
      <c r="BG78" s="625"/>
      <c r="BH78" s="625"/>
      <c r="BI78" s="625"/>
    </row>
    <row r="79" spans="1:83" x14ac:dyDescent="0.25">
      <c r="A79" s="625"/>
      <c r="B79" s="625"/>
      <c r="C79" s="625"/>
      <c r="D79" s="625"/>
      <c r="E79" s="625"/>
      <c r="F79" s="625"/>
      <c r="G79" s="625"/>
      <c r="H79" s="625"/>
      <c r="I79" s="625"/>
      <c r="J79" s="625"/>
      <c r="K79" s="625"/>
      <c r="L79" s="625"/>
      <c r="M79" s="625"/>
      <c r="N79" s="625"/>
      <c r="O79" s="625"/>
      <c r="P79" s="625"/>
      <c r="Q79" s="625"/>
      <c r="R79" s="625"/>
      <c r="S79" s="625"/>
      <c r="T79" s="625"/>
      <c r="U79" s="625"/>
      <c r="V79" s="625"/>
      <c r="W79" s="625"/>
      <c r="X79" s="625"/>
      <c r="Y79" s="625"/>
      <c r="Z79" s="625"/>
      <c r="AA79" s="625"/>
      <c r="AB79" s="625"/>
      <c r="AC79" s="625"/>
      <c r="AD79" s="625"/>
      <c r="AE79" s="625"/>
      <c r="AF79" s="625"/>
      <c r="AG79" s="625"/>
      <c r="AH79" s="625"/>
      <c r="AI79" s="625"/>
      <c r="AJ79" s="625"/>
      <c r="AK79" s="625"/>
      <c r="AL79" s="625"/>
      <c r="AM79" s="625"/>
      <c r="AN79" s="625"/>
      <c r="AO79" s="625"/>
      <c r="AP79" s="625"/>
      <c r="AQ79" s="625"/>
      <c r="AR79" s="625"/>
      <c r="AS79" s="625"/>
      <c r="AT79" s="625"/>
      <c r="AU79" s="625"/>
      <c r="AV79" s="625"/>
      <c r="AW79" s="625"/>
      <c r="AX79" s="625"/>
      <c r="AY79" s="625"/>
      <c r="AZ79" s="625"/>
      <c r="BA79" s="625"/>
      <c r="BB79" s="625"/>
      <c r="BC79" s="625"/>
      <c r="BD79" s="625"/>
      <c r="BE79" s="625"/>
      <c r="BF79" s="625"/>
      <c r="BG79" s="625"/>
      <c r="BH79" s="625"/>
      <c r="BI79" s="625"/>
    </row>
    <row r="80" spans="1:83" x14ac:dyDescent="0.25">
      <c r="A80" s="625"/>
      <c r="B80" s="625"/>
      <c r="C80" s="625"/>
      <c r="D80" s="625"/>
      <c r="E80" s="625"/>
      <c r="F80" s="625"/>
      <c r="G80" s="625"/>
      <c r="H80" s="625"/>
      <c r="I80" s="625"/>
      <c r="J80" s="625"/>
      <c r="K80" s="625"/>
      <c r="L80" s="625"/>
      <c r="M80" s="625"/>
      <c r="N80" s="625"/>
      <c r="O80" s="625"/>
      <c r="P80" s="625"/>
      <c r="Q80" s="625"/>
      <c r="R80" s="625"/>
      <c r="S80" s="625"/>
      <c r="T80" s="625"/>
      <c r="U80" s="625"/>
      <c r="V80" s="625"/>
      <c r="W80" s="625"/>
      <c r="X80" s="625"/>
      <c r="Y80" s="625"/>
      <c r="Z80" s="625"/>
      <c r="AA80" s="625"/>
      <c r="AB80" s="625"/>
      <c r="AC80" s="625"/>
      <c r="AD80" s="625"/>
      <c r="AE80" s="625"/>
      <c r="AF80" s="625"/>
      <c r="AG80" s="625"/>
      <c r="AH80" s="625"/>
      <c r="AI80" s="625"/>
      <c r="AJ80" s="625"/>
      <c r="AK80" s="625"/>
      <c r="AL80" s="625"/>
      <c r="AM80" s="625"/>
      <c r="AN80" s="625"/>
      <c r="AO80" s="625"/>
      <c r="AP80" s="625"/>
      <c r="AQ80" s="625"/>
      <c r="AR80" s="625"/>
      <c r="AS80" s="625"/>
      <c r="AT80" s="625"/>
      <c r="AU80" s="625"/>
      <c r="AV80" s="625"/>
      <c r="AW80" s="625"/>
      <c r="AX80" s="625"/>
      <c r="AY80" s="625"/>
      <c r="AZ80" s="625"/>
      <c r="BA80" s="625"/>
      <c r="BB80" s="625"/>
      <c r="BC80" s="625"/>
      <c r="BD80" s="625"/>
      <c r="BE80" s="625"/>
      <c r="BF80" s="625"/>
      <c r="BG80" s="625"/>
      <c r="BH80" s="625"/>
      <c r="BI80" s="625"/>
    </row>
    <row r="81" spans="1:83" x14ac:dyDescent="0.25">
      <c r="A81" s="625"/>
      <c r="B81" s="625"/>
      <c r="C81" s="625"/>
      <c r="D81" s="625"/>
      <c r="E81" s="625"/>
      <c r="F81" s="625"/>
      <c r="G81" s="625"/>
      <c r="H81" s="625"/>
      <c r="I81" s="625"/>
      <c r="J81" s="625"/>
      <c r="K81" s="625"/>
      <c r="L81" s="625"/>
      <c r="M81" s="625"/>
      <c r="N81" s="625"/>
      <c r="O81" s="625"/>
      <c r="P81" s="625"/>
      <c r="Q81" s="625"/>
      <c r="R81" s="625"/>
      <c r="S81" s="625"/>
      <c r="T81" s="625"/>
      <c r="U81" s="625"/>
      <c r="V81" s="625"/>
      <c r="W81" s="625"/>
      <c r="X81" s="625"/>
      <c r="Y81" s="625"/>
      <c r="Z81" s="625"/>
      <c r="AA81" s="625"/>
      <c r="AB81" s="625"/>
      <c r="AC81" s="625"/>
      <c r="AD81" s="625"/>
      <c r="AE81" s="625"/>
      <c r="AF81" s="625"/>
      <c r="AG81" s="625"/>
      <c r="AH81" s="625"/>
      <c r="AI81" s="625"/>
      <c r="AJ81" s="625"/>
      <c r="AK81" s="625"/>
      <c r="AL81" s="625"/>
      <c r="AM81" s="625"/>
      <c r="AN81" s="625"/>
      <c r="AO81" s="625"/>
      <c r="AP81" s="625"/>
      <c r="AQ81" s="625"/>
      <c r="AR81" s="625"/>
      <c r="AS81" s="625"/>
      <c r="AT81" s="625"/>
      <c r="AU81" s="625"/>
      <c r="AV81" s="625"/>
      <c r="AW81" s="625"/>
      <c r="AX81" s="625"/>
      <c r="AY81" s="625"/>
      <c r="AZ81" s="625"/>
      <c r="BA81" s="625"/>
      <c r="BB81" s="625"/>
      <c r="BC81" s="625"/>
      <c r="BD81" s="625"/>
      <c r="BE81" s="625"/>
      <c r="BF81" s="625"/>
      <c r="BG81" s="625"/>
      <c r="BH81" s="625"/>
      <c r="BI81" s="625"/>
    </row>
    <row r="82" spans="1:83" x14ac:dyDescent="0.25">
      <c r="A82" s="625"/>
      <c r="B82" s="625"/>
      <c r="C82" s="625"/>
      <c r="D82" s="625"/>
      <c r="E82" s="625"/>
      <c r="F82" s="625"/>
      <c r="G82" s="625"/>
      <c r="H82" s="625"/>
      <c r="I82" s="625"/>
      <c r="J82" s="625"/>
      <c r="K82" s="625"/>
      <c r="L82" s="625"/>
      <c r="M82" s="625"/>
      <c r="N82" s="625"/>
      <c r="O82" s="625"/>
      <c r="P82" s="625"/>
      <c r="Q82" s="625"/>
      <c r="R82" s="625"/>
      <c r="S82" s="625"/>
      <c r="T82" s="625"/>
      <c r="U82" s="625"/>
      <c r="V82" s="625"/>
      <c r="W82" s="625"/>
      <c r="X82" s="625"/>
      <c r="Y82" s="625"/>
      <c r="Z82" s="625"/>
      <c r="AA82" s="625"/>
      <c r="AB82" s="625"/>
      <c r="AC82" s="625"/>
      <c r="AD82" s="625"/>
      <c r="AE82" s="625"/>
      <c r="AF82" s="625"/>
      <c r="AG82" s="625"/>
      <c r="AH82" s="625"/>
      <c r="AI82" s="625"/>
      <c r="AJ82" s="625"/>
      <c r="AK82" s="625"/>
      <c r="AL82" s="625"/>
      <c r="AM82" s="625"/>
      <c r="AN82" s="625"/>
      <c r="AO82" s="625"/>
      <c r="AP82" s="625"/>
      <c r="AQ82" s="625"/>
      <c r="AR82" s="625"/>
      <c r="AS82" s="625"/>
      <c r="AT82" s="625"/>
      <c r="AU82" s="625"/>
      <c r="AV82" s="625"/>
      <c r="AW82" s="625"/>
      <c r="AX82" s="625"/>
      <c r="AY82" s="625"/>
      <c r="AZ82" s="625"/>
      <c r="BA82" s="625"/>
      <c r="BB82" s="625"/>
      <c r="BC82" s="625"/>
      <c r="BD82" s="625"/>
      <c r="BE82" s="625"/>
      <c r="BF82" s="625"/>
      <c r="BG82" s="625"/>
      <c r="BH82" s="625"/>
      <c r="BI82" s="625"/>
    </row>
    <row r="83" spans="1:83" x14ac:dyDescent="0.25">
      <c r="A83" s="625"/>
      <c r="B83" s="625"/>
      <c r="C83" s="625"/>
      <c r="D83" s="625"/>
      <c r="E83" s="625"/>
      <c r="F83" s="625"/>
      <c r="G83" s="625"/>
      <c r="H83" s="625"/>
      <c r="I83" s="625"/>
      <c r="J83" s="625"/>
      <c r="K83" s="625"/>
      <c r="L83" s="625"/>
      <c r="M83" s="625"/>
      <c r="N83" s="625"/>
      <c r="O83" s="625"/>
      <c r="P83" s="625"/>
      <c r="Q83" s="625"/>
      <c r="R83" s="625"/>
      <c r="S83" s="625"/>
      <c r="T83" s="625"/>
      <c r="U83" s="625"/>
      <c r="V83" s="625"/>
      <c r="W83" s="625"/>
      <c r="X83" s="625"/>
      <c r="Y83" s="625"/>
      <c r="Z83" s="625"/>
      <c r="AA83" s="625"/>
      <c r="AB83" s="625"/>
      <c r="AC83" s="625"/>
      <c r="AD83" s="625"/>
      <c r="AE83" s="625"/>
      <c r="AF83" s="625"/>
      <c r="AG83" s="625"/>
      <c r="AH83" s="625"/>
      <c r="AI83" s="625"/>
      <c r="AJ83" s="625"/>
      <c r="AK83" s="625"/>
      <c r="AL83" s="625"/>
      <c r="AM83" s="625"/>
      <c r="AN83" s="625"/>
      <c r="AO83" s="625"/>
      <c r="AP83" s="625"/>
      <c r="AQ83" s="625"/>
      <c r="AR83" s="625"/>
      <c r="AS83" s="625"/>
      <c r="AT83" s="625"/>
      <c r="AU83" s="625"/>
      <c r="AV83" s="625"/>
      <c r="AW83" s="625"/>
      <c r="AX83" s="625"/>
      <c r="AY83" s="625"/>
      <c r="AZ83" s="625"/>
      <c r="BA83" s="625"/>
      <c r="BB83" s="625"/>
      <c r="BC83" s="625"/>
      <c r="BD83" s="625"/>
      <c r="BE83" s="625"/>
      <c r="BF83" s="625"/>
      <c r="BG83" s="625"/>
      <c r="BH83" s="625"/>
      <c r="BI83" s="625"/>
    </row>
    <row r="84" spans="1:83" x14ac:dyDescent="0.25">
      <c r="A84" s="625"/>
      <c r="B84" s="625"/>
      <c r="C84" s="625"/>
      <c r="D84" s="625"/>
      <c r="E84" s="625"/>
      <c r="F84" s="625"/>
      <c r="G84" s="625"/>
      <c r="H84" s="625"/>
      <c r="I84" s="625"/>
      <c r="J84" s="625"/>
      <c r="K84" s="625"/>
      <c r="L84" s="625"/>
      <c r="M84" s="625"/>
      <c r="N84" s="625"/>
      <c r="O84" s="625"/>
      <c r="P84" s="625"/>
      <c r="Q84" s="625"/>
      <c r="R84" s="625"/>
      <c r="S84" s="625"/>
      <c r="T84" s="625"/>
      <c r="U84" s="625"/>
      <c r="V84" s="625"/>
      <c r="W84" s="625"/>
      <c r="X84" s="625"/>
      <c r="Y84" s="625"/>
      <c r="Z84" s="625"/>
      <c r="AA84" s="625"/>
      <c r="AB84" s="625"/>
      <c r="AC84" s="625"/>
      <c r="AD84" s="625"/>
      <c r="AE84" s="625"/>
      <c r="AF84" s="625"/>
      <c r="AG84" s="625"/>
      <c r="AH84" s="625"/>
      <c r="AI84" s="625"/>
      <c r="AJ84" s="625"/>
      <c r="AK84" s="625"/>
      <c r="AL84" s="625"/>
      <c r="AM84" s="625"/>
      <c r="AN84" s="625"/>
      <c r="AO84" s="625"/>
      <c r="AP84" s="625"/>
      <c r="AQ84" s="625"/>
      <c r="AR84" s="625"/>
      <c r="AS84" s="625"/>
      <c r="AT84" s="625"/>
      <c r="AU84" s="625"/>
      <c r="AV84" s="625"/>
      <c r="AW84" s="625"/>
      <c r="AX84" s="625"/>
      <c r="AY84" s="625"/>
      <c r="AZ84" s="625"/>
      <c r="BA84" s="625"/>
      <c r="BB84" s="625"/>
      <c r="BC84" s="625"/>
      <c r="BD84" s="625"/>
      <c r="BE84" s="625"/>
      <c r="BF84" s="625"/>
      <c r="BG84" s="625"/>
      <c r="BH84" s="625"/>
      <c r="BI84" s="625"/>
    </row>
    <row r="85" spans="1:83" x14ac:dyDescent="0.25">
      <c r="A85" s="625"/>
      <c r="B85" s="625"/>
      <c r="C85" s="625"/>
      <c r="D85" s="625"/>
      <c r="E85" s="625"/>
      <c r="F85" s="625"/>
      <c r="G85" s="625"/>
      <c r="H85" s="625"/>
      <c r="I85" s="625"/>
      <c r="J85" s="625"/>
      <c r="K85" s="625"/>
      <c r="L85" s="625"/>
      <c r="M85" s="625"/>
      <c r="N85" s="625"/>
      <c r="O85" s="625"/>
      <c r="P85" s="625"/>
      <c r="Q85" s="625"/>
      <c r="R85" s="625"/>
      <c r="S85" s="625"/>
      <c r="T85" s="625"/>
      <c r="U85" s="625"/>
      <c r="V85" s="625"/>
      <c r="W85" s="625"/>
      <c r="X85" s="625"/>
      <c r="Y85" s="625"/>
      <c r="Z85" s="625"/>
      <c r="AA85" s="625"/>
      <c r="AB85" s="625"/>
      <c r="AC85" s="625"/>
      <c r="AD85" s="625"/>
      <c r="AE85" s="625"/>
      <c r="AF85" s="625"/>
      <c r="AG85" s="625"/>
      <c r="AH85" s="625"/>
      <c r="AI85" s="625"/>
      <c r="AJ85" s="625"/>
      <c r="AK85" s="625"/>
      <c r="AL85" s="625"/>
      <c r="AM85" s="625"/>
      <c r="AN85" s="625"/>
      <c r="AO85" s="625"/>
      <c r="AP85" s="625"/>
      <c r="AQ85" s="625"/>
      <c r="AR85" s="625"/>
      <c r="AS85" s="625"/>
      <c r="AT85" s="625"/>
      <c r="AU85" s="625"/>
      <c r="AV85" s="625"/>
      <c r="AW85" s="625"/>
      <c r="AX85" s="625"/>
      <c r="AY85" s="625"/>
      <c r="AZ85" s="625"/>
      <c r="BA85" s="625"/>
      <c r="BB85" s="625"/>
      <c r="BC85" s="625"/>
      <c r="BD85" s="625"/>
      <c r="BE85" s="625"/>
      <c r="BF85" s="625"/>
      <c r="BG85" s="625"/>
      <c r="BH85" s="625"/>
      <c r="BI85" s="625"/>
    </row>
    <row r="86" spans="1:83" x14ac:dyDescent="0.25">
      <c r="A86" s="625"/>
      <c r="B86" s="625"/>
      <c r="C86" s="625"/>
      <c r="D86" s="625"/>
      <c r="E86" s="625"/>
      <c r="F86" s="625"/>
      <c r="G86" s="625"/>
      <c r="H86" s="625"/>
      <c r="I86" s="625"/>
      <c r="J86" s="625"/>
      <c r="K86" s="625"/>
      <c r="L86" s="625"/>
      <c r="M86" s="625"/>
      <c r="N86" s="625"/>
      <c r="O86" s="625"/>
      <c r="P86" s="625"/>
      <c r="Q86" s="625"/>
      <c r="R86" s="625"/>
      <c r="S86" s="625"/>
      <c r="T86" s="625"/>
      <c r="U86" s="625"/>
      <c r="V86" s="625"/>
      <c r="W86" s="625"/>
      <c r="X86" s="625"/>
      <c r="Y86" s="625"/>
      <c r="Z86" s="625"/>
      <c r="AA86" s="625"/>
      <c r="AB86" s="625"/>
      <c r="AC86" s="625"/>
      <c r="AD86" s="625"/>
      <c r="AE86" s="625"/>
      <c r="AF86" s="625"/>
      <c r="AG86" s="625"/>
      <c r="AH86" s="625"/>
      <c r="AI86" s="625"/>
      <c r="AJ86" s="625"/>
      <c r="AK86" s="625"/>
      <c r="AL86" s="625"/>
      <c r="AM86" s="625"/>
      <c r="AN86" s="625"/>
      <c r="AO86" s="625"/>
      <c r="AP86" s="625"/>
      <c r="AQ86" s="625"/>
      <c r="AR86" s="625"/>
      <c r="AS86" s="625"/>
      <c r="AT86" s="625"/>
      <c r="AU86" s="625"/>
      <c r="AV86" s="625"/>
      <c r="AW86" s="625"/>
      <c r="AX86" s="625"/>
      <c r="AY86" s="625"/>
      <c r="AZ86" s="625"/>
      <c r="BA86" s="625"/>
      <c r="BB86" s="625"/>
      <c r="BC86" s="625"/>
      <c r="BD86" s="625"/>
      <c r="BE86" s="625"/>
      <c r="BF86" s="625"/>
      <c r="BG86" s="625"/>
      <c r="BH86" s="625"/>
      <c r="BI86" s="625"/>
    </row>
    <row r="87" spans="1:83" x14ac:dyDescent="0.25">
      <c r="A87" s="625"/>
      <c r="B87" s="625"/>
      <c r="C87" s="625"/>
      <c r="D87" s="625"/>
      <c r="E87" s="625"/>
      <c r="F87" s="625"/>
      <c r="G87" s="625"/>
      <c r="H87" s="625"/>
      <c r="I87" s="625"/>
      <c r="J87" s="625"/>
      <c r="K87" s="625"/>
      <c r="L87" s="625"/>
      <c r="M87" s="625"/>
      <c r="N87" s="625"/>
      <c r="O87" s="625"/>
      <c r="P87" s="625"/>
      <c r="Q87" s="625"/>
      <c r="R87" s="625"/>
      <c r="S87" s="625"/>
      <c r="T87" s="625"/>
      <c r="U87" s="625"/>
      <c r="V87" s="625"/>
      <c r="W87" s="625"/>
      <c r="X87" s="625"/>
      <c r="Y87" s="625"/>
      <c r="Z87" s="625"/>
      <c r="AA87" s="625"/>
      <c r="AB87" s="625"/>
      <c r="AC87" s="625"/>
      <c r="AD87" s="625"/>
      <c r="AE87" s="625"/>
      <c r="AF87" s="625"/>
      <c r="AG87" s="625"/>
      <c r="AH87" s="625"/>
      <c r="AI87" s="625"/>
      <c r="AJ87" s="625"/>
      <c r="AK87" s="625"/>
      <c r="AL87" s="625"/>
      <c r="AM87" s="625"/>
      <c r="AN87" s="625"/>
      <c r="AO87" s="625"/>
      <c r="AP87" s="625"/>
      <c r="AQ87" s="625"/>
      <c r="AR87" s="625"/>
      <c r="AS87" s="625"/>
      <c r="AT87" s="625"/>
      <c r="AU87" s="625"/>
      <c r="AV87" s="625"/>
      <c r="AW87" s="625"/>
      <c r="AX87" s="625"/>
      <c r="AY87" s="625"/>
      <c r="AZ87" s="625"/>
      <c r="BA87" s="625"/>
      <c r="BB87" s="625"/>
      <c r="BC87" s="625"/>
      <c r="BD87" s="625"/>
      <c r="BE87" s="625"/>
      <c r="BF87" s="625"/>
      <c r="BG87" s="625"/>
      <c r="BH87" s="625"/>
      <c r="BI87" s="625"/>
    </row>
    <row r="88" spans="1:83" x14ac:dyDescent="0.25">
      <c r="A88" s="625"/>
      <c r="B88" s="625"/>
      <c r="C88" s="625"/>
      <c r="D88" s="625"/>
      <c r="E88" s="625"/>
      <c r="F88" s="625"/>
      <c r="G88" s="625"/>
      <c r="H88" s="625"/>
      <c r="I88" s="625"/>
      <c r="J88" s="625"/>
      <c r="K88" s="625"/>
      <c r="L88" s="625"/>
      <c r="M88" s="625"/>
      <c r="N88" s="625"/>
      <c r="O88" s="625"/>
      <c r="P88" s="625"/>
      <c r="Q88" s="625"/>
      <c r="R88" s="625"/>
      <c r="S88" s="625"/>
      <c r="T88" s="625"/>
      <c r="U88" s="625"/>
      <c r="V88" s="625"/>
      <c r="W88" s="625"/>
      <c r="X88" s="625"/>
      <c r="Y88" s="625"/>
      <c r="Z88" s="625"/>
      <c r="AA88" s="625"/>
      <c r="AB88" s="625"/>
      <c r="AC88" s="625"/>
      <c r="AD88" s="625"/>
      <c r="AE88" s="625"/>
      <c r="AF88" s="625"/>
      <c r="AG88" s="625"/>
      <c r="AH88" s="625"/>
      <c r="AI88" s="625"/>
      <c r="AJ88" s="625"/>
      <c r="AK88" s="625"/>
      <c r="AL88" s="625"/>
      <c r="AM88" s="625"/>
      <c r="AN88" s="625"/>
      <c r="AO88" s="625"/>
      <c r="AP88" s="625"/>
      <c r="AQ88" s="625"/>
      <c r="AR88" s="625"/>
      <c r="AS88" s="625"/>
      <c r="AT88" s="625"/>
      <c r="AU88" s="625"/>
      <c r="AV88" s="625"/>
      <c r="AW88" s="625"/>
      <c r="AX88" s="625"/>
      <c r="AY88" s="625"/>
      <c r="AZ88" s="625"/>
      <c r="BA88" s="625"/>
      <c r="BB88" s="625"/>
      <c r="BC88" s="625"/>
      <c r="BD88" s="625"/>
      <c r="BE88" s="625"/>
      <c r="BF88" s="625"/>
      <c r="BG88" s="625"/>
      <c r="BH88" s="625"/>
      <c r="BI88" s="625"/>
    </row>
    <row r="89" spans="1:83" x14ac:dyDescent="0.25">
      <c r="A89" s="625"/>
      <c r="B89" s="625"/>
      <c r="C89" s="625"/>
      <c r="D89" s="625"/>
      <c r="E89" s="625"/>
      <c r="F89" s="625"/>
      <c r="G89" s="625"/>
      <c r="H89" s="625"/>
      <c r="I89" s="625"/>
      <c r="J89" s="625"/>
      <c r="K89" s="625"/>
      <c r="L89" s="625"/>
      <c r="M89" s="625"/>
      <c r="N89" s="625"/>
      <c r="O89" s="625"/>
      <c r="P89" s="625"/>
      <c r="Q89" s="625"/>
      <c r="R89" s="625"/>
      <c r="S89" s="625"/>
      <c r="T89" s="625"/>
      <c r="U89" s="625"/>
      <c r="V89" s="625"/>
      <c r="W89" s="625"/>
      <c r="X89" s="625"/>
      <c r="Y89" s="625"/>
      <c r="Z89" s="625"/>
      <c r="AA89" s="625"/>
      <c r="AB89" s="625"/>
      <c r="AC89" s="625"/>
      <c r="AD89" s="625"/>
      <c r="AE89" s="625"/>
      <c r="AF89" s="625"/>
      <c r="AG89" s="625"/>
      <c r="AH89" s="625"/>
      <c r="AI89" s="625"/>
      <c r="AJ89" s="625"/>
      <c r="AK89" s="625"/>
      <c r="AL89" s="625"/>
      <c r="AM89" s="625"/>
      <c r="AN89" s="625"/>
      <c r="AO89" s="625"/>
      <c r="AP89" s="625"/>
      <c r="AQ89" s="625"/>
      <c r="AR89" s="625"/>
      <c r="AS89" s="625"/>
      <c r="AT89" s="625"/>
      <c r="AU89" s="625"/>
      <c r="AV89" s="625"/>
      <c r="AW89" s="625"/>
      <c r="AX89" s="625"/>
      <c r="AY89" s="625"/>
      <c r="AZ89" s="625"/>
      <c r="BA89" s="625"/>
      <c r="BB89" s="625"/>
      <c r="BC89" s="625"/>
      <c r="BD89" s="625"/>
      <c r="BE89" s="625"/>
      <c r="BF89" s="625"/>
      <c r="BG89" s="625"/>
      <c r="BH89" s="625"/>
      <c r="BI89" s="625"/>
    </row>
    <row r="90" spans="1:83" ht="15.75" thickBot="1" x14ac:dyDescent="0.3"/>
    <row r="91" spans="1:83" ht="14.25" customHeight="1" thickBot="1" x14ac:dyDescent="0.3">
      <c r="A91" s="915" t="s">
        <v>78</v>
      </c>
      <c r="B91" s="916"/>
      <c r="C91" s="916"/>
      <c r="D91" s="916"/>
      <c r="E91" s="916"/>
      <c r="F91" s="916"/>
      <c r="G91" s="916"/>
      <c r="H91" s="916"/>
      <c r="I91" s="916"/>
      <c r="J91" s="916"/>
      <c r="K91" s="916"/>
      <c r="L91" s="931"/>
      <c r="M91" s="917" t="s">
        <v>1</v>
      </c>
      <c r="N91" s="902"/>
      <c r="O91" s="902"/>
      <c r="P91" s="902"/>
      <c r="Q91" s="902"/>
      <c r="R91" s="902"/>
      <c r="S91" s="902"/>
      <c r="T91" s="903"/>
      <c r="U91" s="917" t="s">
        <v>0</v>
      </c>
      <c r="V91" s="902"/>
      <c r="W91" s="902"/>
      <c r="X91" s="902"/>
      <c r="Y91" s="902"/>
      <c r="Z91" s="902"/>
      <c r="AA91" s="902"/>
      <c r="AB91" s="902"/>
      <c r="AC91" s="903"/>
      <c r="AD91" s="918"/>
      <c r="AE91" s="919"/>
      <c r="AF91" s="919"/>
      <c r="AG91" s="919"/>
      <c r="AH91" s="919"/>
      <c r="AI91" s="919"/>
      <c r="AJ91" s="919"/>
      <c r="AK91" s="919"/>
      <c r="AL91" s="919"/>
      <c r="AM91" s="919"/>
      <c r="AN91" s="919"/>
      <c r="AO91" s="919"/>
      <c r="AP91" s="932"/>
      <c r="AQ91" s="888" t="s">
        <v>72</v>
      </c>
      <c r="AR91" s="889"/>
      <c r="AS91" s="889"/>
      <c r="AT91" s="889"/>
      <c r="AU91" s="889"/>
      <c r="AV91" s="889"/>
      <c r="AW91" s="889"/>
      <c r="AX91" s="890"/>
      <c r="AY91" s="888" t="s">
        <v>80</v>
      </c>
      <c r="AZ91" s="902"/>
      <c r="BA91" s="902"/>
      <c r="BB91" s="902"/>
      <c r="BC91" s="902"/>
      <c r="BD91" s="902"/>
      <c r="BE91" s="902"/>
      <c r="BF91" s="902"/>
      <c r="BG91" s="903"/>
      <c r="BH91" s="900"/>
      <c r="BI91" s="900"/>
      <c r="BJ91" s="900"/>
      <c r="BK91" s="900"/>
      <c r="BL91" s="900"/>
      <c r="BM91" s="900"/>
      <c r="BN91" s="928"/>
      <c r="BO91" s="901" t="s">
        <v>1</v>
      </c>
      <c r="BP91" s="902"/>
      <c r="BQ91" s="902"/>
      <c r="BR91" s="902"/>
      <c r="BS91" s="902"/>
      <c r="BT91" s="902"/>
      <c r="BU91" s="902"/>
      <c r="BV91" s="903"/>
      <c r="BW91" s="901" t="s">
        <v>0</v>
      </c>
      <c r="BX91" s="902"/>
      <c r="BY91" s="902"/>
      <c r="BZ91" s="902"/>
      <c r="CA91" s="902"/>
      <c r="CB91" s="902"/>
      <c r="CC91" s="902"/>
      <c r="CD91" s="902"/>
      <c r="CE91" s="903"/>
    </row>
    <row r="92" spans="1:83" ht="15" customHeight="1" thickBot="1" x14ac:dyDescent="0.3">
      <c r="A92" s="907" t="s">
        <v>12</v>
      </c>
      <c r="B92" s="909" t="s">
        <v>13</v>
      </c>
      <c r="C92" s="909" t="s">
        <v>14</v>
      </c>
      <c r="D92" s="909" t="s">
        <v>71</v>
      </c>
      <c r="E92" s="909" t="s">
        <v>73</v>
      </c>
      <c r="F92" s="924" t="s">
        <v>74</v>
      </c>
      <c r="G92" s="926" t="s">
        <v>15</v>
      </c>
      <c r="H92" s="909" t="s">
        <v>16</v>
      </c>
      <c r="I92" s="909" t="s">
        <v>17</v>
      </c>
      <c r="J92" s="909" t="s">
        <v>18</v>
      </c>
      <c r="K92" s="909" t="s">
        <v>70</v>
      </c>
      <c r="L92" s="929" t="s">
        <v>19</v>
      </c>
      <c r="M92" s="904"/>
      <c r="N92" s="904"/>
      <c r="O92" s="904"/>
      <c r="P92" s="904"/>
      <c r="Q92" s="904"/>
      <c r="R92" s="904"/>
      <c r="S92" s="904"/>
      <c r="T92" s="905"/>
      <c r="U92" s="906"/>
      <c r="V92" s="904"/>
      <c r="W92" s="904"/>
      <c r="X92" s="904"/>
      <c r="Y92" s="904"/>
      <c r="Z92" s="904"/>
      <c r="AA92" s="904"/>
      <c r="AB92" s="904"/>
      <c r="AC92" s="905"/>
      <c r="AD92" s="912" t="s">
        <v>40</v>
      </c>
      <c r="AE92" s="914" t="s">
        <v>12</v>
      </c>
      <c r="AF92" s="914" t="s">
        <v>13</v>
      </c>
      <c r="AG92" s="914" t="s">
        <v>14</v>
      </c>
      <c r="AH92" s="914" t="s">
        <v>71</v>
      </c>
      <c r="AI92" s="914" t="s">
        <v>73</v>
      </c>
      <c r="AJ92" s="914" t="s">
        <v>74</v>
      </c>
      <c r="AK92" s="912" t="s">
        <v>41</v>
      </c>
      <c r="AL92" s="914" t="s">
        <v>16</v>
      </c>
      <c r="AM92" s="914" t="s">
        <v>17</v>
      </c>
      <c r="AN92" s="914" t="s">
        <v>18</v>
      </c>
      <c r="AO92" s="914" t="s">
        <v>70</v>
      </c>
      <c r="AP92" s="912" t="s">
        <v>19</v>
      </c>
      <c r="AQ92" s="891"/>
      <c r="AR92" s="892"/>
      <c r="AS92" s="892"/>
      <c r="AT92" s="892"/>
      <c r="AU92" s="892"/>
      <c r="AV92" s="892"/>
      <c r="AW92" s="892"/>
      <c r="AX92" s="893"/>
      <c r="AY92" s="906"/>
      <c r="AZ92" s="904"/>
      <c r="BA92" s="904"/>
      <c r="BB92" s="904"/>
      <c r="BC92" s="904"/>
      <c r="BD92" s="904"/>
      <c r="BE92" s="904"/>
      <c r="BF92" s="904"/>
      <c r="BG92" s="905"/>
      <c r="BH92" s="897" t="s">
        <v>15</v>
      </c>
      <c r="BI92" s="899" t="s">
        <v>16</v>
      </c>
      <c r="BJ92" s="899" t="s">
        <v>17</v>
      </c>
      <c r="BK92" s="899" t="s">
        <v>18</v>
      </c>
      <c r="BL92" s="899" t="s">
        <v>70</v>
      </c>
      <c r="BM92" s="899" t="s">
        <v>71</v>
      </c>
      <c r="BN92" s="897" t="s">
        <v>19</v>
      </c>
      <c r="BO92" s="904"/>
      <c r="BP92" s="904"/>
      <c r="BQ92" s="904"/>
      <c r="BR92" s="904"/>
      <c r="BS92" s="904"/>
      <c r="BT92" s="904"/>
      <c r="BU92" s="904"/>
      <c r="BV92" s="905"/>
      <c r="BW92" s="906"/>
      <c r="BX92" s="904"/>
      <c r="BY92" s="904"/>
      <c r="BZ92" s="904"/>
      <c r="CA92" s="904"/>
      <c r="CB92" s="904"/>
      <c r="CC92" s="904"/>
      <c r="CD92" s="904"/>
      <c r="CE92" s="905"/>
    </row>
    <row r="93" spans="1:83" ht="15.75" thickBot="1" x14ac:dyDescent="0.3">
      <c r="A93" s="922"/>
      <c r="B93" s="923"/>
      <c r="C93" s="923"/>
      <c r="D93" s="923"/>
      <c r="E93" s="923"/>
      <c r="F93" s="925"/>
      <c r="G93" s="927"/>
      <c r="H93" s="923"/>
      <c r="I93" s="923"/>
      <c r="J93" s="923"/>
      <c r="K93" s="923"/>
      <c r="L93" s="930"/>
      <c r="M93" s="613" t="s">
        <v>9</v>
      </c>
      <c r="N93" s="221" t="s">
        <v>5</v>
      </c>
      <c r="O93" s="221" t="s">
        <v>8</v>
      </c>
      <c r="P93" s="221" t="s">
        <v>4</v>
      </c>
      <c r="Q93" s="221" t="s">
        <v>10</v>
      </c>
      <c r="R93" s="221" t="s">
        <v>6</v>
      </c>
      <c r="S93" s="221" t="s">
        <v>7</v>
      </c>
      <c r="T93" s="222" t="s">
        <v>20</v>
      </c>
      <c r="U93" s="220" t="s">
        <v>22</v>
      </c>
      <c r="V93" s="221" t="s">
        <v>23</v>
      </c>
      <c r="W93" s="221" t="s">
        <v>24</v>
      </c>
      <c r="X93" s="221" t="s">
        <v>25</v>
      </c>
      <c r="Y93" s="221" t="s">
        <v>26</v>
      </c>
      <c r="Z93" s="221" t="s">
        <v>27</v>
      </c>
      <c r="AA93" s="221" t="s">
        <v>28</v>
      </c>
      <c r="AB93" s="221" t="s">
        <v>29</v>
      </c>
      <c r="AC93" s="222" t="s">
        <v>30</v>
      </c>
      <c r="AD93" s="921"/>
      <c r="AE93" s="921"/>
      <c r="AF93" s="921"/>
      <c r="AG93" s="921"/>
      <c r="AH93" s="921"/>
      <c r="AI93" s="921"/>
      <c r="AJ93" s="921"/>
      <c r="AK93" s="921"/>
      <c r="AL93" s="921"/>
      <c r="AM93" s="921"/>
      <c r="AN93" s="921"/>
      <c r="AO93" s="921"/>
      <c r="AP93" s="921"/>
      <c r="AQ93" s="550" t="s">
        <v>9</v>
      </c>
      <c r="AR93" s="551" t="s">
        <v>5</v>
      </c>
      <c r="AS93" s="551" t="s">
        <v>8</v>
      </c>
      <c r="AT93" s="551" t="s">
        <v>4</v>
      </c>
      <c r="AU93" s="551" t="s">
        <v>10</v>
      </c>
      <c r="AV93" s="551" t="s">
        <v>6</v>
      </c>
      <c r="AW93" s="551" t="s">
        <v>7</v>
      </c>
      <c r="AX93" s="552" t="s">
        <v>20</v>
      </c>
      <c r="AY93" s="553" t="s">
        <v>22</v>
      </c>
      <c r="AZ93" s="554" t="s">
        <v>23</v>
      </c>
      <c r="BA93" s="554" t="s">
        <v>24</v>
      </c>
      <c r="BB93" s="554" t="s">
        <v>25</v>
      </c>
      <c r="BC93" s="554" t="s">
        <v>26</v>
      </c>
      <c r="BD93" s="554" t="s">
        <v>27</v>
      </c>
      <c r="BE93" s="554" t="s">
        <v>28</v>
      </c>
      <c r="BF93" s="554" t="s">
        <v>29</v>
      </c>
      <c r="BG93" s="555" t="s">
        <v>30</v>
      </c>
      <c r="BH93" s="920"/>
      <c r="BI93" s="920"/>
      <c r="BJ93" s="920"/>
      <c r="BK93" s="920"/>
      <c r="BL93" s="920"/>
      <c r="BM93" s="920"/>
      <c r="BN93" s="933"/>
      <c r="BO93" s="132" t="s">
        <v>9</v>
      </c>
      <c r="BP93" s="132" t="s">
        <v>5</v>
      </c>
      <c r="BQ93" s="132" t="s">
        <v>8</v>
      </c>
      <c r="BR93" s="132" t="s">
        <v>4</v>
      </c>
      <c r="BS93" s="132" t="s">
        <v>10</v>
      </c>
      <c r="BT93" s="132" t="s">
        <v>6</v>
      </c>
      <c r="BU93" s="132" t="s">
        <v>7</v>
      </c>
      <c r="BV93" s="132" t="s">
        <v>20</v>
      </c>
      <c r="BW93" s="131" t="s">
        <v>22</v>
      </c>
      <c r="BX93" s="131" t="s">
        <v>23</v>
      </c>
      <c r="BY93" s="131" t="s">
        <v>24</v>
      </c>
      <c r="BZ93" s="131" t="s">
        <v>25</v>
      </c>
      <c r="CA93" s="131" t="s">
        <v>26</v>
      </c>
      <c r="CB93" s="131" t="s">
        <v>27</v>
      </c>
      <c r="CC93" s="131" t="s">
        <v>28</v>
      </c>
      <c r="CD93" s="131" t="s">
        <v>29</v>
      </c>
      <c r="CE93" s="132" t="s">
        <v>30</v>
      </c>
    </row>
    <row r="94" spans="1:83" x14ac:dyDescent="0.25">
      <c r="A94" s="114">
        <v>130</v>
      </c>
      <c r="B94" s="115">
        <v>75</v>
      </c>
      <c r="C94" s="115">
        <v>79.513000000000005</v>
      </c>
      <c r="D94" s="365">
        <v>54.122770000000003</v>
      </c>
      <c r="E94" s="115">
        <v>113.02654</v>
      </c>
      <c r="F94" s="223">
        <v>127.2337</v>
      </c>
      <c r="G94" s="210" t="s">
        <v>9</v>
      </c>
      <c r="H94" s="602">
        <v>60</v>
      </c>
      <c r="I94" s="312">
        <v>110.83</v>
      </c>
      <c r="J94" s="312">
        <v>114.16</v>
      </c>
      <c r="K94" s="612">
        <v>75</v>
      </c>
      <c r="L94" s="210" t="s">
        <v>21</v>
      </c>
      <c r="M94" s="255">
        <v>338.63600000000002</v>
      </c>
      <c r="N94" s="115">
        <v>11.110099999999999</v>
      </c>
      <c r="O94" s="115">
        <v>133.321</v>
      </c>
      <c r="P94" s="115">
        <v>3.3863599999999998</v>
      </c>
      <c r="Q94" s="311">
        <v>2.1041800000000002E-3</v>
      </c>
      <c r="R94" s="115">
        <v>3386.36</v>
      </c>
      <c r="S94" s="115">
        <v>3.7033700000000001</v>
      </c>
      <c r="T94" s="115">
        <v>3386357</v>
      </c>
      <c r="U94" s="115">
        <v>618505</v>
      </c>
      <c r="V94" s="115">
        <v>6185.05</v>
      </c>
      <c r="W94" s="115">
        <v>61.850499999999997</v>
      </c>
      <c r="X94" s="115">
        <v>0.61850499999999997</v>
      </c>
      <c r="Y94" s="115">
        <v>958.68399999999997</v>
      </c>
      <c r="Z94" s="115">
        <v>6.6575300000000004</v>
      </c>
      <c r="AA94" s="311">
        <v>6.1850500000000001E-3</v>
      </c>
      <c r="AB94" s="422">
        <v>6.1850454012355E-5</v>
      </c>
      <c r="AC94" s="577">
        <v>1.52836E-4</v>
      </c>
      <c r="AD94" s="462">
        <v>1</v>
      </c>
      <c r="AE94" s="262">
        <v>130</v>
      </c>
      <c r="AF94" s="260">
        <v>75</v>
      </c>
      <c r="AG94" s="260">
        <v>79.513000000000005</v>
      </c>
      <c r="AH94" s="533">
        <v>54.122770000000003</v>
      </c>
      <c r="AI94" s="260">
        <v>113.02654</v>
      </c>
      <c r="AJ94" s="586">
        <v>127.2337</v>
      </c>
      <c r="AK94" s="282" t="s">
        <v>9</v>
      </c>
      <c r="AL94" s="587">
        <v>60</v>
      </c>
      <c r="AM94" s="529">
        <v>110.8296</v>
      </c>
      <c r="AN94" s="529">
        <v>114.1652</v>
      </c>
      <c r="AO94" s="588">
        <v>75</v>
      </c>
      <c r="AP94" s="282" t="s">
        <v>21</v>
      </c>
      <c r="AQ94" s="589">
        <f>AE94+AF94+AG94+AH94</f>
        <v>338.63577000000004</v>
      </c>
      <c r="AR94" s="260">
        <v>11.110099999999999</v>
      </c>
      <c r="AS94" s="260">
        <v>133.321</v>
      </c>
      <c r="AT94" s="260">
        <v>3.3863599999999998</v>
      </c>
      <c r="AU94" s="532">
        <v>2.1041900000000001E-3</v>
      </c>
      <c r="AV94" s="260">
        <v>3386.36</v>
      </c>
      <c r="AW94" s="260">
        <v>3.7033700000000001</v>
      </c>
      <c r="AX94" s="260">
        <v>3386360</v>
      </c>
      <c r="AY94" s="260">
        <v>618505</v>
      </c>
      <c r="AZ94" s="260">
        <f>(SQRT(((AE94+AF94+AI94)/2)*((AE94+AF94+AI94)/2-AE94)*((AE94+AF94+AI94)/2-AF94)*((AE94+AF94+AI94)/2-AI94)))+(SQRT(((AG94+AH94+AI94)/2)*((AG94+AH94+AI94)/2-AG94)*((AG94+AH94+AI94)/2-AH94)*((AG94+AH94+AI94)/2-AI94)))</f>
        <v>6185.0471738200649</v>
      </c>
      <c r="BA94" s="260">
        <v>61.850499999999997</v>
      </c>
      <c r="BB94" s="260">
        <v>0.61850499999999997</v>
      </c>
      <c r="BC94" s="260">
        <v>958.68499999999995</v>
      </c>
      <c r="BD94" s="260">
        <v>6.6575300000000004</v>
      </c>
      <c r="BE94" s="263">
        <v>6.1850500000000001E-3</v>
      </c>
      <c r="BF94" s="557">
        <v>6.1850499999999993E-5</v>
      </c>
      <c r="BG94" s="590">
        <v>1.52836E-4</v>
      </c>
      <c r="BH94" s="237" t="s">
        <v>9</v>
      </c>
      <c r="BI94" s="283">
        <f>(100*(H94-AL94))/AL94</f>
        <v>0</v>
      </c>
      <c r="BJ94" s="90">
        <f>(100*(I94-AM94))/AM94</f>
        <v>3.6091441275531787E-4</v>
      </c>
      <c r="BK94" s="90">
        <f>(100*(J94-AN94))/AN94</f>
        <v>-4.5548030398073073E-3</v>
      </c>
      <c r="BL94" s="90">
        <f>(100*(K94-AO94))/AO94</f>
        <v>0</v>
      </c>
      <c r="BM94" s="233">
        <f>(100*(D94-AH94))/AH94</f>
        <v>0</v>
      </c>
      <c r="BN94" s="237" t="s">
        <v>21</v>
      </c>
      <c r="BO94" s="213">
        <f>(100*(M94-AQ94))/AQ94</f>
        <v>6.7919582148022928E-5</v>
      </c>
      <c r="BP94" s="91">
        <f t="shared" ref="BP94:BV94" si="97">(100*(N94-AR94))/AR94</f>
        <v>0</v>
      </c>
      <c r="BQ94" s="91">
        <f t="shared" si="97"/>
        <v>0</v>
      </c>
      <c r="BR94" s="91">
        <f t="shared" si="97"/>
        <v>0</v>
      </c>
      <c r="BS94" s="91">
        <f t="shared" si="97"/>
        <v>-4.7524225473653098E-4</v>
      </c>
      <c r="BT94" s="91">
        <f t="shared" si="97"/>
        <v>0</v>
      </c>
      <c r="BU94" s="91">
        <f t="shared" si="97"/>
        <v>0</v>
      </c>
      <c r="BV94" s="91">
        <f t="shared" si="97"/>
        <v>-8.8590699157797755E-5</v>
      </c>
      <c r="BW94" s="93">
        <f>(100*(U94-AY94))/AY94</f>
        <v>0</v>
      </c>
      <c r="BX94" s="93">
        <f>(100*(V94-AZ94))/AZ94</f>
        <v>4.5693749066579588E-5</v>
      </c>
      <c r="BY94" s="93">
        <f t="shared" ref="BY94:CE94" si="98">(100*(W94-BA94))/BA94</f>
        <v>0</v>
      </c>
      <c r="BZ94" s="93">
        <f t="shared" si="98"/>
        <v>0</v>
      </c>
      <c r="CA94" s="93">
        <f t="shared" si="98"/>
        <v>-1.0430954901519823E-4</v>
      </c>
      <c r="CB94" s="93">
        <f t="shared" si="98"/>
        <v>0</v>
      </c>
      <c r="CC94" s="93">
        <f t="shared" si="98"/>
        <v>0</v>
      </c>
      <c r="CD94" s="93">
        <f t="shared" si="98"/>
        <v>-7.4352907403536637E-5</v>
      </c>
      <c r="CE94" s="95">
        <f t="shared" si="98"/>
        <v>0</v>
      </c>
    </row>
    <row r="95" spans="1:83" x14ac:dyDescent="0.25">
      <c r="A95" s="118">
        <v>100</v>
      </c>
      <c r="B95" s="1">
        <v>44</v>
      </c>
      <c r="C95" s="1">
        <v>126.727111961459</v>
      </c>
      <c r="D95" s="1">
        <v>55</v>
      </c>
      <c r="E95" s="1">
        <v>116.03491</v>
      </c>
      <c r="F95" s="6">
        <v>129.56551999999999</v>
      </c>
      <c r="G95" s="211" t="s">
        <v>5</v>
      </c>
      <c r="H95" s="406">
        <v>100</v>
      </c>
      <c r="I95" s="347">
        <v>83.78</v>
      </c>
      <c r="J95" s="347">
        <v>66.22</v>
      </c>
      <c r="K95" s="407">
        <v>110</v>
      </c>
      <c r="L95" s="211" t="s">
        <v>21</v>
      </c>
      <c r="M95" s="56">
        <v>9928.16</v>
      </c>
      <c r="N95" s="1">
        <v>325.72699999999998</v>
      </c>
      <c r="O95" s="1">
        <v>3908.73</v>
      </c>
      <c r="P95" s="1">
        <v>99.281599999999997</v>
      </c>
      <c r="Q95" s="1">
        <v>6.1690700000000001E-2</v>
      </c>
      <c r="R95" s="1">
        <v>99281.600000000006</v>
      </c>
      <c r="S95" s="1">
        <v>108.57599999999999</v>
      </c>
      <c r="T95" s="1">
        <v>99281624</v>
      </c>
      <c r="U95" s="1">
        <v>497563739</v>
      </c>
      <c r="V95" s="1">
        <v>4975637</v>
      </c>
      <c r="W95" s="1">
        <v>49756.4</v>
      </c>
      <c r="X95" s="1">
        <v>497.56400000000002</v>
      </c>
      <c r="Y95" s="1">
        <v>771225</v>
      </c>
      <c r="Z95" s="1">
        <v>5355.73</v>
      </c>
      <c r="AA95" s="1">
        <v>4.9756400000000003</v>
      </c>
      <c r="AB95" s="78">
        <v>4.9756399999999999E-2</v>
      </c>
      <c r="AC95" s="6">
        <v>0.122951</v>
      </c>
      <c r="AD95" s="143">
        <v>2</v>
      </c>
      <c r="AE95" s="34">
        <v>100</v>
      </c>
      <c r="AF95" s="2">
        <v>44</v>
      </c>
      <c r="AG95" s="2">
        <v>126.72705000000001</v>
      </c>
      <c r="AH95" s="2">
        <v>55</v>
      </c>
      <c r="AI95" s="2">
        <v>116.03491</v>
      </c>
      <c r="AJ95" s="42">
        <v>129.56551999999999</v>
      </c>
      <c r="AK95" s="19" t="s">
        <v>5</v>
      </c>
      <c r="AL95" s="403">
        <v>100</v>
      </c>
      <c r="AM95" s="307">
        <v>83.778700000000001</v>
      </c>
      <c r="AN95" s="307">
        <v>66.221299999999999</v>
      </c>
      <c r="AO95" s="404">
        <v>110</v>
      </c>
      <c r="AP95" s="19" t="s">
        <v>21</v>
      </c>
      <c r="AQ95" s="34">
        <v>9928.16</v>
      </c>
      <c r="AR95" s="2">
        <f>AE95+AF95+AG95+AH95</f>
        <v>325.72705000000002</v>
      </c>
      <c r="AS95" s="2">
        <v>3908.72</v>
      </c>
      <c r="AT95" s="2">
        <v>99.281599999999997</v>
      </c>
      <c r="AU95" s="2">
        <v>6.1690700000000001E-2</v>
      </c>
      <c r="AV95" s="2">
        <v>99281.600000000006</v>
      </c>
      <c r="AW95" s="2">
        <v>108.57599999999999</v>
      </c>
      <c r="AX95" s="2">
        <v>99281590</v>
      </c>
      <c r="AY95" s="2">
        <v>497563598</v>
      </c>
      <c r="AZ95" s="2">
        <v>4975636</v>
      </c>
      <c r="BA95" s="2">
        <v>49756.4</v>
      </c>
      <c r="BB95" s="2">
        <v>497.56400000000002</v>
      </c>
      <c r="BC95" s="2">
        <v>771225</v>
      </c>
      <c r="BD95" s="2">
        <f>(SQRT(((AE95+AF95+AI95)/2)*((AE95+AF95+AI95)/2-AE95)*((AE95+AF95+AI95)/2-AF95)*((AE95+AF95+AI95)/2-AI95)))+(SQRT(((AG95+AH95+AI95)/2)*((AG95+AH95+AI95)/2-AG95)*((AG95+AH95+AI95)/2-AH95)*((AG95+AH95+AI95)/2-AI95)))</f>
        <v>5355.7313780270033</v>
      </c>
      <c r="BE95" s="2">
        <v>4.9756400000000003</v>
      </c>
      <c r="BF95" s="342">
        <v>4.9756399999999999E-2</v>
      </c>
      <c r="BG95" s="42">
        <v>0.122951</v>
      </c>
      <c r="BH95" s="238" t="s">
        <v>5</v>
      </c>
      <c r="BI95" s="251">
        <f t="shared" ref="BI95:BI135" si="99">(100*(H95-AL95))/AL95</f>
        <v>0</v>
      </c>
      <c r="BJ95" s="73">
        <f t="shared" ref="BJ95:BJ135" si="100">(100*(I95-AM95))/AM95</f>
        <v>1.5517070568062323E-3</v>
      </c>
      <c r="BK95" s="73">
        <f t="shared" ref="BK95:BK101" si="101">(100*(J95-AN95))/AN95</f>
        <v>-1.9631145869992328E-3</v>
      </c>
      <c r="BL95" s="73">
        <f t="shared" ref="BL95:BL101" si="102">(100*(K95-AO95))/AO95</f>
        <v>0</v>
      </c>
      <c r="BM95" s="234">
        <f t="shared" ref="BM95:BM101" si="103">(100*(D95-AH95))/AH95</f>
        <v>0</v>
      </c>
      <c r="BN95" s="238" t="s">
        <v>21</v>
      </c>
      <c r="BO95" s="214">
        <f t="shared" ref="BO95:BO101" si="104">(100*(M95-AQ95))/AQ95</f>
        <v>0</v>
      </c>
      <c r="BP95" s="82">
        <f t="shared" ref="BP95:BP101" si="105">(100*(N95-AR95))/AR95</f>
        <v>-1.5350275650822487E-5</v>
      </c>
      <c r="BQ95" s="82">
        <f t="shared" ref="BQ95:BQ101" si="106">(100*(O95-AS95))/AS95</f>
        <v>2.5583822837702057E-4</v>
      </c>
      <c r="BR95" s="82">
        <f t="shared" ref="BR95:BR101" si="107">(100*(P95-AT95))/AT95</f>
        <v>0</v>
      </c>
      <c r="BS95" s="82">
        <f t="shared" ref="BS95:BS101" si="108">(100*(Q95-AU95))/AU95</f>
        <v>0</v>
      </c>
      <c r="BT95" s="82">
        <f t="shared" ref="BT95:BT101" si="109">(100*(R95-AV95))/AV95</f>
        <v>0</v>
      </c>
      <c r="BU95" s="82">
        <f t="shared" ref="BU95:BU101" si="110">(100*(S95-AW95))/AW95</f>
        <v>0</v>
      </c>
      <c r="BV95" s="82">
        <f t="shared" ref="BV95:BV129" si="111">(100*(T95-AX95))/AX95</f>
        <v>3.4246026881720974E-5</v>
      </c>
      <c r="BW95" s="80">
        <f t="shared" ref="BW95:BW129" si="112">(100*(U95-AY95))/AY95</f>
        <v>2.8338085938513533E-5</v>
      </c>
      <c r="BX95" s="80">
        <f t="shared" ref="BX95:BX101" si="113">(100*(V95-AZ95))/AZ95</f>
        <v>2.0097933208940524E-5</v>
      </c>
      <c r="BY95" s="80">
        <f t="shared" ref="BY95:BY101" si="114">(100*(W95-BA95))/BA95</f>
        <v>0</v>
      </c>
      <c r="BZ95" s="80">
        <f t="shared" ref="BZ95:BZ101" si="115">(100*(X95-BB95))/BB95</f>
        <v>0</v>
      </c>
      <c r="CA95" s="80">
        <f t="shared" ref="CA95:CA101" si="116">(100*(Y95-BC95))/BC95</f>
        <v>0</v>
      </c>
      <c r="CB95" s="80">
        <f t="shared" ref="CB95:CB101" si="117">(100*(Z95-BD95))/BD95</f>
        <v>-2.5729949963366739E-5</v>
      </c>
      <c r="CC95" s="80">
        <f t="shared" ref="CC95:CC101" si="118">(100*(AA95-BE95))/BE95</f>
        <v>0</v>
      </c>
      <c r="CD95" s="80">
        <f t="shared" ref="CD95:CD113" si="119">(100*(AB95-BF95))/BF95</f>
        <v>0</v>
      </c>
      <c r="CE95" s="96">
        <f t="shared" ref="CE95:CE101" si="120">(100*(AC95-BG95))/BG95</f>
        <v>0</v>
      </c>
    </row>
    <row r="96" spans="1:83" x14ac:dyDescent="0.25">
      <c r="A96" s="118">
        <v>50</v>
      </c>
      <c r="B96" s="1">
        <v>77.666349999999994</v>
      </c>
      <c r="C96" s="54">
        <v>82.906237968455898</v>
      </c>
      <c r="D96" s="1">
        <v>60</v>
      </c>
      <c r="E96" s="1">
        <v>44.309060000000002</v>
      </c>
      <c r="F96" s="6">
        <v>104.95191</v>
      </c>
      <c r="G96" s="211" t="s">
        <v>8</v>
      </c>
      <c r="H96" s="406">
        <v>32.25</v>
      </c>
      <c r="I96" s="347">
        <v>81.55</v>
      </c>
      <c r="J96" s="347">
        <v>31.2</v>
      </c>
      <c r="K96" s="407">
        <v>215</v>
      </c>
      <c r="L96" s="211" t="s">
        <v>21</v>
      </c>
      <c r="M96" s="56">
        <v>687.25400000000002</v>
      </c>
      <c r="N96" s="1">
        <v>22.547699999999999</v>
      </c>
      <c r="O96" s="1">
        <v>270.57299999999998</v>
      </c>
      <c r="P96" s="1">
        <v>6.8725399999999999</v>
      </c>
      <c r="Q96" s="1">
        <v>4.2703999999999997E-3</v>
      </c>
      <c r="R96" s="1">
        <v>6872.54</v>
      </c>
      <c r="S96" s="1">
        <v>7.5159099999999999</v>
      </c>
      <c r="T96" s="1">
        <v>6872544</v>
      </c>
      <c r="U96" s="1">
        <v>1499520</v>
      </c>
      <c r="V96" s="1">
        <v>14995.2</v>
      </c>
      <c r="W96" s="1">
        <v>149.952</v>
      </c>
      <c r="X96" s="1">
        <v>1.49952</v>
      </c>
      <c r="Y96" s="1">
        <v>2324.2600000000002</v>
      </c>
      <c r="Z96" s="1">
        <v>16.140699999999999</v>
      </c>
      <c r="AA96" s="49">
        <v>1.49952E-2</v>
      </c>
      <c r="AB96" s="58">
        <v>1.4995199999999999E-4</v>
      </c>
      <c r="AC96" s="579">
        <v>3.7053999999999999E-4</v>
      </c>
      <c r="AD96" s="143">
        <v>3</v>
      </c>
      <c r="AE96" s="34">
        <v>50</v>
      </c>
      <c r="AF96" s="2">
        <v>77.666349999999994</v>
      </c>
      <c r="AG96" s="2">
        <v>82.906030000000001</v>
      </c>
      <c r="AH96" s="2">
        <v>60</v>
      </c>
      <c r="AI96" s="2">
        <v>44.309060000000002</v>
      </c>
      <c r="AJ96" s="42">
        <v>104.95191</v>
      </c>
      <c r="AK96" s="19" t="s">
        <v>8</v>
      </c>
      <c r="AL96" s="403">
        <v>32.245699999999999</v>
      </c>
      <c r="AM96" s="307">
        <v>81.558000000000007</v>
      </c>
      <c r="AN96" s="307">
        <v>31.196300000000001</v>
      </c>
      <c r="AO96" s="404">
        <v>215</v>
      </c>
      <c r="AP96" s="19" t="s">
        <v>21</v>
      </c>
      <c r="AQ96" s="34">
        <v>687.25300000000004</v>
      </c>
      <c r="AR96" s="2">
        <v>22.547699999999999</v>
      </c>
      <c r="AS96" s="2">
        <f>AE96+AF96+AG96+AH96</f>
        <v>270.57238000000001</v>
      </c>
      <c r="AT96" s="2">
        <v>6.8725300000000002</v>
      </c>
      <c r="AU96" s="2">
        <v>4.2703899999999998E-3</v>
      </c>
      <c r="AV96" s="2">
        <v>6872.53</v>
      </c>
      <c r="AW96" s="2">
        <v>7.5158899999999997</v>
      </c>
      <c r="AX96" s="2">
        <v>6872529</v>
      </c>
      <c r="AY96" s="340">
        <v>1499520</v>
      </c>
      <c r="AZ96" s="26">
        <v>14995.2</v>
      </c>
      <c r="BA96" s="2">
        <v>149.952</v>
      </c>
      <c r="BB96" s="2">
        <v>1.49952</v>
      </c>
      <c r="BC96" s="2">
        <f>(SQRT(((AE96+AF96+AI96)/2)*((AE96+AF96+AI96)/2-AE96)*((AE96+AF96+AI96)/2-AF96)*((AE96+AF96+AI96)/2-AI96)))+(SQRT(((AG96+AH96+AI96)/2)*((AG96+AH96+AI96)/2-AG96)*((AG96+AH96+AI96)/2-AH96)*((AG96+AH96+AI96)/2-AI96)))</f>
        <v>2324.2633524631156</v>
      </c>
      <c r="BD96" s="2">
        <v>16.140699999999999</v>
      </c>
      <c r="BE96" s="342">
        <v>1.49952E-2</v>
      </c>
      <c r="BF96" s="309">
        <v>1.4995199999999999E-4</v>
      </c>
      <c r="BG96" s="188">
        <v>3.7053900000000002E-4</v>
      </c>
      <c r="BH96" s="238" t="s">
        <v>8</v>
      </c>
      <c r="BI96" s="251">
        <f>(100*(H96-AL96))/AL96</f>
        <v>1.3335111348181732E-2</v>
      </c>
      <c r="BJ96" s="73">
        <f t="shared" si="100"/>
        <v>-9.8089703033543939E-3</v>
      </c>
      <c r="BK96" s="73">
        <f t="shared" si="101"/>
        <v>1.1860380878496751E-2</v>
      </c>
      <c r="BL96" s="73">
        <f t="shared" si="102"/>
        <v>0</v>
      </c>
      <c r="BM96" s="234">
        <f t="shared" si="103"/>
        <v>0</v>
      </c>
      <c r="BN96" s="238" t="s">
        <v>21</v>
      </c>
      <c r="BO96" s="214">
        <f t="shared" si="104"/>
        <v>1.4550682208391277E-4</v>
      </c>
      <c r="BP96" s="82">
        <f t="shared" si="105"/>
        <v>0</v>
      </c>
      <c r="BQ96" s="82">
        <f t="shared" si="106"/>
        <v>2.2914386160532082E-4</v>
      </c>
      <c r="BR96" s="82">
        <f t="shared" si="107"/>
        <v>1.4550682208184501E-4</v>
      </c>
      <c r="BS96" s="82">
        <f t="shared" si="108"/>
        <v>2.341706495177399E-4</v>
      </c>
      <c r="BT96" s="82">
        <f t="shared" si="109"/>
        <v>1.4550682209052968E-4</v>
      </c>
      <c r="BU96" s="82">
        <f t="shared" si="110"/>
        <v>2.661028833595359E-4</v>
      </c>
      <c r="BV96" s="82">
        <f t="shared" si="111"/>
        <v>2.1826026488938789E-4</v>
      </c>
      <c r="BW96" s="80">
        <f t="shared" si="112"/>
        <v>0</v>
      </c>
      <c r="BX96" s="80">
        <f t="shared" si="113"/>
        <v>0</v>
      </c>
      <c r="BY96" s="80">
        <f t="shared" si="114"/>
        <v>0</v>
      </c>
      <c r="BZ96" s="80">
        <f t="shared" si="115"/>
        <v>0</v>
      </c>
      <c r="CA96" s="80">
        <f t="shared" si="116"/>
        <v>-1.4423766187172219E-4</v>
      </c>
      <c r="CB96" s="80">
        <f t="shared" si="117"/>
        <v>0</v>
      </c>
      <c r="CC96" s="80">
        <f t="shared" si="118"/>
        <v>0</v>
      </c>
      <c r="CD96" s="80">
        <f t="shared" si="119"/>
        <v>0</v>
      </c>
      <c r="CE96" s="96">
        <f t="shared" si="120"/>
        <v>2.6987712493463172E-4</v>
      </c>
    </row>
    <row r="97" spans="1:83" x14ac:dyDescent="0.25">
      <c r="A97" s="118">
        <v>77</v>
      </c>
      <c r="B97" s="1">
        <v>65</v>
      </c>
      <c r="C97" s="1">
        <v>76.999978457766602</v>
      </c>
      <c r="D97" s="1">
        <v>65</v>
      </c>
      <c r="E97" s="1">
        <v>116.52303999999999</v>
      </c>
      <c r="F97" s="6">
        <v>82.038880000000006</v>
      </c>
      <c r="G97" s="211" t="s">
        <v>4</v>
      </c>
      <c r="H97" s="406">
        <v>70</v>
      </c>
      <c r="I97" s="347">
        <v>110</v>
      </c>
      <c r="J97" s="347">
        <v>70</v>
      </c>
      <c r="K97" s="407">
        <v>110</v>
      </c>
      <c r="L97" s="211" t="s">
        <v>21</v>
      </c>
      <c r="M97" s="56">
        <v>28400</v>
      </c>
      <c r="N97" s="1">
        <v>931.75800000000004</v>
      </c>
      <c r="O97" s="1">
        <v>11181.1</v>
      </c>
      <c r="P97" s="1">
        <v>284</v>
      </c>
      <c r="Q97" s="1">
        <v>0.17646899999999999</v>
      </c>
      <c r="R97" s="1">
        <v>284000</v>
      </c>
      <c r="S97" s="1">
        <v>310.58600000000001</v>
      </c>
      <c r="T97" s="1">
        <v>283999978</v>
      </c>
      <c r="U97" s="1">
        <v>4703161027</v>
      </c>
      <c r="V97" s="1">
        <v>47031610</v>
      </c>
      <c r="W97" s="1">
        <v>470316</v>
      </c>
      <c r="X97" s="1">
        <v>4703.16</v>
      </c>
      <c r="Y97" s="1">
        <v>7289914</v>
      </c>
      <c r="Z97" s="1">
        <v>50624.4</v>
      </c>
      <c r="AA97" s="1">
        <v>47.031599999999997</v>
      </c>
      <c r="AB97" s="1">
        <v>0.47031600000000001</v>
      </c>
      <c r="AC97" s="6">
        <v>1.16218</v>
      </c>
      <c r="AD97" s="143">
        <v>4</v>
      </c>
      <c r="AE97" s="34">
        <v>77</v>
      </c>
      <c r="AF97" s="2">
        <v>65</v>
      </c>
      <c r="AG97" s="2">
        <v>77</v>
      </c>
      <c r="AH97" s="2">
        <v>65</v>
      </c>
      <c r="AI97" s="2">
        <v>116.52303999999999</v>
      </c>
      <c r="AJ97" s="42">
        <v>82.038880000000006</v>
      </c>
      <c r="AK97" s="19" t="s">
        <v>4</v>
      </c>
      <c r="AL97" s="403">
        <v>70</v>
      </c>
      <c r="AM97" s="307">
        <v>110</v>
      </c>
      <c r="AN97" s="307">
        <v>70</v>
      </c>
      <c r="AO97" s="404">
        <v>110</v>
      </c>
      <c r="AP97" s="19" t="s">
        <v>21</v>
      </c>
      <c r="AQ97" s="34">
        <v>28400</v>
      </c>
      <c r="AR97" s="2">
        <v>931.75900000000001</v>
      </c>
      <c r="AS97" s="2">
        <v>11181.1</v>
      </c>
      <c r="AT97" s="2">
        <f>AE97+AF97+AG97+AH97</f>
        <v>284</v>
      </c>
      <c r="AU97" s="2">
        <v>0.17646899999999999</v>
      </c>
      <c r="AV97" s="2">
        <v>284000</v>
      </c>
      <c r="AW97" s="2">
        <v>310.58600000000001</v>
      </c>
      <c r="AX97" s="2">
        <v>284000000</v>
      </c>
      <c r="AY97" s="29">
        <v>4703160000</v>
      </c>
      <c r="AZ97" s="29">
        <v>47031600</v>
      </c>
      <c r="BA97" s="29">
        <v>470316</v>
      </c>
      <c r="BB97" s="2">
        <f>((SQRT(((AE97+AF97+AI97)/2)*((AE97+AF97+AI97)/2-AE97)*((AE97+AF97+AI97)/2-AF97)*((AE97+AF97+AI97)/2-AI97)))+(SQRT(((AG97+AH97+AI97)/2)*((AG97+AH97+AI97)/2-AG97)*((AG97+AH97+AI97)/2-AH97)*((AG97+AH97+AI97)/2-AI97))))</f>
        <v>4703.1620736522027</v>
      </c>
      <c r="BC97" s="29">
        <v>7289913</v>
      </c>
      <c r="BD97" s="29">
        <v>50624.4</v>
      </c>
      <c r="BE97" s="2">
        <v>47.031599999999997</v>
      </c>
      <c r="BF97" s="2">
        <v>0.47031600000000001</v>
      </c>
      <c r="BG97" s="42">
        <v>1.16218</v>
      </c>
      <c r="BH97" s="238" t="s">
        <v>4</v>
      </c>
      <c r="BI97" s="251">
        <f>(100*(H97-AL97))/AL97</f>
        <v>0</v>
      </c>
      <c r="BJ97" s="73">
        <f t="shared" si="100"/>
        <v>0</v>
      </c>
      <c r="BK97" s="73">
        <f t="shared" si="101"/>
        <v>0</v>
      </c>
      <c r="BL97" s="73">
        <f t="shared" si="102"/>
        <v>0</v>
      </c>
      <c r="BM97" s="234">
        <f t="shared" si="103"/>
        <v>0</v>
      </c>
      <c r="BN97" s="238" t="s">
        <v>21</v>
      </c>
      <c r="BO97" s="214">
        <f t="shared" si="104"/>
        <v>0</v>
      </c>
      <c r="BP97" s="82">
        <f t="shared" si="105"/>
        <v>-1.0732388954400795E-4</v>
      </c>
      <c r="BQ97" s="82">
        <f t="shared" si="106"/>
        <v>0</v>
      </c>
      <c r="BR97" s="82">
        <f t="shared" si="107"/>
        <v>0</v>
      </c>
      <c r="BS97" s="82">
        <f t="shared" si="108"/>
        <v>0</v>
      </c>
      <c r="BT97" s="82">
        <f t="shared" si="109"/>
        <v>0</v>
      </c>
      <c r="BU97" s="82">
        <f t="shared" si="110"/>
        <v>0</v>
      </c>
      <c r="BV97" s="82">
        <f t="shared" si="111"/>
        <v>-7.7464788732394361E-6</v>
      </c>
      <c r="BW97" s="80">
        <f t="shared" si="112"/>
        <v>2.1836382347187848E-5</v>
      </c>
      <c r="BX97" s="80">
        <f t="shared" si="113"/>
        <v>2.1262300240689238E-5</v>
      </c>
      <c r="BY97" s="80">
        <f t="shared" si="114"/>
        <v>0</v>
      </c>
      <c r="BZ97" s="80">
        <f t="shared" si="115"/>
        <v>-4.4090596292008053E-5</v>
      </c>
      <c r="CA97" s="80">
        <f t="shared" si="116"/>
        <v>1.3717584832631061E-5</v>
      </c>
      <c r="CB97" s="80">
        <f t="shared" si="117"/>
        <v>0</v>
      </c>
      <c r="CC97" s="80">
        <f t="shared" si="118"/>
        <v>0</v>
      </c>
      <c r="CD97" s="80">
        <f t="shared" si="119"/>
        <v>0</v>
      </c>
      <c r="CE97" s="96">
        <f t="shared" si="120"/>
        <v>0</v>
      </c>
    </row>
    <row r="98" spans="1:83" x14ac:dyDescent="0.25">
      <c r="A98" s="118">
        <v>50</v>
      </c>
      <c r="B98" s="1">
        <v>100</v>
      </c>
      <c r="C98" s="54">
        <v>89.490138405261803</v>
      </c>
      <c r="D98" s="1">
        <v>40</v>
      </c>
      <c r="E98" s="1">
        <v>55.705260000000003</v>
      </c>
      <c r="F98" s="6">
        <v>58.355899999999998</v>
      </c>
      <c r="G98" s="211" t="s">
        <v>10</v>
      </c>
      <c r="H98" s="406">
        <v>20</v>
      </c>
      <c r="I98" s="347">
        <v>35.32</v>
      </c>
      <c r="J98" s="347">
        <v>24.68</v>
      </c>
      <c r="K98" s="407">
        <v>280</v>
      </c>
      <c r="L98" s="211" t="s">
        <v>21</v>
      </c>
      <c r="M98" s="575">
        <v>44979578</v>
      </c>
      <c r="N98" s="1">
        <v>1475708</v>
      </c>
      <c r="O98" s="1">
        <v>17708495</v>
      </c>
      <c r="P98" s="1">
        <v>449796</v>
      </c>
      <c r="Q98" s="1">
        <v>279.49</v>
      </c>
      <c r="R98" s="1">
        <v>449795777</v>
      </c>
      <c r="S98" s="1">
        <v>491903</v>
      </c>
      <c r="T98" s="1">
        <v>449795777302</v>
      </c>
      <c r="U98" s="59">
        <v>4149925187179280</v>
      </c>
      <c r="V98" s="59">
        <v>41499251871793</v>
      </c>
      <c r="W98" s="1">
        <v>414992518718</v>
      </c>
      <c r="X98" s="1">
        <v>4149925187</v>
      </c>
      <c r="Y98" s="1">
        <v>6432396904922</v>
      </c>
      <c r="Z98" s="1">
        <v>44669422951</v>
      </c>
      <c r="AA98" s="1">
        <v>41499252</v>
      </c>
      <c r="AB98" s="1">
        <v>414993</v>
      </c>
      <c r="AC98" s="6">
        <v>1025469</v>
      </c>
      <c r="AD98" s="143">
        <v>5</v>
      </c>
      <c r="AE98" s="34">
        <v>50</v>
      </c>
      <c r="AF98" s="2">
        <v>100</v>
      </c>
      <c r="AG98" s="2">
        <v>89.49015</v>
      </c>
      <c r="AH98" s="2">
        <v>40</v>
      </c>
      <c r="AI98" s="2">
        <v>55.705260000000003</v>
      </c>
      <c r="AJ98" s="42">
        <v>58.355899999999998</v>
      </c>
      <c r="AK98" s="19" t="s">
        <v>10</v>
      </c>
      <c r="AL98" s="403">
        <v>20</v>
      </c>
      <c r="AM98" s="307">
        <v>35.323099999999997</v>
      </c>
      <c r="AN98" s="307">
        <v>24.6769</v>
      </c>
      <c r="AO98" s="404">
        <v>280</v>
      </c>
      <c r="AP98" s="19" t="s">
        <v>21</v>
      </c>
      <c r="AQ98" s="34">
        <v>44979555</v>
      </c>
      <c r="AR98" s="2">
        <v>1475707</v>
      </c>
      <c r="AS98" s="2">
        <v>17708486</v>
      </c>
      <c r="AT98" s="2">
        <v>449796</v>
      </c>
      <c r="AU98" s="2">
        <f>AE98+AF98+AG98+AH98</f>
        <v>279.49014999999997</v>
      </c>
      <c r="AV98" s="2">
        <v>449795555</v>
      </c>
      <c r="AW98" s="2">
        <v>491902</v>
      </c>
      <c r="AX98" s="29">
        <v>449795554560</v>
      </c>
      <c r="AY98" s="29">
        <v>4149923701000000</v>
      </c>
      <c r="AZ98" s="29">
        <v>41499237010000</v>
      </c>
      <c r="BA98" s="29">
        <v>414992370100</v>
      </c>
      <c r="BB98" s="2">
        <f>((SQRT(((AE98+AF98+AI98)/2)*((AE98+AF98+AI98)/2-AE98)*((AE98+AF98+AI98)/2-AF98)*((AE98+AF98+AI98)/2-AI98)))+(SQRT(((AG98+AH98+AI98)/2)*((AG98+AH98+AI98)/2-AG98)*((AG98+AH98+AI98)/2-AH98)*((AG98+AH98+AI98)/2-AI98))))*1609.344*1609.344</f>
        <v>4149923701.2181191</v>
      </c>
      <c r="BC98" s="29">
        <v>6432394601339</v>
      </c>
      <c r="BD98" s="2">
        <v>44669406954</v>
      </c>
      <c r="BE98" s="2">
        <v>41499237</v>
      </c>
      <c r="BF98" s="2">
        <v>414992</v>
      </c>
      <c r="BG98" s="42">
        <v>1025468</v>
      </c>
      <c r="BH98" s="238" t="s">
        <v>10</v>
      </c>
      <c r="BI98" s="251">
        <f t="shared" si="99"/>
        <v>0</v>
      </c>
      <c r="BJ98" s="73">
        <f t="shared" si="100"/>
        <v>-8.7761266706385573E-3</v>
      </c>
      <c r="BK98" s="73">
        <f t="shared" si="101"/>
        <v>1.2562355887489437E-2</v>
      </c>
      <c r="BL98" s="73">
        <f t="shared" si="102"/>
        <v>0</v>
      </c>
      <c r="BM98" s="234">
        <f t="shared" si="103"/>
        <v>0</v>
      </c>
      <c r="BN98" s="238" t="s">
        <v>21</v>
      </c>
      <c r="BO98" s="214">
        <f t="shared" si="104"/>
        <v>5.1134343147681204E-5</v>
      </c>
      <c r="BP98" s="82">
        <f t="shared" si="105"/>
        <v>6.7764129329196112E-5</v>
      </c>
      <c r="BQ98" s="82">
        <f t="shared" si="106"/>
        <v>5.0823091256926201E-5</v>
      </c>
      <c r="BR98" s="82">
        <f t="shared" si="107"/>
        <v>0</v>
      </c>
      <c r="BS98" s="82">
        <f t="shared" si="108"/>
        <v>-5.3669154337763582E-5</v>
      </c>
      <c r="BT98" s="82">
        <f t="shared" si="109"/>
        <v>4.9355756750419643E-5</v>
      </c>
      <c r="BU98" s="82">
        <f t="shared" si="110"/>
        <v>2.0329252574699839E-4</v>
      </c>
      <c r="BV98" s="82">
        <f t="shared" si="111"/>
        <v>4.952072063448719E-5</v>
      </c>
      <c r="BW98" s="80">
        <f t="shared" si="112"/>
        <v>3.5812207333881294E-5</v>
      </c>
      <c r="BX98" s="80">
        <f t="shared" si="113"/>
        <v>3.5812207815817867E-5</v>
      </c>
      <c r="BY98" s="80">
        <f t="shared" si="114"/>
        <v>3.581222468359786E-5</v>
      </c>
      <c r="BZ98" s="80">
        <f t="shared" si="115"/>
        <v>3.5802631272942239E-5</v>
      </c>
      <c r="CA98" s="80">
        <f t="shared" si="116"/>
        <v>3.5812215244389304E-5</v>
      </c>
      <c r="CB98" s="80">
        <f t="shared" si="117"/>
        <v>3.5811982049534507E-5</v>
      </c>
      <c r="CC98" s="80">
        <f t="shared" si="118"/>
        <v>3.6145242863139871E-5</v>
      </c>
      <c r="CD98" s="80">
        <f t="shared" si="119"/>
        <v>2.4096850059760188E-4</v>
      </c>
      <c r="CE98" s="96">
        <f t="shared" si="120"/>
        <v>9.7516451025287965E-5</v>
      </c>
    </row>
    <row r="99" spans="1:83" x14ac:dyDescent="0.25">
      <c r="A99" s="118">
        <v>149.71453</v>
      </c>
      <c r="B99" s="1">
        <v>45</v>
      </c>
      <c r="C99" s="1">
        <v>72</v>
      </c>
      <c r="D99" s="1">
        <v>65</v>
      </c>
      <c r="E99" s="1">
        <v>124.1994</v>
      </c>
      <c r="F99" s="6">
        <v>110.33123000000001</v>
      </c>
      <c r="G99" s="211" t="s">
        <v>6</v>
      </c>
      <c r="H99" s="406">
        <v>48.012099999999997</v>
      </c>
      <c r="I99" s="347">
        <v>140</v>
      </c>
      <c r="J99" s="347">
        <v>130</v>
      </c>
      <c r="K99" s="407">
        <v>41.99</v>
      </c>
      <c r="L99" s="211" t="s">
        <v>21</v>
      </c>
      <c r="M99" s="56">
        <v>33.171500000000002</v>
      </c>
      <c r="N99" s="1">
        <v>1.0883</v>
      </c>
      <c r="O99" s="1">
        <v>13.0596</v>
      </c>
      <c r="P99" s="1">
        <v>0.33171499999999998</v>
      </c>
      <c r="Q99" s="316">
        <v>2.0611800000000001E-4</v>
      </c>
      <c r="R99" s="1">
        <v>331.71499999999997</v>
      </c>
      <c r="S99" s="1">
        <v>0.36276799999999998</v>
      </c>
      <c r="T99" s="1">
        <v>331715</v>
      </c>
      <c r="U99" s="348">
        <v>4296.37</v>
      </c>
      <c r="V99" s="347">
        <v>42.963700000000003</v>
      </c>
      <c r="W99" s="315">
        <v>0.42963699999999999</v>
      </c>
      <c r="X99" s="326">
        <v>4.2963699999999999E-3</v>
      </c>
      <c r="Y99" s="78">
        <v>6.6593799999999996</v>
      </c>
      <c r="Z99" s="78">
        <v>4.6245700000000001E-2</v>
      </c>
      <c r="AA99" s="49">
        <v>4.2963677822271301E-5</v>
      </c>
      <c r="AB99" s="58">
        <v>4.2963677822271401E-7</v>
      </c>
      <c r="AC99" s="579">
        <v>1.06165559975048E-6</v>
      </c>
      <c r="AD99" s="143">
        <v>6</v>
      </c>
      <c r="AE99" s="34">
        <v>149.71453</v>
      </c>
      <c r="AF99" s="2">
        <v>45</v>
      </c>
      <c r="AG99" s="2">
        <v>72</v>
      </c>
      <c r="AH99" s="2">
        <v>65</v>
      </c>
      <c r="AI99" s="2">
        <v>124.1994</v>
      </c>
      <c r="AJ99" s="42">
        <v>110.33123000000001</v>
      </c>
      <c r="AK99" s="19" t="s">
        <v>6</v>
      </c>
      <c r="AL99" s="403">
        <v>48.012099999999997</v>
      </c>
      <c r="AM99" s="307">
        <v>140</v>
      </c>
      <c r="AN99" s="307">
        <v>130</v>
      </c>
      <c r="AO99" s="404">
        <v>41.987900000000003</v>
      </c>
      <c r="AP99" s="19" t="s">
        <v>21</v>
      </c>
      <c r="AQ99" s="34">
        <v>33.171500000000002</v>
      </c>
      <c r="AR99" s="2">
        <v>1.0883</v>
      </c>
      <c r="AS99" s="2">
        <v>13.0596</v>
      </c>
      <c r="AT99" s="2">
        <v>0.33171499999999998</v>
      </c>
      <c r="AU99" s="302">
        <v>2.0611800000000001E-4</v>
      </c>
      <c r="AV99" s="2">
        <f>AE99+AF99+AG99+AH99</f>
        <v>331.71452999999997</v>
      </c>
      <c r="AW99" s="2">
        <v>0.36276799999999998</v>
      </c>
      <c r="AX99" s="2">
        <v>331715</v>
      </c>
      <c r="AY99" s="2">
        <f>(SQRT(((AE99+AF99+AI99)/2)*((AE99+AF99+AI99)/2-AE99)*((AE99+AF99+AI99)/2-AF99)*((AE99+AF99+AI99)/2-AI99)))+(SQRT(((AG99+AH99+AI99)/2)*((AG99+AH99+AI99)/2-AG99)*((AG99+AH99+AI99)/2-AH99)*((AG99+AH99+AI99)/2-AI99)))</f>
        <v>4296.3623276832368</v>
      </c>
      <c r="AZ99" s="2">
        <v>42.9636</v>
      </c>
      <c r="BA99" s="2">
        <v>0.42963600000000002</v>
      </c>
      <c r="BB99" s="23">
        <v>4.2963599999999999E-3</v>
      </c>
      <c r="BC99" s="2">
        <v>6.65937</v>
      </c>
      <c r="BD99" s="342">
        <v>4.6245599999999998E-2</v>
      </c>
      <c r="BE99" s="323">
        <v>4.2963600000000003E-5</v>
      </c>
      <c r="BF99" s="360">
        <v>4.2963600000000002E-7</v>
      </c>
      <c r="BG99" s="43">
        <v>1.06165367672027E-6</v>
      </c>
      <c r="BH99" s="238" t="s">
        <v>6</v>
      </c>
      <c r="BI99" s="251">
        <f t="shared" si="99"/>
        <v>0</v>
      </c>
      <c r="BJ99" s="73">
        <f t="shared" si="100"/>
        <v>0</v>
      </c>
      <c r="BK99" s="73">
        <f t="shared" si="101"/>
        <v>0</v>
      </c>
      <c r="BL99" s="73">
        <f t="shared" si="102"/>
        <v>5.0014408913012041E-3</v>
      </c>
      <c r="BM99" s="234">
        <f t="shared" si="103"/>
        <v>0</v>
      </c>
      <c r="BN99" s="238" t="s">
        <v>21</v>
      </c>
      <c r="BO99" s="214">
        <f t="shared" si="104"/>
        <v>0</v>
      </c>
      <c r="BP99" s="82">
        <f t="shared" si="105"/>
        <v>0</v>
      </c>
      <c r="BQ99" s="82">
        <f t="shared" si="106"/>
        <v>0</v>
      </c>
      <c r="BR99" s="82">
        <f t="shared" si="107"/>
        <v>0</v>
      </c>
      <c r="BS99" s="82">
        <f t="shared" si="108"/>
        <v>0</v>
      </c>
      <c r="BT99" s="82">
        <f t="shared" si="109"/>
        <v>1.4168809548592155E-4</v>
      </c>
      <c r="BU99" s="82">
        <f t="shared" si="110"/>
        <v>0</v>
      </c>
      <c r="BV99" s="82">
        <f t="shared" si="111"/>
        <v>0</v>
      </c>
      <c r="BW99" s="80">
        <f t="shared" si="112"/>
        <v>1.7857704210968783E-4</v>
      </c>
      <c r="BX99" s="80">
        <f t="shared" si="113"/>
        <v>2.3275516950004111E-4</v>
      </c>
      <c r="BY99" s="80">
        <f t="shared" si="114"/>
        <v>2.3275516948608694E-4</v>
      </c>
      <c r="BZ99" s="80">
        <f t="shared" si="115"/>
        <v>2.3275516949093213E-4</v>
      </c>
      <c r="CA99" s="80">
        <f t="shared" si="116"/>
        <v>1.5016435488073832E-4</v>
      </c>
      <c r="CB99" s="80">
        <f t="shared" si="117"/>
        <v>2.1623678793847539E-4</v>
      </c>
      <c r="CC99" s="80">
        <f t="shared" si="118"/>
        <v>1.8113535946318591E-4</v>
      </c>
      <c r="CD99" s="80">
        <f t="shared" si="119"/>
        <v>1.8113535969730308E-4</v>
      </c>
      <c r="CE99" s="96">
        <f t="shared" si="120"/>
        <v>1.8113536006278985E-4</v>
      </c>
    </row>
    <row r="100" spans="1:83" x14ac:dyDescent="0.25">
      <c r="A100" s="118">
        <v>95</v>
      </c>
      <c r="B100" s="1">
        <v>35</v>
      </c>
      <c r="C100" s="1">
        <v>25</v>
      </c>
      <c r="D100" s="1">
        <v>88.358099999999993</v>
      </c>
      <c r="E100" s="1">
        <v>86.252989999999997</v>
      </c>
      <c r="F100" s="6">
        <v>60</v>
      </c>
      <c r="G100" s="211" t="s">
        <v>7</v>
      </c>
      <c r="H100" s="406">
        <v>65</v>
      </c>
      <c r="I100" s="347">
        <v>180</v>
      </c>
      <c r="J100" s="347">
        <v>77.02</v>
      </c>
      <c r="K100" s="407">
        <v>37.979999999999997</v>
      </c>
      <c r="L100" s="211" t="s">
        <v>21</v>
      </c>
      <c r="M100" s="56">
        <v>22252.7</v>
      </c>
      <c r="N100" s="1">
        <v>730.07399999999996</v>
      </c>
      <c r="O100" s="1">
        <v>8760.89</v>
      </c>
      <c r="P100" s="1">
        <v>222.52699999999999</v>
      </c>
      <c r="Q100" s="1">
        <v>0.13827200000000001</v>
      </c>
      <c r="R100" s="1">
        <v>222527</v>
      </c>
      <c r="S100" s="1">
        <v>243.358</v>
      </c>
      <c r="T100" s="1">
        <v>222526647</v>
      </c>
      <c r="U100" s="1">
        <v>2159696430</v>
      </c>
      <c r="V100" s="1">
        <v>21596964</v>
      </c>
      <c r="W100" s="1">
        <v>215970</v>
      </c>
      <c r="X100" s="1">
        <v>2159.6999999999998</v>
      </c>
      <c r="Y100" s="1">
        <v>3347536</v>
      </c>
      <c r="Z100" s="1">
        <v>23246.799999999999</v>
      </c>
      <c r="AA100" s="1">
        <v>21.597000000000001</v>
      </c>
      <c r="AB100" s="1">
        <v>0.21597</v>
      </c>
      <c r="AC100" s="6">
        <v>0.53367299999999995</v>
      </c>
      <c r="AD100" s="143">
        <v>7</v>
      </c>
      <c r="AE100" s="34">
        <v>95</v>
      </c>
      <c r="AF100" s="2">
        <v>35</v>
      </c>
      <c r="AG100" s="2">
        <v>25</v>
      </c>
      <c r="AH100" s="2">
        <v>88.358099999999993</v>
      </c>
      <c r="AI100" s="2">
        <v>86.252989999999997</v>
      </c>
      <c r="AJ100" s="42">
        <v>60</v>
      </c>
      <c r="AK100" s="19" t="s">
        <v>7</v>
      </c>
      <c r="AL100" s="403">
        <v>65</v>
      </c>
      <c r="AM100" s="307">
        <v>180</v>
      </c>
      <c r="AN100" s="307">
        <v>77.016599999999997</v>
      </c>
      <c r="AO100" s="404">
        <v>37.983400000000003</v>
      </c>
      <c r="AP100" s="19" t="s">
        <v>21</v>
      </c>
      <c r="AQ100" s="34">
        <v>22252.7</v>
      </c>
      <c r="AR100" s="2">
        <v>730.07399999999996</v>
      </c>
      <c r="AS100" s="2">
        <v>8760.89</v>
      </c>
      <c r="AT100" s="2">
        <v>222.52699999999999</v>
      </c>
      <c r="AU100" s="2">
        <v>0.13827200000000001</v>
      </c>
      <c r="AV100" s="2">
        <v>222527</v>
      </c>
      <c r="AW100" s="2">
        <f>AE100+AF100+AG100+AH100</f>
        <v>243.35809999999998</v>
      </c>
      <c r="AX100" s="2">
        <v>222526555</v>
      </c>
      <c r="AY100" s="2">
        <v>2159700000</v>
      </c>
      <c r="AZ100" s="2">
        <v>21597000</v>
      </c>
      <c r="BA100" s="2">
        <v>215970</v>
      </c>
      <c r="BB100" s="2">
        <f>((SQRT(((AE100+AF100+AI100)/2)*((AE100+AF100+AI100)/2-AE100)*((AE100+AF100+AI100)/2-AF100)*((AE100+AF100+AI100)/2-AI100)))+(SQRT(((AG100+AH100+AI100)/2)*((AG100+AH100+AI100)/2-AG100)*((AG100+AH100+AI100)/2-AH100)*((AG100+AH100+AI100)/2-AI100))))*0.9144*0.9144</f>
        <v>2159.6964297961986</v>
      </c>
      <c r="BC100" s="2">
        <v>3347542</v>
      </c>
      <c r="BD100" s="2">
        <v>23246.799999999999</v>
      </c>
      <c r="BE100" s="2">
        <v>21.597000000000001</v>
      </c>
      <c r="BF100" s="2">
        <v>0.21597</v>
      </c>
      <c r="BG100" s="42">
        <v>0.53367299999999995</v>
      </c>
      <c r="BH100" s="238" t="s">
        <v>7</v>
      </c>
      <c r="BI100" s="251">
        <f t="shared" si="99"/>
        <v>0</v>
      </c>
      <c r="BJ100" s="73">
        <f t="shared" si="100"/>
        <v>0</v>
      </c>
      <c r="BK100" s="73">
        <f t="shared" si="101"/>
        <v>4.4146326895749509E-3</v>
      </c>
      <c r="BL100" s="73">
        <f t="shared" si="102"/>
        <v>-8.9512787165084914E-3</v>
      </c>
      <c r="BM100" s="234">
        <f t="shared" si="103"/>
        <v>0</v>
      </c>
      <c r="BN100" s="238" t="s">
        <v>21</v>
      </c>
      <c r="BO100" s="214">
        <f t="shared" si="104"/>
        <v>0</v>
      </c>
      <c r="BP100" s="82">
        <f t="shared" si="105"/>
        <v>0</v>
      </c>
      <c r="BQ100" s="82">
        <f t="shared" si="106"/>
        <v>0</v>
      </c>
      <c r="BR100" s="82">
        <f t="shared" si="107"/>
        <v>0</v>
      </c>
      <c r="BS100" s="82">
        <f t="shared" si="108"/>
        <v>0</v>
      </c>
      <c r="BT100" s="82">
        <f t="shared" si="109"/>
        <v>0</v>
      </c>
      <c r="BU100" s="82">
        <f t="shared" si="110"/>
        <v>-4.1091708052823374E-5</v>
      </c>
      <c r="BV100" s="82">
        <f t="shared" si="111"/>
        <v>4.1343380343977376E-5</v>
      </c>
      <c r="BW100" s="80">
        <f t="shared" si="112"/>
        <v>-1.6530073621336296E-4</v>
      </c>
      <c r="BX100" s="80">
        <f t="shared" si="113"/>
        <v>-1.6668981803028197E-4</v>
      </c>
      <c r="BY100" s="80">
        <f t="shared" si="114"/>
        <v>0</v>
      </c>
      <c r="BZ100" s="80">
        <f t="shared" si="115"/>
        <v>1.6531044604184753E-4</v>
      </c>
      <c r="CA100" s="80">
        <f t="shared" si="116"/>
        <v>-1.7923598867467533E-4</v>
      </c>
      <c r="CB100" s="80">
        <f t="shared" si="117"/>
        <v>0</v>
      </c>
      <c r="CC100" s="80">
        <f t="shared" si="118"/>
        <v>0</v>
      </c>
      <c r="CD100" s="80">
        <f t="shared" si="119"/>
        <v>0</v>
      </c>
      <c r="CE100" s="96">
        <f t="shared" si="120"/>
        <v>0</v>
      </c>
    </row>
    <row r="101" spans="1:83" x14ac:dyDescent="0.25">
      <c r="A101" s="118">
        <v>56</v>
      </c>
      <c r="B101" s="1">
        <v>55</v>
      </c>
      <c r="C101" s="1">
        <v>101</v>
      </c>
      <c r="D101" s="1">
        <v>71.063320000000004</v>
      </c>
      <c r="E101" s="1">
        <v>78.492069999999998</v>
      </c>
      <c r="F101" s="6">
        <v>115.00433</v>
      </c>
      <c r="G101" s="211" t="s">
        <v>20</v>
      </c>
      <c r="H101" s="406">
        <v>90</v>
      </c>
      <c r="I101" s="347">
        <v>90</v>
      </c>
      <c r="J101" s="347">
        <v>50.71</v>
      </c>
      <c r="K101" s="407">
        <v>129.29</v>
      </c>
      <c r="L101" s="211" t="s">
        <v>21</v>
      </c>
      <c r="M101" s="56">
        <v>2.83063E-2</v>
      </c>
      <c r="N101" s="316">
        <v>9.2868599999999996E-4</v>
      </c>
      <c r="O101" s="1">
        <v>1.11442E-2</v>
      </c>
      <c r="P101" s="316">
        <v>2.8306300000000001E-4</v>
      </c>
      <c r="Q101" s="58">
        <v>1.75887423264056E-7</v>
      </c>
      <c r="R101" s="78">
        <v>0.28306300000000001</v>
      </c>
      <c r="S101" s="316">
        <v>3.0956199999999999E-4</v>
      </c>
      <c r="T101" s="1">
        <v>283.06299999999999</v>
      </c>
      <c r="U101" s="78">
        <v>4.3175000000000002E-3</v>
      </c>
      <c r="V101" s="49">
        <v>4.3175001015702197E-5</v>
      </c>
      <c r="W101" s="58">
        <v>4.3175001015702198E-7</v>
      </c>
      <c r="X101" s="447">
        <v>4.3175001015702201E-9</v>
      </c>
      <c r="Y101" s="50">
        <v>6.6921385417109196E-6</v>
      </c>
      <c r="Z101" s="51">
        <v>4.6473184317436901E-8</v>
      </c>
      <c r="AA101" s="525">
        <v>4.3175001015702198E-11</v>
      </c>
      <c r="AB101" s="79">
        <v>4.3175001015702198E-13</v>
      </c>
      <c r="AC101" s="580">
        <v>1.0668775095830299E-12</v>
      </c>
      <c r="AD101" s="143">
        <v>8</v>
      </c>
      <c r="AE101" s="34">
        <v>56</v>
      </c>
      <c r="AF101" s="2">
        <v>55</v>
      </c>
      <c r="AG101" s="2">
        <v>101</v>
      </c>
      <c r="AH101" s="2">
        <v>71.063320000000004</v>
      </c>
      <c r="AI101" s="2">
        <v>78.492069999999998</v>
      </c>
      <c r="AJ101" s="42">
        <v>115.00433</v>
      </c>
      <c r="AK101" s="19" t="s">
        <v>20</v>
      </c>
      <c r="AL101" s="403">
        <v>90</v>
      </c>
      <c r="AM101" s="307">
        <v>90</v>
      </c>
      <c r="AN101" s="307">
        <v>50.710599999999999</v>
      </c>
      <c r="AO101" s="404">
        <v>129.2894</v>
      </c>
      <c r="AP101" s="19" t="s">
        <v>21</v>
      </c>
      <c r="AQ101" s="34">
        <v>2.83063E-2</v>
      </c>
      <c r="AR101" s="302">
        <v>9.2868400000000004E-4</v>
      </c>
      <c r="AS101" s="2">
        <v>1.11442E-2</v>
      </c>
      <c r="AT101" s="302">
        <v>2.8306300000000001E-4</v>
      </c>
      <c r="AU101" s="526">
        <v>1.75887193788276E-7</v>
      </c>
      <c r="AV101" s="2">
        <v>0.28306300000000001</v>
      </c>
      <c r="AW101" s="302">
        <v>3.0956100000000003E-4</v>
      </c>
      <c r="AX101" s="2">
        <f>AE101+AF101+AG101+AH101</f>
        <v>283.06331999999998</v>
      </c>
      <c r="AY101" s="2">
        <f>((SQRT(((AE101+AF101+AI101)/2)*((AE101+AF101+AI101)/2-AE101)*((AE101+AF101+AI101)/2-AF101)*((AE101+AF101+AI101)/2-AI101)))+(SQRT(((AG101+AH101+AI101)/2)*((AG101+AH101+AI101)/2-AG101)*((AG101+AH101+AI101)/2-AH101)*((AG101+AH101+AI101)/2-AI101))))/1000/1000</f>
        <v>4.3174998752142368E-3</v>
      </c>
      <c r="AZ101" s="302">
        <v>4.3174999999999999E-5</v>
      </c>
      <c r="BA101" s="23">
        <v>4.3174999999999998E-7</v>
      </c>
      <c r="BB101" s="31">
        <v>4.3174999999999996E-9</v>
      </c>
      <c r="BC101" s="33">
        <v>6.6921383842767699E-6</v>
      </c>
      <c r="BD101" s="527">
        <v>4.6473183224144199E-8</v>
      </c>
      <c r="BE101" s="32">
        <v>4.3175000000000002E-11</v>
      </c>
      <c r="BF101" s="528">
        <v>4.3175E-13</v>
      </c>
      <c r="BG101" s="591">
        <v>1.06687748448449E-12</v>
      </c>
      <c r="BH101" s="238" t="s">
        <v>20</v>
      </c>
      <c r="BI101" s="251">
        <f t="shared" si="99"/>
        <v>0</v>
      </c>
      <c r="BJ101" s="73">
        <f t="shared" si="100"/>
        <v>0</v>
      </c>
      <c r="BK101" s="73">
        <f t="shared" si="101"/>
        <v>-1.1831845807357864E-3</v>
      </c>
      <c r="BL101" s="73">
        <f t="shared" si="102"/>
        <v>4.6407516779526877E-4</v>
      </c>
      <c r="BM101" s="234">
        <f t="shared" si="103"/>
        <v>0</v>
      </c>
      <c r="BN101" s="238" t="s">
        <v>21</v>
      </c>
      <c r="BO101" s="214">
        <f t="shared" si="104"/>
        <v>0</v>
      </c>
      <c r="BP101" s="82">
        <f t="shared" si="105"/>
        <v>2.1535850729883041E-4</v>
      </c>
      <c r="BQ101" s="82">
        <f t="shared" si="106"/>
        <v>0</v>
      </c>
      <c r="BR101" s="82">
        <f t="shared" si="107"/>
        <v>0</v>
      </c>
      <c r="BS101" s="82">
        <f t="shared" si="108"/>
        <v>1.3046758837998384E-4</v>
      </c>
      <c r="BT101" s="82">
        <f t="shared" si="109"/>
        <v>0</v>
      </c>
      <c r="BU101" s="82">
        <f t="shared" si="110"/>
        <v>3.2303810879327018E-4</v>
      </c>
      <c r="BV101" s="82">
        <f t="shared" si="111"/>
        <v>-1.1304891074826846E-4</v>
      </c>
      <c r="BW101" s="80">
        <f t="shared" si="112"/>
        <v>2.8902320075563156E-6</v>
      </c>
      <c r="BX101" s="80">
        <f t="shared" si="113"/>
        <v>2.3525239094677644E-6</v>
      </c>
      <c r="BY101" s="80">
        <f t="shared" si="114"/>
        <v>2.3525239138819491E-6</v>
      </c>
      <c r="BZ101" s="80">
        <f t="shared" si="115"/>
        <v>2.3525239246108695E-6</v>
      </c>
      <c r="CA101" s="80">
        <f t="shared" si="116"/>
        <v>2.3525238227551326E-6</v>
      </c>
      <c r="CB101" s="80">
        <f t="shared" si="117"/>
        <v>2.3525238132622836E-6</v>
      </c>
      <c r="CC101" s="80">
        <f t="shared" si="118"/>
        <v>2.3525239042546586E-6</v>
      </c>
      <c r="CD101" s="80">
        <f t="shared" si="119"/>
        <v>2.3525239093998408E-6</v>
      </c>
      <c r="CE101" s="96">
        <f t="shared" si="120"/>
        <v>2.3525231612244044E-6</v>
      </c>
    </row>
    <row r="102" spans="1:83" x14ac:dyDescent="0.25">
      <c r="A102" s="118">
        <v>90</v>
      </c>
      <c r="B102" s="1">
        <v>97.706819999999993</v>
      </c>
      <c r="C102" s="1">
        <v>156.59785452111399</v>
      </c>
      <c r="D102" s="1">
        <v>144</v>
      </c>
      <c r="E102" s="1">
        <v>180.77367000000001</v>
      </c>
      <c r="F102" s="6">
        <v>94.763440000000003</v>
      </c>
      <c r="G102" s="211" t="s">
        <v>9</v>
      </c>
      <c r="H102" s="406">
        <v>211.27</v>
      </c>
      <c r="I102" s="347">
        <v>34.93</v>
      </c>
      <c r="J102" s="347">
        <v>73.8</v>
      </c>
      <c r="K102" s="407">
        <v>40</v>
      </c>
      <c r="L102" s="211" t="s">
        <v>21</v>
      </c>
      <c r="M102" s="56">
        <v>488.30500000000001</v>
      </c>
      <c r="N102" s="347">
        <v>16.020499999999998</v>
      </c>
      <c r="O102" s="1">
        <v>192.24600000000001</v>
      </c>
      <c r="P102" s="348">
        <v>4.8830499999999999</v>
      </c>
      <c r="Q102" s="326">
        <v>3.03418E-3</v>
      </c>
      <c r="R102" s="325">
        <v>4883.05</v>
      </c>
      <c r="S102" s="348">
        <v>5.34016</v>
      </c>
      <c r="T102" s="1">
        <v>4883047</v>
      </c>
      <c r="U102" s="59">
        <v>854536</v>
      </c>
      <c r="V102" s="325">
        <v>8545.36</v>
      </c>
      <c r="W102" s="347">
        <v>85.453599999999994</v>
      </c>
      <c r="X102" s="315">
        <v>0.85453599999999996</v>
      </c>
      <c r="Y102" s="325">
        <v>1324.53</v>
      </c>
      <c r="Z102" s="348">
        <v>9.19815</v>
      </c>
      <c r="AA102" s="326">
        <v>8.5453600000000001E-3</v>
      </c>
      <c r="AB102" s="49">
        <v>8.5453622705716198E-5</v>
      </c>
      <c r="AC102" s="578">
        <v>2.1116099999999999E-4</v>
      </c>
      <c r="AD102" s="143">
        <v>9</v>
      </c>
      <c r="AE102" s="34">
        <v>90</v>
      </c>
      <c r="AF102" s="2">
        <v>97.706819999999993</v>
      </c>
      <c r="AG102" s="2">
        <v>156.5977</v>
      </c>
      <c r="AH102" s="2">
        <v>144</v>
      </c>
      <c r="AI102" s="2">
        <v>180.77367000000001</v>
      </c>
      <c r="AJ102" s="42">
        <v>94.763440000000003</v>
      </c>
      <c r="AK102" s="19" t="s">
        <v>9</v>
      </c>
      <c r="AL102" s="403">
        <v>211.2689</v>
      </c>
      <c r="AM102" s="307">
        <v>34.927399999999999</v>
      </c>
      <c r="AN102" s="307">
        <v>73.803700000000006</v>
      </c>
      <c r="AO102" s="404">
        <v>40</v>
      </c>
      <c r="AP102" s="19" t="s">
        <v>21</v>
      </c>
      <c r="AQ102" s="476">
        <f>AE102+AF102+AG102+AH102</f>
        <v>488.30452000000002</v>
      </c>
      <c r="AR102" s="307">
        <v>16.020499999999998</v>
      </c>
      <c r="AS102" s="2">
        <v>192.24600000000001</v>
      </c>
      <c r="AT102" s="186">
        <v>4.8830499999999999</v>
      </c>
      <c r="AU102" s="309">
        <v>3.03419E-3</v>
      </c>
      <c r="AV102" s="2">
        <v>4883.05</v>
      </c>
      <c r="AW102" s="186">
        <v>5.3401699999999996</v>
      </c>
      <c r="AX102" s="2">
        <v>4883050</v>
      </c>
      <c r="AY102" s="2">
        <v>854537</v>
      </c>
      <c r="AZ102" s="2">
        <f>(SQRT(((AE102+AH102+AJ102)/2)*((AE102+AH102+AJ102)/2-AE102)*((AE102+AH102+AJ102)/2-AH102)*((AE102+AH102+AJ102)/2-AJ102)))+(SQRT(((AF102+AG102+AJ102)/2)*((AF102+AG102+AJ102)/2-AF102)*((AF102+AG102+AJ102)/2-AG102)*((AF102+AG102+AJ102)/2-AJ102)))</f>
        <v>8545.3664112353272</v>
      </c>
      <c r="BA102" s="307">
        <v>85.453699999999998</v>
      </c>
      <c r="BB102" s="76">
        <v>0.85453699999999999</v>
      </c>
      <c r="BC102" s="396">
        <v>1324.53</v>
      </c>
      <c r="BD102" s="186">
        <v>9.1981599999999997</v>
      </c>
      <c r="BE102" s="309">
        <v>8.54537E-3</v>
      </c>
      <c r="BF102" s="323">
        <v>8.5453700000000005E-5</v>
      </c>
      <c r="BG102" s="188">
        <v>2.1116099999999999E-4</v>
      </c>
      <c r="BH102" s="238" t="s">
        <v>9</v>
      </c>
      <c r="BI102" s="251">
        <f t="shared" si="99"/>
        <v>5.2066347673893054E-4</v>
      </c>
      <c r="BJ102" s="73">
        <f t="shared" si="100"/>
        <v>7.4440124372299283E-3</v>
      </c>
      <c r="BK102" s="73">
        <f t="shared" ref="BK102:BK106" si="121">(100*(J102-AN102))/AN102</f>
        <v>-5.0132987912653972E-3</v>
      </c>
      <c r="BL102" s="73">
        <f t="shared" ref="BL102:BL106" si="122">(100*(K102-AO102))/AO102</f>
        <v>0</v>
      </c>
      <c r="BM102" s="234">
        <f t="shared" ref="BM102:BM106" si="123">(100*(D102-AH102))/AH102</f>
        <v>0</v>
      </c>
      <c r="BN102" s="238" t="s">
        <v>21</v>
      </c>
      <c r="BO102" s="214">
        <f t="shared" ref="BO102:BO107" si="124">(100*(M102-AQ102))/AQ102</f>
        <v>9.8299315349738783E-5</v>
      </c>
      <c r="BP102" s="82">
        <f t="shared" ref="BP102:BP107" si="125">(100*(N102-AR102))/AR102</f>
        <v>0</v>
      </c>
      <c r="BQ102" s="82">
        <f t="shared" ref="BQ102:BQ107" si="126">(100*(O102-AS102))/AS102</f>
        <v>0</v>
      </c>
      <c r="BR102" s="82">
        <f t="shared" ref="BR102:BR107" si="127">(100*(P102-AT102))/AT102</f>
        <v>0</v>
      </c>
      <c r="BS102" s="82">
        <f t="shared" ref="BS102:BS107" si="128">(100*(Q102-AU102))/AU102</f>
        <v>-3.2957725125785177E-4</v>
      </c>
      <c r="BT102" s="82">
        <f t="shared" ref="BT102:BT107" si="129">(100*(R102-AV102))/AV102</f>
        <v>0</v>
      </c>
      <c r="BU102" s="82">
        <f t="shared" ref="BU102:BU107" si="130">(100*(S102-AW102))/AW102</f>
        <v>-1.8725995613662905E-4</v>
      </c>
      <c r="BV102" s="82">
        <f t="shared" ref="BV102:BV107" si="131">(100*(T102-AX102))/AX102</f>
        <v>-6.1437011703750736E-5</v>
      </c>
      <c r="BW102" s="80">
        <f t="shared" ref="BW102:BW107" si="132">(100*(U102-AY102))/AY102</f>
        <v>-1.1702243437089325E-4</v>
      </c>
      <c r="BX102" s="80">
        <f t="shared" ref="BX102:BX107" si="133">(100*(V102-AZ102))/AZ102</f>
        <v>-7.5025868032599352E-5</v>
      </c>
      <c r="BY102" s="80">
        <f t="shared" ref="BY102:BY107" si="134">(100*(W102-BA102))/BA102</f>
        <v>-1.1702243437477799E-4</v>
      </c>
      <c r="BZ102" s="80">
        <f t="shared" ref="BZ102:BZ107" si="135">(100*(X102-BB102))/BB102</f>
        <v>-1.170224343742583E-4</v>
      </c>
      <c r="CA102" s="80">
        <f t="shared" ref="CA102:CA107" si="136">(100*(Y102-BC102))/BC102</f>
        <v>0</v>
      </c>
      <c r="CB102" s="80">
        <f t="shared" ref="CB102:CB107" si="137">(100*(Z102-BD102))/BD102</f>
        <v>-1.0871739564892787E-4</v>
      </c>
      <c r="CC102" s="80">
        <f t="shared" ref="CC102:CC107" si="138">(100*(AA102-BE102))/BE102</f>
        <v>-1.1702243437019828E-4</v>
      </c>
      <c r="CD102" s="80">
        <f t="shared" ref="CD102:CD107" si="139">(100*(AB102-BF102))/BF102</f>
        <v>-9.0451652540599943E-5</v>
      </c>
      <c r="CE102" s="96">
        <f t="shared" ref="CE102:CE107" si="140">(100*(AC102-BG102))/BG102</f>
        <v>0</v>
      </c>
    </row>
    <row r="103" spans="1:83" x14ac:dyDescent="0.25">
      <c r="A103" s="118">
        <v>110</v>
      </c>
      <c r="B103" s="1">
        <v>123.85859000000001</v>
      </c>
      <c r="C103" s="53">
        <v>236.79222147990899</v>
      </c>
      <c r="D103" s="1">
        <v>220</v>
      </c>
      <c r="E103" s="1">
        <v>134.61519000000001</v>
      </c>
      <c r="F103" s="6">
        <v>122.55139</v>
      </c>
      <c r="G103" s="211" t="s">
        <v>5</v>
      </c>
      <c r="H103" s="406">
        <v>290</v>
      </c>
      <c r="I103" s="347">
        <v>15.97</v>
      </c>
      <c r="J103" s="347">
        <v>34.03</v>
      </c>
      <c r="K103" s="407">
        <v>20</v>
      </c>
      <c r="L103" s="211" t="s">
        <v>21</v>
      </c>
      <c r="M103" s="56">
        <v>21051</v>
      </c>
      <c r="N103" s="347">
        <v>690.65099999999995</v>
      </c>
      <c r="O103" s="1">
        <v>8287.81</v>
      </c>
      <c r="P103" s="348">
        <v>210.51</v>
      </c>
      <c r="Q103" s="326">
        <v>0.130805</v>
      </c>
      <c r="R103" s="325">
        <v>210510</v>
      </c>
      <c r="S103" s="348">
        <v>230.21700000000001</v>
      </c>
      <c r="T103" s="1">
        <v>210510367</v>
      </c>
      <c r="U103" s="59">
        <v>759386248</v>
      </c>
      <c r="V103" s="325">
        <v>7593862</v>
      </c>
      <c r="W103" s="347">
        <v>75938.600000000006</v>
      </c>
      <c r="X103" s="315">
        <v>759.38599999999997</v>
      </c>
      <c r="Y103" s="325">
        <v>1177051</v>
      </c>
      <c r="Z103" s="348">
        <v>8173.97</v>
      </c>
      <c r="AA103" s="326">
        <v>7.5938600000000003</v>
      </c>
      <c r="AB103" s="78">
        <v>7.5938599999999995E-2</v>
      </c>
      <c r="AC103" s="578">
        <v>0.18764800000000001</v>
      </c>
      <c r="AD103" s="143">
        <v>10</v>
      </c>
      <c r="AE103" s="34">
        <v>110</v>
      </c>
      <c r="AF103" s="2">
        <v>123.85859000000001</v>
      </c>
      <c r="AG103" s="2">
        <v>236.79234</v>
      </c>
      <c r="AH103" s="2">
        <v>220</v>
      </c>
      <c r="AI103" s="2">
        <v>134.61519000000001</v>
      </c>
      <c r="AJ103" s="42">
        <v>122.55139</v>
      </c>
      <c r="AK103" s="19" t="s">
        <v>5</v>
      </c>
      <c r="AL103" s="403">
        <v>290</v>
      </c>
      <c r="AM103" s="307">
        <v>15.973599999999999</v>
      </c>
      <c r="AN103" s="307">
        <v>34.026499999999999</v>
      </c>
      <c r="AO103" s="404">
        <v>20</v>
      </c>
      <c r="AP103" s="19" t="s">
        <v>21</v>
      </c>
      <c r="AQ103" s="34">
        <v>21051</v>
      </c>
      <c r="AR103" s="186">
        <f>AE103+AF103+AG103+AH103</f>
        <v>690.65093000000002</v>
      </c>
      <c r="AS103" s="2">
        <v>8287.81</v>
      </c>
      <c r="AT103" s="396">
        <v>210.51</v>
      </c>
      <c r="AU103" s="76">
        <v>0.130805</v>
      </c>
      <c r="AV103" s="2">
        <v>210510</v>
      </c>
      <c r="AW103" s="186">
        <v>230.21700000000001</v>
      </c>
      <c r="AX103" s="2">
        <v>210510425</v>
      </c>
      <c r="AY103" s="2">
        <v>759383875</v>
      </c>
      <c r="AZ103" s="29">
        <v>7593839</v>
      </c>
      <c r="BA103" s="340">
        <v>75938.399999999994</v>
      </c>
      <c r="BB103" s="26">
        <v>759.38400000000001</v>
      </c>
      <c r="BC103" s="396">
        <v>1177047</v>
      </c>
      <c r="BD103" s="76">
        <f>(SQRT(((AE103+AH103+AJ103)/2)*((AE103+AH103+AJ103)/2-AE103)*((AE103+AH103+AJ103)/2-AH103)*((AE103+AH103+AJ103)/2-AJ103)))+(SQRT(((AF103+AG103+AJ103)/2)*((AF103+AG103+AJ103)/2-AF103)*((AF103+AG103+AJ103)/2-AG103)*((AF103+AG103+AJ103)/2-AJ103)))</f>
        <v>8173.94319394596</v>
      </c>
      <c r="BE103" s="186">
        <v>7.5938400000000001</v>
      </c>
      <c r="BF103" s="342">
        <v>7.5938400000000003E-2</v>
      </c>
      <c r="BG103" s="322">
        <v>0.18764800000000001</v>
      </c>
      <c r="BH103" s="238" t="s">
        <v>5</v>
      </c>
      <c r="BI103" s="251">
        <f t="shared" si="99"/>
        <v>0</v>
      </c>
      <c r="BJ103" s="73">
        <f t="shared" si="100"/>
        <v>-2.2537186357481816E-2</v>
      </c>
      <c r="BK103" s="73">
        <f t="shared" si="121"/>
        <v>1.0286100539292908E-2</v>
      </c>
      <c r="BL103" s="73">
        <f t="shared" si="122"/>
        <v>0</v>
      </c>
      <c r="BM103" s="234">
        <f t="shared" si="123"/>
        <v>0</v>
      </c>
      <c r="BN103" s="238" t="s">
        <v>21</v>
      </c>
      <c r="BO103" s="214">
        <f t="shared" si="124"/>
        <v>0</v>
      </c>
      <c r="BP103" s="82">
        <f t="shared" si="125"/>
        <v>1.0135366057778829E-5</v>
      </c>
      <c r="BQ103" s="82">
        <f t="shared" si="126"/>
        <v>0</v>
      </c>
      <c r="BR103" s="82">
        <f t="shared" si="127"/>
        <v>0</v>
      </c>
      <c r="BS103" s="82">
        <f t="shared" si="128"/>
        <v>0</v>
      </c>
      <c r="BT103" s="82">
        <f t="shared" si="129"/>
        <v>0</v>
      </c>
      <c r="BU103" s="82">
        <f t="shared" si="130"/>
        <v>0</v>
      </c>
      <c r="BV103" s="82">
        <f t="shared" si="131"/>
        <v>-2.7552079665413246E-5</v>
      </c>
      <c r="BW103" s="80">
        <f t="shared" si="132"/>
        <v>3.1249017501194635E-4</v>
      </c>
      <c r="BX103" s="80">
        <f t="shared" si="133"/>
        <v>3.028771086666441E-4</v>
      </c>
      <c r="BY103" s="80">
        <f t="shared" si="134"/>
        <v>2.6337136417364803E-4</v>
      </c>
      <c r="BZ103" s="80">
        <f t="shared" si="135"/>
        <v>2.6337136415208987E-4</v>
      </c>
      <c r="CA103" s="80">
        <f t="shared" si="136"/>
        <v>3.3983349857737204E-4</v>
      </c>
      <c r="CB103" s="80">
        <f t="shared" si="137"/>
        <v>3.2794519614549633E-4</v>
      </c>
      <c r="CC103" s="80">
        <f t="shared" si="138"/>
        <v>2.6337136416004319E-4</v>
      </c>
      <c r="CD103" s="80">
        <f t="shared" si="139"/>
        <v>2.6337136414761612E-4</v>
      </c>
      <c r="CE103" s="96">
        <f t="shared" si="140"/>
        <v>0</v>
      </c>
    </row>
    <row r="104" spans="1:83" x14ac:dyDescent="0.25">
      <c r="A104" s="118">
        <v>106.92</v>
      </c>
      <c r="B104" s="1">
        <v>66.819999999999993</v>
      </c>
      <c r="C104" s="1">
        <v>72.547330000000002</v>
      </c>
      <c r="D104" s="1">
        <v>128.93347</v>
      </c>
      <c r="E104" s="1">
        <v>70.361879999999999</v>
      </c>
      <c r="F104" s="6">
        <v>125.67859</v>
      </c>
      <c r="G104" s="211" t="s">
        <v>8</v>
      </c>
      <c r="H104" s="406">
        <v>40</v>
      </c>
      <c r="I104" s="347">
        <v>231.26</v>
      </c>
      <c r="J104" s="347">
        <v>25.14</v>
      </c>
      <c r="K104" s="407">
        <v>63.6</v>
      </c>
      <c r="L104" s="211" t="s">
        <v>21</v>
      </c>
      <c r="M104" s="56">
        <v>953.07100000000003</v>
      </c>
      <c r="N104" s="347">
        <v>31.268699999999999</v>
      </c>
      <c r="O104" s="1">
        <v>375.22500000000002</v>
      </c>
      <c r="P104" s="348">
        <v>9.5307099999999991</v>
      </c>
      <c r="Q104" s="326">
        <v>5.9221100000000004E-3</v>
      </c>
      <c r="R104" s="325">
        <v>9530.7099999999991</v>
      </c>
      <c r="S104" s="348">
        <v>10.4229</v>
      </c>
      <c r="T104" s="1">
        <v>9530715</v>
      </c>
      <c r="U104" s="59">
        <v>2763163</v>
      </c>
      <c r="V104" s="325">
        <v>27631.599999999999</v>
      </c>
      <c r="W104" s="347">
        <v>276.31599999999997</v>
      </c>
      <c r="X104" s="315">
        <v>2.7631600000000001</v>
      </c>
      <c r="Y104" s="325">
        <v>4282.91</v>
      </c>
      <c r="Z104" s="348">
        <v>29.7424</v>
      </c>
      <c r="AA104" s="326">
        <v>2.7631599999999999E-2</v>
      </c>
      <c r="AB104" s="316">
        <v>2.7631599999999997E-4</v>
      </c>
      <c r="AC104" s="578">
        <v>6.8279199999999999E-4</v>
      </c>
      <c r="AD104" s="143">
        <v>11</v>
      </c>
      <c r="AE104" s="34">
        <v>106.92</v>
      </c>
      <c r="AF104" s="2">
        <v>66.819999999999993</v>
      </c>
      <c r="AG104" s="2">
        <v>72.547330000000002</v>
      </c>
      <c r="AH104" s="2">
        <v>128.93347</v>
      </c>
      <c r="AI104" s="2">
        <v>70.361879999999999</v>
      </c>
      <c r="AJ104" s="42">
        <v>125.67859</v>
      </c>
      <c r="AK104" s="19" t="s">
        <v>8</v>
      </c>
      <c r="AL104" s="403">
        <v>40</v>
      </c>
      <c r="AM104" s="307">
        <v>231.26900000000001</v>
      </c>
      <c r="AN104" s="307">
        <v>25.134799999999998</v>
      </c>
      <c r="AO104" s="404">
        <v>63.596400000000003</v>
      </c>
      <c r="AP104" s="19" t="s">
        <v>21</v>
      </c>
      <c r="AQ104" s="34">
        <v>953.06100000000004</v>
      </c>
      <c r="AR104" s="186">
        <v>31.2684</v>
      </c>
      <c r="AS104" s="2">
        <f>AE104+AF104+AG104+AH104</f>
        <v>375.2208</v>
      </c>
      <c r="AT104" s="186">
        <v>9.5306099999999994</v>
      </c>
      <c r="AU104" s="309">
        <v>5.9220499999999999E-3</v>
      </c>
      <c r="AV104" s="2">
        <v>9530.61</v>
      </c>
      <c r="AW104" s="186">
        <v>10.422800000000001</v>
      </c>
      <c r="AX104" s="2">
        <v>9530613</v>
      </c>
      <c r="AY104" s="2">
        <v>2762975</v>
      </c>
      <c r="AZ104" s="340">
        <v>27629.8</v>
      </c>
      <c r="BA104" s="26">
        <v>276.298</v>
      </c>
      <c r="BB104" s="186">
        <v>2.7629800000000002</v>
      </c>
      <c r="BC104" s="23">
        <f>(SQRT(((AE104+AF104+AI104)/2)*((AE104+AF104+AI104)/2-AE104)*((AE104+AF104+AI104)/2-AF104)*((AE104+AF104+AI104)/2-AI104)))+(SQRT(((AG104+AH104+AI104)/2)*((AG104+AH104+AI104)/2-AG104)*((AG104+AH104+AI104)/2-AH104)*((AG104+AH104+AI104)/2-AI104)))</f>
        <v>4282.6215107348626</v>
      </c>
      <c r="BD104" s="307">
        <v>29.740400000000001</v>
      </c>
      <c r="BE104" s="342">
        <v>2.7629799999999999E-2</v>
      </c>
      <c r="BF104" s="302">
        <v>2.7629800000000002E-4</v>
      </c>
      <c r="BG104" s="188">
        <v>6.8274600000000003E-4</v>
      </c>
      <c r="BH104" s="238" t="s">
        <v>8</v>
      </c>
      <c r="BI104" s="251">
        <f t="shared" si="99"/>
        <v>0</v>
      </c>
      <c r="BJ104" s="73">
        <f t="shared" si="100"/>
        <v>-3.8915721519159731E-3</v>
      </c>
      <c r="BK104" s="73">
        <f t="shared" si="121"/>
        <v>2.0688447888990928E-2</v>
      </c>
      <c r="BL104" s="73">
        <f t="shared" si="122"/>
        <v>5.6606977753437537E-3</v>
      </c>
      <c r="BM104" s="234">
        <f t="shared" si="123"/>
        <v>0</v>
      </c>
      <c r="BN104" s="238" t="s">
        <v>21</v>
      </c>
      <c r="BO104" s="214">
        <f t="shared" si="124"/>
        <v>1.0492507824778168E-3</v>
      </c>
      <c r="BP104" s="82">
        <f t="shared" si="125"/>
        <v>9.5943508461993846E-4</v>
      </c>
      <c r="BQ104" s="82">
        <f t="shared" si="126"/>
        <v>1.1193409320660631E-3</v>
      </c>
      <c r="BR104" s="82">
        <f t="shared" si="127"/>
        <v>1.0492507824763258E-3</v>
      </c>
      <c r="BS104" s="82">
        <f t="shared" si="128"/>
        <v>1.0131626717185946E-3</v>
      </c>
      <c r="BT104" s="82">
        <f t="shared" si="129"/>
        <v>1.0492507824635025E-3</v>
      </c>
      <c r="BU104" s="82">
        <f t="shared" si="130"/>
        <v>9.5943508461993835E-4</v>
      </c>
      <c r="BV104" s="82">
        <f t="shared" si="131"/>
        <v>1.0702354612447279E-3</v>
      </c>
      <c r="BW104" s="80">
        <f t="shared" si="132"/>
        <v>6.8042599010124955E-3</v>
      </c>
      <c r="BX104" s="80">
        <f t="shared" si="133"/>
        <v>6.5147051372042956E-3</v>
      </c>
      <c r="BY104" s="80">
        <f t="shared" si="134"/>
        <v>6.5147051371968892E-3</v>
      </c>
      <c r="BZ104" s="80">
        <f t="shared" si="135"/>
        <v>6.5147051372013891E-3</v>
      </c>
      <c r="CA104" s="80">
        <f t="shared" si="136"/>
        <v>6.736277404252429E-3</v>
      </c>
      <c r="CB104" s="80">
        <f t="shared" si="137"/>
        <v>6.7248591141978306E-3</v>
      </c>
      <c r="CC104" s="80">
        <f t="shared" si="138"/>
        <v>6.5147051372059098E-3</v>
      </c>
      <c r="CD104" s="80">
        <f t="shared" si="139"/>
        <v>6.5147051371917831E-3</v>
      </c>
      <c r="CE104" s="96">
        <f t="shared" si="140"/>
        <v>6.7374982790035145E-3</v>
      </c>
    </row>
    <row r="105" spans="1:83" x14ac:dyDescent="0.25">
      <c r="A105" s="118">
        <v>111.73242</v>
      </c>
      <c r="B105" s="1">
        <v>44.748440000000002</v>
      </c>
      <c r="C105" s="1">
        <v>76.088377643710501</v>
      </c>
      <c r="D105" s="1">
        <v>153.70000999999999</v>
      </c>
      <c r="E105" s="1">
        <v>80.012640000000005</v>
      </c>
      <c r="F105" s="6">
        <v>77.944609999999997</v>
      </c>
      <c r="G105" s="211" t="s">
        <v>4</v>
      </c>
      <c r="H105" s="406">
        <v>36.049999999999997</v>
      </c>
      <c r="I105" s="347">
        <v>284.60000000000002</v>
      </c>
      <c r="J105" s="347">
        <v>10.32</v>
      </c>
      <c r="K105" s="407">
        <v>29.03</v>
      </c>
      <c r="L105" s="211" t="s">
        <v>21</v>
      </c>
      <c r="M105" s="56">
        <v>38626.9</v>
      </c>
      <c r="N105" s="347">
        <v>1267.29</v>
      </c>
      <c r="O105" s="1">
        <v>15207.5</v>
      </c>
      <c r="P105" s="348">
        <v>386.26900000000001</v>
      </c>
      <c r="Q105" s="326">
        <v>0.24001700000000001</v>
      </c>
      <c r="R105" s="325">
        <v>386269</v>
      </c>
      <c r="S105" s="348">
        <v>422.42899999999997</v>
      </c>
      <c r="T105" s="1">
        <v>386269248</v>
      </c>
      <c r="U105" s="59">
        <v>2518910529</v>
      </c>
      <c r="V105" s="325">
        <v>25189105</v>
      </c>
      <c r="W105" s="347">
        <v>251891</v>
      </c>
      <c r="X105" s="315">
        <v>2518.91</v>
      </c>
      <c r="Y105" s="325">
        <v>3904319</v>
      </c>
      <c r="Z105" s="348">
        <v>27113.3</v>
      </c>
      <c r="AA105" s="326">
        <v>25.1891</v>
      </c>
      <c r="AB105" s="315">
        <v>0.25189099999999998</v>
      </c>
      <c r="AC105" s="578">
        <v>0.62243599999999999</v>
      </c>
      <c r="AD105" s="143">
        <v>12</v>
      </c>
      <c r="AE105" s="34">
        <v>111.73242</v>
      </c>
      <c r="AF105" s="2">
        <v>44.748440000000002</v>
      </c>
      <c r="AG105" s="2">
        <v>76.088499999999996</v>
      </c>
      <c r="AH105" s="2">
        <v>153.70000999999999</v>
      </c>
      <c r="AI105" s="2">
        <v>80.012640000000005</v>
      </c>
      <c r="AJ105" s="42">
        <v>77.944609999999997</v>
      </c>
      <c r="AK105" s="19" t="s">
        <v>4</v>
      </c>
      <c r="AL105" s="403">
        <v>36.052399999999999</v>
      </c>
      <c r="AM105" s="307">
        <v>284.60000000000002</v>
      </c>
      <c r="AN105" s="307">
        <v>10.321199999999999</v>
      </c>
      <c r="AO105" s="404">
        <v>29.026499999999999</v>
      </c>
      <c r="AP105" s="19" t="s">
        <v>21</v>
      </c>
      <c r="AQ105" s="34">
        <v>38626.9</v>
      </c>
      <c r="AR105" s="186">
        <v>1267.29</v>
      </c>
      <c r="AS105" s="2">
        <v>15207.4</v>
      </c>
      <c r="AT105" s="2">
        <f>AE105+AF105+AG105+AH105</f>
        <v>386.26936999999998</v>
      </c>
      <c r="AU105" s="76">
        <v>0.24001600000000001</v>
      </c>
      <c r="AV105" s="2">
        <v>386269</v>
      </c>
      <c r="AW105" s="186">
        <v>422.42899999999997</v>
      </c>
      <c r="AX105" s="2">
        <v>386269000</v>
      </c>
      <c r="AY105" s="2">
        <v>2518940000</v>
      </c>
      <c r="AZ105" s="29">
        <v>25189400</v>
      </c>
      <c r="BA105" s="29">
        <v>251894</v>
      </c>
      <c r="BB105" s="76">
        <f>(SQRT(((AE105+AF105+AI105)/2)*((AE105+AF105+AI105)/2-AE105)*((AE105+AF105+AI105)/2-AF105)*((AE105+AF105+AI105)/2-AI105)))+(SQRT(((AG105+AH105+AI105)/2)*((AG105+AH105+AI105)/2-AG105)*((AG105+AH105+AI105)/2-AH105)*((AG105+AH105+AI105)/2-AI105)))</f>
        <v>2518.937450954249</v>
      </c>
      <c r="BC105" s="29">
        <v>3904365</v>
      </c>
      <c r="BD105" s="340">
        <v>27113.599999999999</v>
      </c>
      <c r="BE105" s="186">
        <v>25.189399999999999</v>
      </c>
      <c r="BF105" s="342">
        <v>0.25189400000000001</v>
      </c>
      <c r="BG105" s="322">
        <v>0.622444</v>
      </c>
      <c r="BH105" s="238" t="s">
        <v>4</v>
      </c>
      <c r="BI105" s="251">
        <f t="shared" si="99"/>
        <v>-6.6569770667181992E-3</v>
      </c>
      <c r="BJ105" s="73">
        <f t="shared" si="100"/>
        <v>0</v>
      </c>
      <c r="BK105" s="73">
        <f t="shared" si="121"/>
        <v>-1.1626555051728285E-2</v>
      </c>
      <c r="BL105" s="73">
        <f t="shared" si="122"/>
        <v>1.2057947048395436E-2</v>
      </c>
      <c r="BM105" s="234">
        <f t="shared" si="123"/>
        <v>0</v>
      </c>
      <c r="BN105" s="238" t="s">
        <v>21</v>
      </c>
      <c r="BO105" s="214">
        <f t="shared" si="124"/>
        <v>0</v>
      </c>
      <c r="BP105" s="82">
        <f t="shared" si="125"/>
        <v>0</v>
      </c>
      <c r="BQ105" s="82">
        <f t="shared" si="126"/>
        <v>6.5757460184097079E-4</v>
      </c>
      <c r="BR105" s="82">
        <f t="shared" si="127"/>
        <v>-9.5788076588970678E-5</v>
      </c>
      <c r="BS105" s="82">
        <f t="shared" si="128"/>
        <v>4.1663889074103393E-4</v>
      </c>
      <c r="BT105" s="82">
        <f t="shared" si="129"/>
        <v>0</v>
      </c>
      <c r="BU105" s="82">
        <f t="shared" si="130"/>
        <v>0</v>
      </c>
      <c r="BV105" s="82">
        <f t="shared" si="131"/>
        <v>6.4203961487978585E-5</v>
      </c>
      <c r="BW105" s="80">
        <f t="shared" si="132"/>
        <v>-1.1699762598553359E-3</v>
      </c>
      <c r="BX105" s="80">
        <f t="shared" si="133"/>
        <v>-1.1711275377738256E-3</v>
      </c>
      <c r="BY105" s="80">
        <f t="shared" si="134"/>
        <v>-1.1909771570581275E-3</v>
      </c>
      <c r="BZ105" s="80">
        <f t="shared" si="135"/>
        <v>-1.0897830844812044E-3</v>
      </c>
      <c r="CA105" s="80">
        <f t="shared" si="136"/>
        <v>-1.1781685370092193E-3</v>
      </c>
      <c r="CB105" s="80">
        <f t="shared" si="137"/>
        <v>-1.1064558007762614E-3</v>
      </c>
      <c r="CC105" s="80">
        <f t="shared" si="138"/>
        <v>-1.190977157055352E-3</v>
      </c>
      <c r="CD105" s="80">
        <f t="shared" si="139"/>
        <v>-1.1909771570703374E-3</v>
      </c>
      <c r="CE105" s="96">
        <f t="shared" si="140"/>
        <v>-1.2852561836900992E-3</v>
      </c>
    </row>
    <row r="106" spans="1:83" x14ac:dyDescent="0.25">
      <c r="A106" s="118">
        <v>301.25448</v>
      </c>
      <c r="B106" s="1">
        <v>277.02</v>
      </c>
      <c r="C106" s="1">
        <v>173.13715553644499</v>
      </c>
      <c r="D106" s="1">
        <v>187.96367000000001</v>
      </c>
      <c r="E106" s="1">
        <v>347.76346999999998</v>
      </c>
      <c r="F106" s="6">
        <v>182.30123</v>
      </c>
      <c r="G106" s="211" t="s">
        <v>10</v>
      </c>
      <c r="H106" s="406">
        <v>73.8</v>
      </c>
      <c r="I106" s="347">
        <v>40</v>
      </c>
      <c r="J106" s="347">
        <v>211.27</v>
      </c>
      <c r="K106" s="407">
        <v>34.93</v>
      </c>
      <c r="L106" s="211" t="s">
        <v>21</v>
      </c>
      <c r="M106" s="56">
        <v>151177801</v>
      </c>
      <c r="N106" s="347">
        <v>4959902</v>
      </c>
      <c r="O106" s="1">
        <v>59518819</v>
      </c>
      <c r="P106" s="348">
        <v>1511778</v>
      </c>
      <c r="Q106" s="326">
        <v>939.375</v>
      </c>
      <c r="R106" s="325">
        <v>1511778012</v>
      </c>
      <c r="S106" s="59">
        <v>1653301</v>
      </c>
      <c r="T106" s="1">
        <v>1511778011713</v>
      </c>
      <c r="U106" s="59">
        <v>8.1907930299628304E+16</v>
      </c>
      <c r="V106" s="59">
        <v>819079302996283</v>
      </c>
      <c r="W106" s="59">
        <v>8190793029963</v>
      </c>
      <c r="X106" s="59">
        <v>81907930300</v>
      </c>
      <c r="Y106" s="59">
        <v>126957545879516</v>
      </c>
      <c r="Z106" s="59">
        <v>881649624163</v>
      </c>
      <c r="AA106" s="59">
        <v>819079303</v>
      </c>
      <c r="AB106" s="59">
        <v>8190793</v>
      </c>
      <c r="AC106" s="224">
        <v>20239890</v>
      </c>
      <c r="AD106" s="143">
        <v>13</v>
      </c>
      <c r="AE106" s="34">
        <v>301.25448</v>
      </c>
      <c r="AF106" s="2">
        <v>277.02</v>
      </c>
      <c r="AG106" s="2">
        <v>173.14</v>
      </c>
      <c r="AH106" s="2">
        <v>187.96367000000001</v>
      </c>
      <c r="AI106" s="2">
        <v>347.76346999999998</v>
      </c>
      <c r="AJ106" s="42">
        <v>182.30123</v>
      </c>
      <c r="AK106" s="19" t="s">
        <v>10</v>
      </c>
      <c r="AL106" s="403">
        <v>73.803700000000006</v>
      </c>
      <c r="AM106" s="307">
        <v>40</v>
      </c>
      <c r="AN106" s="307">
        <v>211.2689</v>
      </c>
      <c r="AO106" s="404">
        <v>34.927399999999999</v>
      </c>
      <c r="AP106" s="19" t="s">
        <v>21</v>
      </c>
      <c r="AQ106" s="34">
        <v>151178235</v>
      </c>
      <c r="AR106" s="186">
        <v>4959916</v>
      </c>
      <c r="AS106" s="2">
        <v>59518990</v>
      </c>
      <c r="AT106" s="29">
        <v>1511782</v>
      </c>
      <c r="AU106" s="2">
        <f>AE106+AF106+AG106+AH106</f>
        <v>939.37815000000001</v>
      </c>
      <c r="AV106" s="2">
        <v>1511782348</v>
      </c>
      <c r="AW106" s="29">
        <v>1653305</v>
      </c>
      <c r="AX106" s="2">
        <v>1511782348032</v>
      </c>
      <c r="AY106" s="341">
        <v>8.1908757731E+16</v>
      </c>
      <c r="AZ106" s="29">
        <v>819087577310000</v>
      </c>
      <c r="BA106" s="29">
        <v>8190875773100</v>
      </c>
      <c r="BB106" s="307">
        <f>((SQRT(((AE106+AH106+AJ106)/2)*((AE106+AH106+AJ106)/2-AE106)*((AE106+AH106+AJ106)/2-AH106)*((AE106+AH106+AJ106)/2-AJ106)))+(SQRT(((AF106+AG106+AJ106)/2)*((AF106+AG106+AJ106)/2-AF106)*((AF106+AG106+AJ106)/2-AG106)*((AF106+AG106+AJ106)/2-AJ106))))*1609.344*1609.344</f>
        <v>81908757731.229095</v>
      </c>
      <c r="BC106" s="29">
        <v>126958828400707</v>
      </c>
      <c r="BD106" s="29">
        <v>881658530560</v>
      </c>
      <c r="BE106" s="29">
        <v>819087577</v>
      </c>
      <c r="BF106" s="29">
        <v>8190876</v>
      </c>
      <c r="BG106" s="593">
        <v>20240095</v>
      </c>
      <c r="BH106" s="238" t="s">
        <v>10</v>
      </c>
      <c r="BI106" s="251">
        <f t="shared" si="99"/>
        <v>-5.0132987912653972E-3</v>
      </c>
      <c r="BJ106" s="73">
        <f t="shared" si="100"/>
        <v>0</v>
      </c>
      <c r="BK106" s="73">
        <f t="shared" si="121"/>
        <v>5.2066347673893054E-4</v>
      </c>
      <c r="BL106" s="73">
        <f t="shared" si="122"/>
        <v>7.4440124372299283E-3</v>
      </c>
      <c r="BM106" s="234">
        <f t="shared" si="123"/>
        <v>0</v>
      </c>
      <c r="BN106" s="238" t="s">
        <v>21</v>
      </c>
      <c r="BO106" s="214">
        <f t="shared" si="124"/>
        <v>-2.870783615114967E-4</v>
      </c>
      <c r="BP106" s="82">
        <f t="shared" si="125"/>
        <v>-2.8226284477398408E-4</v>
      </c>
      <c r="BQ106" s="82">
        <f t="shared" si="126"/>
        <v>-2.8730326237054763E-4</v>
      </c>
      <c r="BR106" s="82">
        <f t="shared" si="127"/>
        <v>-2.6458841287963479E-4</v>
      </c>
      <c r="BS106" s="82">
        <f t="shared" si="128"/>
        <v>-3.353282168640066E-4</v>
      </c>
      <c r="BT106" s="82">
        <f t="shared" si="129"/>
        <v>-2.8681377353931108E-4</v>
      </c>
      <c r="BU106" s="82">
        <f t="shared" si="130"/>
        <v>-2.4193963001382081E-4</v>
      </c>
      <c r="BV106" s="82">
        <f t="shared" si="131"/>
        <v>-2.8683487445430955E-4</v>
      </c>
      <c r="BW106" s="80">
        <f t="shared" si="132"/>
        <v>-1.0101866938495175E-3</v>
      </c>
      <c r="BX106" s="80">
        <f t="shared" si="133"/>
        <v>-1.010186693854401E-3</v>
      </c>
      <c r="BY106" s="80">
        <f t="shared" si="134"/>
        <v>-1.010186691778921E-3</v>
      </c>
      <c r="BZ106" s="80">
        <f t="shared" si="135"/>
        <v>-1.0101865197498739E-3</v>
      </c>
      <c r="CA106" s="80">
        <f t="shared" si="136"/>
        <v>-1.0101866937146831E-3</v>
      </c>
      <c r="CB106" s="80">
        <f t="shared" si="137"/>
        <v>-1.010186675599107E-3</v>
      </c>
      <c r="CC106" s="80">
        <f t="shared" si="138"/>
        <v>-1.010148393448287E-3</v>
      </c>
      <c r="CD106" s="80">
        <f t="shared" si="139"/>
        <v>-1.0133226287395878E-3</v>
      </c>
      <c r="CE106" s="96">
        <f t="shared" si="140"/>
        <v>-1.0128410958545402E-3</v>
      </c>
    </row>
    <row r="107" spans="1:83" ht="15.75" thickBot="1" x14ac:dyDescent="0.3">
      <c r="A107" s="513">
        <v>105.6</v>
      </c>
      <c r="B107" s="510">
        <v>113.66043000000001</v>
      </c>
      <c r="C107" s="606">
        <v>59.452209712919</v>
      </c>
      <c r="D107" s="510">
        <v>52.799990000000001</v>
      </c>
      <c r="E107" s="510">
        <v>64.615260000000006</v>
      </c>
      <c r="F107" s="601">
        <v>58.8247</v>
      </c>
      <c r="G107" s="511" t="s">
        <v>7</v>
      </c>
      <c r="H107" s="569">
        <v>34.03</v>
      </c>
      <c r="I107" s="558">
        <v>15.97</v>
      </c>
      <c r="J107" s="558">
        <v>290</v>
      </c>
      <c r="K107" s="573">
        <v>20</v>
      </c>
      <c r="L107" s="511" t="s">
        <v>21</v>
      </c>
      <c r="M107" s="576">
        <v>30313.5</v>
      </c>
      <c r="N107" s="558">
        <v>994.53800000000001</v>
      </c>
      <c r="O107" s="510">
        <v>11934.5</v>
      </c>
      <c r="P107" s="607">
        <v>303.13499999999999</v>
      </c>
      <c r="Q107" s="608">
        <v>0.188359</v>
      </c>
      <c r="R107" s="530">
        <v>303135</v>
      </c>
      <c r="S107" s="607">
        <v>331.51299999999998</v>
      </c>
      <c r="T107" s="510">
        <v>303135149</v>
      </c>
      <c r="U107" s="559">
        <v>1574662711</v>
      </c>
      <c r="V107" s="530">
        <v>15746627</v>
      </c>
      <c r="W107" s="558">
        <v>157466</v>
      </c>
      <c r="X107" s="515">
        <v>1574.66</v>
      </c>
      <c r="Y107" s="530">
        <v>2440732</v>
      </c>
      <c r="Z107" s="607">
        <v>16949.5</v>
      </c>
      <c r="AA107" s="608">
        <v>15.746600000000001</v>
      </c>
      <c r="AB107" s="515">
        <v>0.15746599999999999</v>
      </c>
      <c r="AC107" s="583">
        <v>0.38910800000000001</v>
      </c>
      <c r="AD107" s="516">
        <v>14</v>
      </c>
      <c r="AE107" s="585">
        <v>105.6</v>
      </c>
      <c r="AF107" s="495">
        <v>113.66043000000001</v>
      </c>
      <c r="AG107" s="495">
        <v>59.452089999999998</v>
      </c>
      <c r="AH107" s="495">
        <v>52.799990000000001</v>
      </c>
      <c r="AI107" s="495">
        <v>64.615260000000006</v>
      </c>
      <c r="AJ107" s="517">
        <v>58.8247</v>
      </c>
      <c r="AK107" s="518" t="s">
        <v>7</v>
      </c>
      <c r="AL107" s="519">
        <v>34.026499999999999</v>
      </c>
      <c r="AM107" s="521">
        <v>15.973599999999999</v>
      </c>
      <c r="AN107" s="521">
        <v>290</v>
      </c>
      <c r="AO107" s="520">
        <v>20</v>
      </c>
      <c r="AP107" s="518" t="s">
        <v>21</v>
      </c>
      <c r="AQ107" s="585">
        <v>30313.5</v>
      </c>
      <c r="AR107" s="609">
        <v>994.53899999999999</v>
      </c>
      <c r="AS107" s="495">
        <v>11934.5</v>
      </c>
      <c r="AT107" s="610">
        <v>303.13499999999999</v>
      </c>
      <c r="AU107" s="609">
        <v>0.18836</v>
      </c>
      <c r="AV107" s="495">
        <v>303135</v>
      </c>
      <c r="AW107" s="495">
        <f>AE107+AF107+AG107+AH107</f>
        <v>331.51250999999996</v>
      </c>
      <c r="AX107" s="495">
        <v>303135487</v>
      </c>
      <c r="AY107" s="495">
        <v>1574650000</v>
      </c>
      <c r="AZ107" s="565">
        <v>15746500</v>
      </c>
      <c r="BA107" s="565">
        <v>157465</v>
      </c>
      <c r="BB107" s="521">
        <f>((SQRT(((AE107+AH107+AJ107)/2)*((AE107+AH107+AJ107)/2-AE107)*((AE107+AH107+AJ107)/2-AH107)*((AE107+AH107+AJ107)/2-AJ107)))+(SQRT(((AF107+AG107+AJ107)/2)*((AF107+AG107+AJ107)/2-AF107)*((AF107+AG107+AJ107)/2-AG107)*((AF107+AG107+AJ107)/2-AJ107))))*0.9144*0.9144</f>
        <v>1574.6524348958758</v>
      </c>
      <c r="BC107" s="565">
        <v>2440712</v>
      </c>
      <c r="BD107" s="566">
        <v>16949.400000000001</v>
      </c>
      <c r="BE107" s="609">
        <v>15.746499999999999</v>
      </c>
      <c r="BF107" s="611">
        <v>0.15746499999999999</v>
      </c>
      <c r="BG107" s="594">
        <v>0.38910400000000001</v>
      </c>
      <c r="BH107" s="522" t="s">
        <v>7</v>
      </c>
      <c r="BI107" s="596">
        <f t="shared" si="99"/>
        <v>1.0286100539292908E-2</v>
      </c>
      <c r="BJ107" s="523">
        <f t="shared" si="100"/>
        <v>-2.2537186357481816E-2</v>
      </c>
      <c r="BK107" s="523">
        <f t="shared" ref="BK107:BK135" si="141">(100*(J107-AN107))/AN107</f>
        <v>0</v>
      </c>
      <c r="BL107" s="523">
        <f t="shared" ref="BL107:BL135" si="142">(100*(K107-AO107))/AO107</f>
        <v>0</v>
      </c>
      <c r="BM107" s="597">
        <f t="shared" ref="BM107:BM135" si="143">(100*(D107-AH107))/AH107</f>
        <v>0</v>
      </c>
      <c r="BN107" s="522" t="s">
        <v>21</v>
      </c>
      <c r="BO107" s="598">
        <f t="shared" si="124"/>
        <v>0</v>
      </c>
      <c r="BP107" s="524">
        <f t="shared" si="125"/>
        <v>-1.0054909862522768E-4</v>
      </c>
      <c r="BQ107" s="524">
        <f t="shared" si="126"/>
        <v>0</v>
      </c>
      <c r="BR107" s="524">
        <f t="shared" si="127"/>
        <v>0</v>
      </c>
      <c r="BS107" s="524">
        <f t="shared" si="128"/>
        <v>-5.3089827989010407E-4</v>
      </c>
      <c r="BT107" s="524">
        <f t="shared" si="129"/>
        <v>0</v>
      </c>
      <c r="BU107" s="524">
        <f t="shared" si="130"/>
        <v>1.4780739345656192E-4</v>
      </c>
      <c r="BV107" s="524">
        <f t="shared" si="131"/>
        <v>-1.1150129710811456E-4</v>
      </c>
      <c r="BW107" s="488">
        <f t="shared" si="132"/>
        <v>8.0722700282602488E-4</v>
      </c>
      <c r="BX107" s="488">
        <f t="shared" si="133"/>
        <v>8.0652843489029309E-4</v>
      </c>
      <c r="BY107" s="488">
        <f t="shared" si="134"/>
        <v>6.3506175975613628E-4</v>
      </c>
      <c r="BZ107" s="488">
        <f t="shared" si="135"/>
        <v>4.8043009089790564E-4</v>
      </c>
      <c r="CA107" s="488">
        <f t="shared" si="136"/>
        <v>8.1943301790625032E-4</v>
      </c>
      <c r="CB107" s="488">
        <f t="shared" si="137"/>
        <v>5.8999138611717696E-4</v>
      </c>
      <c r="CC107" s="488">
        <f t="shared" si="138"/>
        <v>6.3506175976593725E-4</v>
      </c>
      <c r="CD107" s="488">
        <f t="shared" si="139"/>
        <v>6.3506175975677141E-4</v>
      </c>
      <c r="CE107" s="489">
        <f t="shared" si="140"/>
        <v>1.0280027961686337E-3</v>
      </c>
    </row>
    <row r="108" spans="1:83" x14ac:dyDescent="0.25">
      <c r="A108" s="114">
        <v>130</v>
      </c>
      <c r="B108" s="115">
        <v>75</v>
      </c>
      <c r="C108" s="115">
        <v>79.513000000000005</v>
      </c>
      <c r="D108" s="365">
        <v>54.122770000000003</v>
      </c>
      <c r="E108" s="115">
        <v>113.02654</v>
      </c>
      <c r="F108" s="223">
        <v>127.2337</v>
      </c>
      <c r="G108" s="210" t="s">
        <v>9</v>
      </c>
      <c r="H108" s="602">
        <v>1.0471999999999999</v>
      </c>
      <c r="I108" s="365">
        <v>1.9343399999999999</v>
      </c>
      <c r="J108" s="670">
        <v>1.30908</v>
      </c>
      <c r="K108" s="365">
        <v>1.99255</v>
      </c>
      <c r="L108" s="210" t="s">
        <v>31</v>
      </c>
      <c r="M108" s="255">
        <v>338.63600000000002</v>
      </c>
      <c r="N108" s="115">
        <v>11.110099999999999</v>
      </c>
      <c r="O108" s="115">
        <v>133.321</v>
      </c>
      <c r="P108" s="115">
        <v>3.3863599999999998</v>
      </c>
      <c r="Q108" s="311">
        <v>2.1041800000000002E-3</v>
      </c>
      <c r="R108" s="115">
        <v>3386.36</v>
      </c>
      <c r="S108" s="115">
        <v>3.7033700000000001</v>
      </c>
      <c r="T108" s="115">
        <v>3386357</v>
      </c>
      <c r="U108" s="115">
        <v>618505</v>
      </c>
      <c r="V108" s="115">
        <v>6185.05</v>
      </c>
      <c r="W108" s="115">
        <v>61.850499999999997</v>
      </c>
      <c r="X108" s="115">
        <v>0.61850499999999997</v>
      </c>
      <c r="Y108" s="115">
        <v>958.68399999999997</v>
      </c>
      <c r="Z108" s="115">
        <v>6.6575300000000004</v>
      </c>
      <c r="AA108" s="311">
        <v>6.1850500000000001E-3</v>
      </c>
      <c r="AB108" s="422">
        <v>6.1850454012355E-5</v>
      </c>
      <c r="AC108" s="577">
        <v>1.52836E-4</v>
      </c>
      <c r="AD108" s="462">
        <v>1</v>
      </c>
      <c r="AE108" s="262">
        <v>130</v>
      </c>
      <c r="AF108" s="260">
        <v>75</v>
      </c>
      <c r="AG108" s="260">
        <v>79.513000000000005</v>
      </c>
      <c r="AH108" s="533">
        <v>54.122770000000003</v>
      </c>
      <c r="AI108" s="260">
        <v>113.02654</v>
      </c>
      <c r="AJ108" s="586">
        <v>127.2337</v>
      </c>
      <c r="AK108" s="282" t="s">
        <v>9</v>
      </c>
      <c r="AL108" s="262">
        <v>1.0471999999999999</v>
      </c>
      <c r="AM108" s="260">
        <v>1.9343399999999999</v>
      </c>
      <c r="AN108" s="260">
        <v>1.3090900000000001</v>
      </c>
      <c r="AO108" s="586">
        <v>1.9925600000000001</v>
      </c>
      <c r="AP108" s="282" t="s">
        <v>31</v>
      </c>
      <c r="AQ108" s="589">
        <f>AE108+AF108+AG108+AH108</f>
        <v>338.63577000000004</v>
      </c>
      <c r="AR108" s="260">
        <v>11.110099999999999</v>
      </c>
      <c r="AS108" s="260">
        <v>133.321</v>
      </c>
      <c r="AT108" s="260">
        <v>3.3863599999999998</v>
      </c>
      <c r="AU108" s="532">
        <v>2.1041900000000001E-3</v>
      </c>
      <c r="AV108" s="260">
        <v>3386.36</v>
      </c>
      <c r="AW108" s="260">
        <v>3.7033700000000001</v>
      </c>
      <c r="AX108" s="260">
        <v>3386360</v>
      </c>
      <c r="AY108" s="260">
        <v>618505</v>
      </c>
      <c r="AZ108" s="260">
        <f>(SQRT(((AE108+AF108+AI108)/2)*((AE108+AF108+AI108)/2-AE108)*((AE108+AF108+AI108)/2-AF108)*((AE108+AF108+AI108)/2-AI108)))+(SQRT(((AG108+AH108+AI108)/2)*((AG108+AH108+AI108)/2-AG108)*((AG108+AH108+AI108)/2-AH108)*((AG108+AH108+AI108)/2-AI108)))</f>
        <v>6185.0471738200649</v>
      </c>
      <c r="BA108" s="260">
        <v>61.850499999999997</v>
      </c>
      <c r="BB108" s="260">
        <v>0.61850499999999997</v>
      </c>
      <c r="BC108" s="260">
        <v>958.68499999999995</v>
      </c>
      <c r="BD108" s="260">
        <v>6.6575300000000004</v>
      </c>
      <c r="BE108" s="263">
        <v>6.1850500000000001E-3</v>
      </c>
      <c r="BF108" s="557">
        <v>6.1850499999999993E-5</v>
      </c>
      <c r="BG108" s="590">
        <v>1.52836E-4</v>
      </c>
      <c r="BH108" s="237" t="s">
        <v>9</v>
      </c>
      <c r="BI108" s="283">
        <f t="shared" si="99"/>
        <v>0</v>
      </c>
      <c r="BJ108" s="90">
        <f t="shared" si="100"/>
        <v>0</v>
      </c>
      <c r="BK108" s="90">
        <f t="shared" si="141"/>
        <v>-7.6388941937265674E-4</v>
      </c>
      <c r="BL108" s="73">
        <f t="shared" si="142"/>
        <v>-5.0186694503882E-4</v>
      </c>
      <c r="BM108" s="233">
        <f t="shared" si="143"/>
        <v>0</v>
      </c>
      <c r="BN108" s="237" t="s">
        <v>31</v>
      </c>
      <c r="BO108" s="213">
        <f t="shared" ref="BO108:BO129" si="144">(100*(M108-AQ108))/AQ108</f>
        <v>6.7919582148022928E-5</v>
      </c>
      <c r="BP108" s="91">
        <f t="shared" ref="BP108:BP129" si="145">(100*(N108-AR108))/AR108</f>
        <v>0</v>
      </c>
      <c r="BQ108" s="91">
        <f t="shared" ref="BQ108:BQ129" si="146">(100*(O108-AS108))/AS108</f>
        <v>0</v>
      </c>
      <c r="BR108" s="91">
        <f t="shared" ref="BR108:BR129" si="147">(100*(P108-AT108))/AT108</f>
        <v>0</v>
      </c>
      <c r="BS108" s="91">
        <f t="shared" ref="BS108:BS129" si="148">(100*(Q108-AU108))/AU108</f>
        <v>-4.7524225473653098E-4</v>
      </c>
      <c r="BT108" s="91">
        <f t="shared" ref="BT108:BT129" si="149">(100*(R108-AV108))/AV108</f>
        <v>0</v>
      </c>
      <c r="BU108" s="91">
        <f t="shared" ref="BU108:BU129" si="150">(100*(S108-AW108))/AW108</f>
        <v>0</v>
      </c>
      <c r="BV108" s="91">
        <f t="shared" si="111"/>
        <v>-8.8590699157797755E-5</v>
      </c>
      <c r="BW108" s="93">
        <f t="shared" si="112"/>
        <v>0</v>
      </c>
      <c r="BX108" s="93">
        <f t="shared" ref="BX108:BX129" si="151">(100*(V108-AZ108))/AZ108</f>
        <v>4.5693749066579588E-5</v>
      </c>
      <c r="BY108" s="93">
        <f t="shared" ref="BY108:BY129" si="152">(100*(W108-BA108))/BA108</f>
        <v>0</v>
      </c>
      <c r="BZ108" s="93">
        <f t="shared" ref="BZ108:BZ129" si="153">(100*(X108-BB108))/BB108</f>
        <v>0</v>
      </c>
      <c r="CA108" s="93">
        <f t="shared" ref="CA108:CA129" si="154">(100*(Y108-BC108))/BC108</f>
        <v>-1.0430954901519823E-4</v>
      </c>
      <c r="CB108" s="93">
        <f t="shared" ref="CB108:CB129" si="155">(100*(Z108-BD108))/BD108</f>
        <v>0</v>
      </c>
      <c r="CC108" s="93">
        <f t="shared" ref="CC108:CC129" si="156">(100*(AA108-BE108))/BE108</f>
        <v>0</v>
      </c>
      <c r="CD108" s="93">
        <f t="shared" si="119"/>
        <v>-7.4352907403536637E-5</v>
      </c>
      <c r="CE108" s="95">
        <f t="shared" ref="CE108:CE129" si="157">(100*(AC108-BG108))/BG108</f>
        <v>0</v>
      </c>
    </row>
    <row r="109" spans="1:83" x14ac:dyDescent="0.25">
      <c r="A109" s="118">
        <v>100</v>
      </c>
      <c r="B109" s="1">
        <v>44</v>
      </c>
      <c r="C109" s="1">
        <v>126.727111961459</v>
      </c>
      <c r="D109" s="1">
        <v>55</v>
      </c>
      <c r="E109" s="1">
        <v>116.03491</v>
      </c>
      <c r="F109" s="6">
        <v>129.56551999999999</v>
      </c>
      <c r="G109" s="211" t="s">
        <v>5</v>
      </c>
      <c r="H109" s="482">
        <v>1.74532</v>
      </c>
      <c r="I109" s="348">
        <v>1.46221</v>
      </c>
      <c r="J109" s="348">
        <v>1.15578</v>
      </c>
      <c r="K109" s="456">
        <v>1.9198599999999999</v>
      </c>
      <c r="L109" s="211" t="s">
        <v>31</v>
      </c>
      <c r="M109" s="56">
        <v>9928.16</v>
      </c>
      <c r="N109" s="1">
        <v>325.72699999999998</v>
      </c>
      <c r="O109" s="1">
        <v>3908.73</v>
      </c>
      <c r="P109" s="1">
        <v>99.281599999999997</v>
      </c>
      <c r="Q109" s="1">
        <v>6.1690700000000001E-2</v>
      </c>
      <c r="R109" s="1">
        <v>99281.600000000006</v>
      </c>
      <c r="S109" s="1">
        <v>108.57599999999999</v>
      </c>
      <c r="T109" s="1">
        <v>99281624</v>
      </c>
      <c r="U109" s="1">
        <v>497563739</v>
      </c>
      <c r="V109" s="1">
        <v>4975637</v>
      </c>
      <c r="W109" s="1">
        <v>49756.4</v>
      </c>
      <c r="X109" s="1">
        <v>497.56400000000002</v>
      </c>
      <c r="Y109" s="1">
        <v>771225</v>
      </c>
      <c r="Z109" s="1">
        <v>5355.73</v>
      </c>
      <c r="AA109" s="1">
        <v>4.9756400000000003</v>
      </c>
      <c r="AB109" s="78">
        <v>4.9756399999999999E-2</v>
      </c>
      <c r="AC109" s="6">
        <v>0.122951</v>
      </c>
      <c r="AD109" s="143">
        <v>2</v>
      </c>
      <c r="AE109" s="34">
        <v>100</v>
      </c>
      <c r="AF109" s="2">
        <v>44</v>
      </c>
      <c r="AG109" s="2">
        <v>126.72705000000001</v>
      </c>
      <c r="AH109" s="2">
        <v>55</v>
      </c>
      <c r="AI109" s="2">
        <v>116.03491</v>
      </c>
      <c r="AJ109" s="42">
        <v>129.56551999999999</v>
      </c>
      <c r="AK109" s="19" t="s">
        <v>5</v>
      </c>
      <c r="AL109" s="34">
        <v>1.74533</v>
      </c>
      <c r="AM109" s="2">
        <v>1.46221</v>
      </c>
      <c r="AN109" s="2">
        <v>1.1556999999999999</v>
      </c>
      <c r="AO109" s="42">
        <v>1.9198599999999999</v>
      </c>
      <c r="AP109" s="19" t="s">
        <v>31</v>
      </c>
      <c r="AQ109" s="34">
        <v>9928.16</v>
      </c>
      <c r="AR109" s="2">
        <f>AE109+AF109+AG109+AH109</f>
        <v>325.72705000000002</v>
      </c>
      <c r="AS109" s="2">
        <v>3908.72</v>
      </c>
      <c r="AT109" s="2">
        <v>99.281599999999997</v>
      </c>
      <c r="AU109" s="2">
        <v>6.1690700000000001E-2</v>
      </c>
      <c r="AV109" s="2">
        <v>99281.600000000006</v>
      </c>
      <c r="AW109" s="2">
        <v>108.57599999999999</v>
      </c>
      <c r="AX109" s="2">
        <v>99281590</v>
      </c>
      <c r="AY109" s="2">
        <v>497563598</v>
      </c>
      <c r="AZ109" s="2">
        <v>4975636</v>
      </c>
      <c r="BA109" s="2">
        <v>49756.4</v>
      </c>
      <c r="BB109" s="2">
        <v>497.56400000000002</v>
      </c>
      <c r="BC109" s="2">
        <v>771225</v>
      </c>
      <c r="BD109" s="2">
        <f>(SQRT(((AE109+AF109+AI109)/2)*((AE109+AF109+AI109)/2-AE109)*((AE109+AF109+AI109)/2-AF109)*((AE109+AF109+AI109)/2-AI109)))+(SQRT(((AG109+AH109+AI109)/2)*((AG109+AH109+AI109)/2-AG109)*((AG109+AH109+AI109)/2-AH109)*((AG109+AH109+AI109)/2-AI109)))</f>
        <v>5355.7313780270033</v>
      </c>
      <c r="BE109" s="2">
        <v>4.9756400000000003</v>
      </c>
      <c r="BF109" s="342">
        <v>4.9756399999999999E-2</v>
      </c>
      <c r="BG109" s="42">
        <v>0.122951</v>
      </c>
      <c r="BH109" s="238" t="s">
        <v>5</v>
      </c>
      <c r="BI109" s="251">
        <f t="shared" si="99"/>
        <v>-5.7295754957890552E-4</v>
      </c>
      <c r="BJ109" s="73">
        <f t="shared" si="100"/>
        <v>0</v>
      </c>
      <c r="BK109" s="73">
        <f t="shared" si="141"/>
        <v>6.9222116466280187E-3</v>
      </c>
      <c r="BL109" s="73">
        <f t="shared" si="142"/>
        <v>0</v>
      </c>
      <c r="BM109" s="234">
        <f t="shared" si="143"/>
        <v>0</v>
      </c>
      <c r="BN109" s="238" t="s">
        <v>31</v>
      </c>
      <c r="BO109" s="214">
        <f t="shared" si="144"/>
        <v>0</v>
      </c>
      <c r="BP109" s="82">
        <f t="shared" si="145"/>
        <v>-1.5350275650822487E-5</v>
      </c>
      <c r="BQ109" s="82">
        <f t="shared" si="146"/>
        <v>2.5583822837702057E-4</v>
      </c>
      <c r="BR109" s="82">
        <f t="shared" si="147"/>
        <v>0</v>
      </c>
      <c r="BS109" s="82">
        <f t="shared" si="148"/>
        <v>0</v>
      </c>
      <c r="BT109" s="82">
        <f t="shared" si="149"/>
        <v>0</v>
      </c>
      <c r="BU109" s="82">
        <f t="shared" si="150"/>
        <v>0</v>
      </c>
      <c r="BV109" s="82">
        <f t="shared" si="111"/>
        <v>3.4246026881720974E-5</v>
      </c>
      <c r="BW109" s="80">
        <f t="shared" si="112"/>
        <v>2.8338085938513533E-5</v>
      </c>
      <c r="BX109" s="80">
        <f t="shared" si="151"/>
        <v>2.0097933208940524E-5</v>
      </c>
      <c r="BY109" s="80">
        <f t="shared" si="152"/>
        <v>0</v>
      </c>
      <c r="BZ109" s="80">
        <f t="shared" si="153"/>
        <v>0</v>
      </c>
      <c r="CA109" s="80">
        <f t="shared" si="154"/>
        <v>0</v>
      </c>
      <c r="CB109" s="80">
        <f t="shared" si="155"/>
        <v>-2.5729949963366739E-5</v>
      </c>
      <c r="CC109" s="80">
        <f t="shared" si="156"/>
        <v>0</v>
      </c>
      <c r="CD109" s="80">
        <f t="shared" si="119"/>
        <v>0</v>
      </c>
      <c r="CE109" s="96">
        <f t="shared" si="157"/>
        <v>0</v>
      </c>
    </row>
    <row r="110" spans="1:83" x14ac:dyDescent="0.25">
      <c r="A110" s="118">
        <v>50</v>
      </c>
      <c r="B110" s="1">
        <v>77.666349999999994</v>
      </c>
      <c r="C110" s="54">
        <v>82.906237968455898</v>
      </c>
      <c r="D110" s="1">
        <v>60</v>
      </c>
      <c r="E110" s="1">
        <v>44.309060000000002</v>
      </c>
      <c r="F110" s="6">
        <v>104.95191</v>
      </c>
      <c r="G110" s="211" t="s">
        <v>8</v>
      </c>
      <c r="H110" s="482">
        <v>0.56279000000000001</v>
      </c>
      <c r="I110" s="348">
        <v>1.4234500000000001</v>
      </c>
      <c r="J110" s="348">
        <v>0.54447000000000001</v>
      </c>
      <c r="K110" s="456">
        <v>3.7524600000000001</v>
      </c>
      <c r="L110" s="211" t="s">
        <v>31</v>
      </c>
      <c r="M110" s="56">
        <v>687.25400000000002</v>
      </c>
      <c r="N110" s="1">
        <v>22.547699999999999</v>
      </c>
      <c r="O110" s="1">
        <v>270.57299999999998</v>
      </c>
      <c r="P110" s="1">
        <v>6.8725399999999999</v>
      </c>
      <c r="Q110" s="1">
        <v>4.2703999999999997E-3</v>
      </c>
      <c r="R110" s="1">
        <v>6872.54</v>
      </c>
      <c r="S110" s="1">
        <v>7.5159099999999999</v>
      </c>
      <c r="T110" s="1">
        <v>6872544</v>
      </c>
      <c r="U110" s="1">
        <v>1499520</v>
      </c>
      <c r="V110" s="1">
        <v>14995.2</v>
      </c>
      <c r="W110" s="1">
        <v>149.952</v>
      </c>
      <c r="X110" s="1">
        <v>1.49952</v>
      </c>
      <c r="Y110" s="1">
        <v>2324.2600000000002</v>
      </c>
      <c r="Z110" s="1">
        <v>16.140699999999999</v>
      </c>
      <c r="AA110" s="49">
        <v>1.49952E-2</v>
      </c>
      <c r="AB110" s="58">
        <v>1.4995199999999999E-4</v>
      </c>
      <c r="AC110" s="579">
        <v>3.7053999999999999E-4</v>
      </c>
      <c r="AD110" s="143">
        <v>3</v>
      </c>
      <c r="AE110" s="34">
        <v>50</v>
      </c>
      <c r="AF110" s="2">
        <v>77.666349999999994</v>
      </c>
      <c r="AG110" s="2">
        <v>82.906030000000001</v>
      </c>
      <c r="AH110" s="2">
        <v>60</v>
      </c>
      <c r="AI110" s="2">
        <v>44.309060000000002</v>
      </c>
      <c r="AJ110" s="42">
        <v>104.95191</v>
      </c>
      <c r="AK110" s="19" t="s">
        <v>8</v>
      </c>
      <c r="AL110" s="34">
        <v>0.56279000000000001</v>
      </c>
      <c r="AM110" s="2">
        <v>1.4234599999999999</v>
      </c>
      <c r="AN110" s="2">
        <v>0.54447999999999996</v>
      </c>
      <c r="AO110" s="42">
        <v>3.7524600000000001</v>
      </c>
      <c r="AP110" s="19" t="s">
        <v>31</v>
      </c>
      <c r="AQ110" s="34">
        <v>687.25300000000004</v>
      </c>
      <c r="AR110" s="2">
        <v>22.547699999999999</v>
      </c>
      <c r="AS110" s="2">
        <f>AE110+AF110+AG110+AH110</f>
        <v>270.57238000000001</v>
      </c>
      <c r="AT110" s="2">
        <v>6.8725300000000002</v>
      </c>
      <c r="AU110" s="2">
        <v>4.2703899999999998E-3</v>
      </c>
      <c r="AV110" s="2">
        <v>6872.53</v>
      </c>
      <c r="AW110" s="2">
        <v>7.5158899999999997</v>
      </c>
      <c r="AX110" s="2">
        <v>6872529</v>
      </c>
      <c r="AY110" s="340">
        <v>1499520</v>
      </c>
      <c r="AZ110" s="26">
        <v>14995.2</v>
      </c>
      <c r="BA110" s="2">
        <v>149.952</v>
      </c>
      <c r="BB110" s="2">
        <v>1.49952</v>
      </c>
      <c r="BC110" s="2">
        <f>(SQRT(((AE110+AF110+AI110)/2)*((AE110+AF110+AI110)/2-AE110)*((AE110+AF110+AI110)/2-AF110)*((AE110+AF110+AI110)/2-AI110)))+(SQRT(((AG110+AH110+AI110)/2)*((AG110+AH110+AI110)/2-AG110)*((AG110+AH110+AI110)/2-AH110)*((AG110+AH110+AI110)/2-AI110)))</f>
        <v>2324.2633524631156</v>
      </c>
      <c r="BD110" s="2">
        <v>16.140699999999999</v>
      </c>
      <c r="BE110" s="342">
        <v>1.49952E-2</v>
      </c>
      <c r="BF110" s="309">
        <v>1.4995199999999999E-4</v>
      </c>
      <c r="BG110" s="188">
        <v>3.7053900000000002E-4</v>
      </c>
      <c r="BH110" s="238" t="s">
        <v>8</v>
      </c>
      <c r="BI110" s="251">
        <f t="shared" si="99"/>
        <v>0</v>
      </c>
      <c r="BJ110" s="73">
        <f t="shared" si="100"/>
        <v>-7.0251359362704031E-4</v>
      </c>
      <c r="BK110" s="73">
        <f t="shared" si="141"/>
        <v>-1.8366147516813273E-3</v>
      </c>
      <c r="BL110" s="73">
        <f t="shared" si="142"/>
        <v>0</v>
      </c>
      <c r="BM110" s="234">
        <f t="shared" si="143"/>
        <v>0</v>
      </c>
      <c r="BN110" s="238" t="s">
        <v>31</v>
      </c>
      <c r="BO110" s="214">
        <f t="shared" si="144"/>
        <v>1.4550682208391277E-4</v>
      </c>
      <c r="BP110" s="82">
        <f t="shared" si="145"/>
        <v>0</v>
      </c>
      <c r="BQ110" s="82">
        <f t="shared" si="146"/>
        <v>2.2914386160532082E-4</v>
      </c>
      <c r="BR110" s="82">
        <f t="shared" si="147"/>
        <v>1.4550682208184501E-4</v>
      </c>
      <c r="BS110" s="82">
        <f t="shared" si="148"/>
        <v>2.341706495177399E-4</v>
      </c>
      <c r="BT110" s="82">
        <f t="shared" si="149"/>
        <v>1.4550682209052968E-4</v>
      </c>
      <c r="BU110" s="82">
        <f t="shared" si="150"/>
        <v>2.661028833595359E-4</v>
      </c>
      <c r="BV110" s="82">
        <f t="shared" si="111"/>
        <v>2.1826026488938789E-4</v>
      </c>
      <c r="BW110" s="80">
        <f t="shared" si="112"/>
        <v>0</v>
      </c>
      <c r="BX110" s="80">
        <f t="shared" si="151"/>
        <v>0</v>
      </c>
      <c r="BY110" s="80">
        <f t="shared" si="152"/>
        <v>0</v>
      </c>
      <c r="BZ110" s="80">
        <f t="shared" si="153"/>
        <v>0</v>
      </c>
      <c r="CA110" s="80">
        <f t="shared" si="154"/>
        <v>-1.4423766187172219E-4</v>
      </c>
      <c r="CB110" s="80">
        <f t="shared" si="155"/>
        <v>0</v>
      </c>
      <c r="CC110" s="80">
        <f t="shared" si="156"/>
        <v>0</v>
      </c>
      <c r="CD110" s="80">
        <f t="shared" si="119"/>
        <v>0</v>
      </c>
      <c r="CE110" s="96">
        <f t="shared" si="157"/>
        <v>2.6987712493463172E-4</v>
      </c>
    </row>
    <row r="111" spans="1:83" x14ac:dyDescent="0.25">
      <c r="A111" s="118">
        <v>77</v>
      </c>
      <c r="B111" s="1">
        <v>65</v>
      </c>
      <c r="C111" s="1">
        <v>76.999978457766602</v>
      </c>
      <c r="D111" s="1">
        <v>65</v>
      </c>
      <c r="E111" s="1">
        <v>116.52303999999999</v>
      </c>
      <c r="F111" s="6">
        <v>82.038880000000006</v>
      </c>
      <c r="G111" s="211" t="s">
        <v>4</v>
      </c>
      <c r="H111" s="348">
        <v>1.9198599999999999</v>
      </c>
      <c r="I111" s="348">
        <v>1.22173</v>
      </c>
      <c r="J111" s="348">
        <v>1.9198599999999999</v>
      </c>
      <c r="K111" s="348">
        <v>1.22173</v>
      </c>
      <c r="L111" s="211" t="s">
        <v>31</v>
      </c>
      <c r="M111" s="56">
        <v>28400</v>
      </c>
      <c r="N111" s="1">
        <v>931.75800000000004</v>
      </c>
      <c r="O111" s="1">
        <v>11181.1</v>
      </c>
      <c r="P111" s="1">
        <v>284</v>
      </c>
      <c r="Q111" s="1">
        <v>0.17646899999999999</v>
      </c>
      <c r="R111" s="1">
        <v>284000</v>
      </c>
      <c r="S111" s="1">
        <v>310.58600000000001</v>
      </c>
      <c r="T111" s="1">
        <v>283999978</v>
      </c>
      <c r="U111" s="1">
        <v>4703161027</v>
      </c>
      <c r="V111" s="1">
        <v>47031610</v>
      </c>
      <c r="W111" s="1">
        <v>470316</v>
      </c>
      <c r="X111" s="1">
        <v>4703.16</v>
      </c>
      <c r="Y111" s="1">
        <v>7289914</v>
      </c>
      <c r="Z111" s="1">
        <v>50624.4</v>
      </c>
      <c r="AA111" s="1">
        <v>47.031599999999997</v>
      </c>
      <c r="AB111" s="1">
        <v>0.47031600000000001</v>
      </c>
      <c r="AC111" s="6">
        <v>1.16218</v>
      </c>
      <c r="AD111" s="143">
        <v>4</v>
      </c>
      <c r="AE111" s="34">
        <v>77</v>
      </c>
      <c r="AF111" s="2">
        <v>65</v>
      </c>
      <c r="AG111" s="2">
        <v>77</v>
      </c>
      <c r="AH111" s="2">
        <v>65</v>
      </c>
      <c r="AI111" s="2">
        <v>116.52303999999999</v>
      </c>
      <c r="AJ111" s="42">
        <v>82.038880000000006</v>
      </c>
      <c r="AK111" s="19" t="s">
        <v>4</v>
      </c>
      <c r="AL111" s="186">
        <v>1.9198599999999999</v>
      </c>
      <c r="AM111" s="186">
        <v>1.22173</v>
      </c>
      <c r="AN111" s="186">
        <v>1.9198599999999999</v>
      </c>
      <c r="AO111" s="186">
        <v>1.22173</v>
      </c>
      <c r="AP111" s="19" t="s">
        <v>31</v>
      </c>
      <c r="AQ111" s="34">
        <v>28400</v>
      </c>
      <c r="AR111" s="2">
        <v>931.75900000000001</v>
      </c>
      <c r="AS111" s="2">
        <v>11181.1</v>
      </c>
      <c r="AT111" s="2">
        <f>AE111+AF111+AG111+AH111</f>
        <v>284</v>
      </c>
      <c r="AU111" s="2">
        <v>0.17646899999999999</v>
      </c>
      <c r="AV111" s="2">
        <v>284000</v>
      </c>
      <c r="AW111" s="2">
        <v>310.58600000000001</v>
      </c>
      <c r="AX111" s="2">
        <v>284000000</v>
      </c>
      <c r="AY111" s="29">
        <v>4703160000</v>
      </c>
      <c r="AZ111" s="29">
        <v>47031600</v>
      </c>
      <c r="BA111" s="29">
        <v>470316</v>
      </c>
      <c r="BB111" s="2">
        <f>((SQRT(((AE111+AF111+AI111)/2)*((AE111+AF111+AI111)/2-AE111)*((AE111+AF111+AI111)/2-AF111)*((AE111+AF111+AI111)/2-AI111)))+(SQRT(((AG111+AH111+AI111)/2)*((AG111+AH111+AI111)/2-AG111)*((AG111+AH111+AI111)/2-AH111)*((AG111+AH111+AI111)/2-AI111))))</f>
        <v>4703.1620736522027</v>
      </c>
      <c r="BC111" s="29">
        <v>7289913</v>
      </c>
      <c r="BD111" s="29">
        <v>50624.4</v>
      </c>
      <c r="BE111" s="2">
        <v>47.031599999999997</v>
      </c>
      <c r="BF111" s="2">
        <v>0.47031600000000001</v>
      </c>
      <c r="BG111" s="42">
        <v>1.16218</v>
      </c>
      <c r="BH111" s="238" t="s">
        <v>4</v>
      </c>
      <c r="BI111" s="251">
        <f t="shared" si="99"/>
        <v>0</v>
      </c>
      <c r="BJ111" s="73">
        <f t="shared" si="100"/>
        <v>0</v>
      </c>
      <c r="BK111" s="73">
        <f t="shared" si="141"/>
        <v>0</v>
      </c>
      <c r="BL111" s="73">
        <f t="shared" si="142"/>
        <v>0</v>
      </c>
      <c r="BM111" s="234">
        <f t="shared" si="143"/>
        <v>0</v>
      </c>
      <c r="BN111" s="238" t="s">
        <v>31</v>
      </c>
      <c r="BO111" s="214">
        <f t="shared" si="144"/>
        <v>0</v>
      </c>
      <c r="BP111" s="82">
        <f t="shared" si="145"/>
        <v>-1.0732388954400795E-4</v>
      </c>
      <c r="BQ111" s="82">
        <f t="shared" si="146"/>
        <v>0</v>
      </c>
      <c r="BR111" s="82">
        <f t="shared" si="147"/>
        <v>0</v>
      </c>
      <c r="BS111" s="82">
        <f t="shared" si="148"/>
        <v>0</v>
      </c>
      <c r="BT111" s="82">
        <f t="shared" si="149"/>
        <v>0</v>
      </c>
      <c r="BU111" s="82">
        <f t="shared" si="150"/>
        <v>0</v>
      </c>
      <c r="BV111" s="82">
        <f t="shared" si="111"/>
        <v>-7.7464788732394361E-6</v>
      </c>
      <c r="BW111" s="80">
        <f t="shared" si="112"/>
        <v>2.1836382347187848E-5</v>
      </c>
      <c r="BX111" s="80">
        <f t="shared" si="151"/>
        <v>2.1262300240689238E-5</v>
      </c>
      <c r="BY111" s="80">
        <f t="shared" si="152"/>
        <v>0</v>
      </c>
      <c r="BZ111" s="80">
        <f t="shared" si="153"/>
        <v>-4.4090596292008053E-5</v>
      </c>
      <c r="CA111" s="80">
        <f t="shared" si="154"/>
        <v>1.3717584832631061E-5</v>
      </c>
      <c r="CB111" s="80">
        <f t="shared" si="155"/>
        <v>0</v>
      </c>
      <c r="CC111" s="80">
        <f t="shared" si="156"/>
        <v>0</v>
      </c>
      <c r="CD111" s="80">
        <f t="shared" si="119"/>
        <v>0</v>
      </c>
      <c r="CE111" s="96">
        <f t="shared" si="157"/>
        <v>0</v>
      </c>
    </row>
    <row r="112" spans="1:83" x14ac:dyDescent="0.25">
      <c r="A112" s="118">
        <v>50</v>
      </c>
      <c r="B112" s="1">
        <v>100</v>
      </c>
      <c r="C112" s="54">
        <v>89.490138405261803</v>
      </c>
      <c r="D112" s="1">
        <v>40</v>
      </c>
      <c r="E112" s="1">
        <v>55.705260000000003</v>
      </c>
      <c r="F112" s="6">
        <v>58.355899999999998</v>
      </c>
      <c r="G112" s="211" t="s">
        <v>10</v>
      </c>
      <c r="H112" s="482">
        <v>0.34905999999999998</v>
      </c>
      <c r="I112" s="348">
        <v>0.61650000000000005</v>
      </c>
      <c r="J112" s="348">
        <v>0.43069000000000002</v>
      </c>
      <c r="K112" s="456">
        <v>4.8869199999999999</v>
      </c>
      <c r="L112" s="211" t="s">
        <v>31</v>
      </c>
      <c r="M112" s="575">
        <v>44979578</v>
      </c>
      <c r="N112" s="1">
        <v>1475708</v>
      </c>
      <c r="O112" s="1">
        <v>17708495</v>
      </c>
      <c r="P112" s="1">
        <v>449796</v>
      </c>
      <c r="Q112" s="1">
        <v>279.49</v>
      </c>
      <c r="R112" s="1">
        <v>449795777</v>
      </c>
      <c r="S112" s="1">
        <v>491903</v>
      </c>
      <c r="T112" s="1">
        <v>449795777302</v>
      </c>
      <c r="U112" s="59">
        <v>4149925187179280</v>
      </c>
      <c r="V112" s="59">
        <v>41499251871793</v>
      </c>
      <c r="W112" s="1">
        <v>414992518718</v>
      </c>
      <c r="X112" s="1">
        <v>4149925187</v>
      </c>
      <c r="Y112" s="1">
        <v>6432396904922</v>
      </c>
      <c r="Z112" s="1">
        <v>44669422951</v>
      </c>
      <c r="AA112" s="1">
        <v>41499252</v>
      </c>
      <c r="AB112" s="1">
        <v>414993</v>
      </c>
      <c r="AC112" s="6">
        <v>1025469</v>
      </c>
      <c r="AD112" s="143">
        <v>5</v>
      </c>
      <c r="AE112" s="34">
        <v>50</v>
      </c>
      <c r="AF112" s="2">
        <v>100</v>
      </c>
      <c r="AG112" s="2">
        <v>89.49015</v>
      </c>
      <c r="AH112" s="2">
        <v>40</v>
      </c>
      <c r="AI112" s="2">
        <v>55.705260000000003</v>
      </c>
      <c r="AJ112" s="42">
        <v>58.355899999999998</v>
      </c>
      <c r="AK112" s="19" t="s">
        <v>10</v>
      </c>
      <c r="AL112" s="34">
        <v>0.34906599999999999</v>
      </c>
      <c r="AM112" s="2">
        <v>0.61650400000000005</v>
      </c>
      <c r="AN112" s="2">
        <v>0.43069299999999999</v>
      </c>
      <c r="AO112" s="42">
        <v>4.8869199999999999</v>
      </c>
      <c r="AP112" s="19" t="s">
        <v>31</v>
      </c>
      <c r="AQ112" s="34">
        <v>44979555</v>
      </c>
      <c r="AR112" s="2">
        <v>1475707</v>
      </c>
      <c r="AS112" s="2">
        <v>17708486</v>
      </c>
      <c r="AT112" s="2">
        <v>449796</v>
      </c>
      <c r="AU112" s="2">
        <f>AE112+AF112+AG112+AH112</f>
        <v>279.49014999999997</v>
      </c>
      <c r="AV112" s="2">
        <v>449795555</v>
      </c>
      <c r="AW112" s="2">
        <v>491902</v>
      </c>
      <c r="AX112" s="29">
        <v>449795554560</v>
      </c>
      <c r="AY112" s="29">
        <v>4149923701000000</v>
      </c>
      <c r="AZ112" s="29">
        <v>41499237010000</v>
      </c>
      <c r="BA112" s="29">
        <v>414992370100</v>
      </c>
      <c r="BB112" s="2">
        <f>((SQRT(((AE112+AF112+AI112)/2)*((AE112+AF112+AI112)/2-AE112)*((AE112+AF112+AI112)/2-AF112)*((AE112+AF112+AI112)/2-AI112)))+(SQRT(((AG112+AH112+AI112)/2)*((AG112+AH112+AI112)/2-AG112)*((AG112+AH112+AI112)/2-AH112)*((AG112+AH112+AI112)/2-AI112))))*1609.344*1609.344</f>
        <v>4149923701.2181191</v>
      </c>
      <c r="BC112" s="29">
        <v>6432394601339</v>
      </c>
      <c r="BD112" s="2">
        <v>44669406954</v>
      </c>
      <c r="BE112" s="2">
        <v>41499237</v>
      </c>
      <c r="BF112" s="2">
        <v>414992</v>
      </c>
      <c r="BG112" s="42">
        <v>1025468</v>
      </c>
      <c r="BH112" s="238" t="s">
        <v>10</v>
      </c>
      <c r="BI112" s="251">
        <f t="shared" si="99"/>
        <v>-1.718872648727175E-3</v>
      </c>
      <c r="BJ112" s="73">
        <f t="shared" si="100"/>
        <v>-6.488197967902885E-4</v>
      </c>
      <c r="BK112" s="73">
        <f t="shared" si="141"/>
        <v>-6.965518362209845E-4</v>
      </c>
      <c r="BL112" s="73">
        <f t="shared" si="142"/>
        <v>0</v>
      </c>
      <c r="BM112" s="234">
        <f t="shared" si="143"/>
        <v>0</v>
      </c>
      <c r="BN112" s="238" t="s">
        <v>31</v>
      </c>
      <c r="BO112" s="214">
        <f t="shared" si="144"/>
        <v>5.1134343147681204E-5</v>
      </c>
      <c r="BP112" s="82">
        <f t="shared" si="145"/>
        <v>6.7764129329196112E-5</v>
      </c>
      <c r="BQ112" s="82">
        <f t="shared" si="146"/>
        <v>5.0823091256926201E-5</v>
      </c>
      <c r="BR112" s="82">
        <f t="shared" si="147"/>
        <v>0</v>
      </c>
      <c r="BS112" s="82">
        <f t="shared" si="148"/>
        <v>-5.3669154337763582E-5</v>
      </c>
      <c r="BT112" s="82">
        <f t="shared" si="149"/>
        <v>4.9355756750419643E-5</v>
      </c>
      <c r="BU112" s="82">
        <f t="shared" si="150"/>
        <v>2.0329252574699839E-4</v>
      </c>
      <c r="BV112" s="82">
        <f t="shared" si="111"/>
        <v>4.952072063448719E-5</v>
      </c>
      <c r="BW112" s="80">
        <f t="shared" si="112"/>
        <v>3.5812207333881294E-5</v>
      </c>
      <c r="BX112" s="80">
        <f t="shared" si="151"/>
        <v>3.5812207815817867E-5</v>
      </c>
      <c r="BY112" s="80">
        <f t="shared" si="152"/>
        <v>3.581222468359786E-5</v>
      </c>
      <c r="BZ112" s="80">
        <f t="shared" si="153"/>
        <v>3.5802631272942239E-5</v>
      </c>
      <c r="CA112" s="80">
        <f t="shared" si="154"/>
        <v>3.5812215244389304E-5</v>
      </c>
      <c r="CB112" s="80">
        <f t="shared" si="155"/>
        <v>3.5811982049534507E-5</v>
      </c>
      <c r="CC112" s="80">
        <f t="shared" si="156"/>
        <v>3.6145242863139871E-5</v>
      </c>
      <c r="CD112" s="80">
        <f t="shared" si="119"/>
        <v>2.4096850059760188E-4</v>
      </c>
      <c r="CE112" s="96">
        <f t="shared" si="157"/>
        <v>9.7516451025287965E-5</v>
      </c>
    </row>
    <row r="113" spans="1:83" x14ac:dyDescent="0.25">
      <c r="A113" s="118">
        <v>149.71453</v>
      </c>
      <c r="B113" s="1">
        <v>45</v>
      </c>
      <c r="C113" s="1">
        <v>72</v>
      </c>
      <c r="D113" s="1">
        <v>65</v>
      </c>
      <c r="E113" s="1">
        <v>124.1994</v>
      </c>
      <c r="F113" s="6">
        <v>110.33123000000001</v>
      </c>
      <c r="G113" s="211" t="s">
        <v>6</v>
      </c>
      <c r="H113" s="482">
        <v>0.83796000000000004</v>
      </c>
      <c r="I113" s="348">
        <v>2.4434499999999999</v>
      </c>
      <c r="J113" s="348">
        <v>2.26892</v>
      </c>
      <c r="K113" s="456">
        <v>0.73282000000000003</v>
      </c>
      <c r="L113" s="211" t="s">
        <v>31</v>
      </c>
      <c r="M113" s="56">
        <v>33.171500000000002</v>
      </c>
      <c r="N113" s="1">
        <v>1.0883</v>
      </c>
      <c r="O113" s="1">
        <v>13.0596</v>
      </c>
      <c r="P113" s="1">
        <v>0.33171499999999998</v>
      </c>
      <c r="Q113" s="316">
        <v>2.0611800000000001E-4</v>
      </c>
      <c r="R113" s="1">
        <v>331.71499999999997</v>
      </c>
      <c r="S113" s="1">
        <v>0.36276799999999998</v>
      </c>
      <c r="T113" s="1">
        <v>331715</v>
      </c>
      <c r="U113" s="348">
        <v>4296.37</v>
      </c>
      <c r="V113" s="347">
        <v>42.963700000000003</v>
      </c>
      <c r="W113" s="315">
        <v>0.42963699999999999</v>
      </c>
      <c r="X113" s="326">
        <v>4.2963699999999999E-3</v>
      </c>
      <c r="Y113" s="78">
        <v>6.6593799999999996</v>
      </c>
      <c r="Z113" s="78">
        <v>4.6245700000000001E-2</v>
      </c>
      <c r="AA113" s="49">
        <v>4.2963677822271301E-5</v>
      </c>
      <c r="AB113" s="58">
        <v>4.2963677822271401E-7</v>
      </c>
      <c r="AC113" s="579">
        <v>1.06165559975048E-6</v>
      </c>
      <c r="AD113" s="143">
        <v>6</v>
      </c>
      <c r="AE113" s="34">
        <v>149.71453</v>
      </c>
      <c r="AF113" s="2">
        <v>45</v>
      </c>
      <c r="AG113" s="2">
        <v>72</v>
      </c>
      <c r="AH113" s="2">
        <v>65</v>
      </c>
      <c r="AI113" s="2">
        <v>124.1994</v>
      </c>
      <c r="AJ113" s="42">
        <v>110.33123000000001</v>
      </c>
      <c r="AK113" s="19" t="s">
        <v>6</v>
      </c>
      <c r="AL113" s="34">
        <v>0.83796999999999999</v>
      </c>
      <c r="AM113" s="2">
        <v>2.44346</v>
      </c>
      <c r="AN113" s="2">
        <v>2.2689300000000001</v>
      </c>
      <c r="AO113" s="42">
        <v>0.73282999999999998</v>
      </c>
      <c r="AP113" s="19" t="s">
        <v>31</v>
      </c>
      <c r="AQ113" s="34">
        <v>33.171500000000002</v>
      </c>
      <c r="AR113" s="2">
        <v>1.0883</v>
      </c>
      <c r="AS113" s="2">
        <v>13.0596</v>
      </c>
      <c r="AT113" s="2">
        <v>0.33171499999999998</v>
      </c>
      <c r="AU113" s="302">
        <v>2.0611800000000001E-4</v>
      </c>
      <c r="AV113" s="2">
        <f>AE113+AF113+AG113+AH113</f>
        <v>331.71452999999997</v>
      </c>
      <c r="AW113" s="2">
        <v>0.36276799999999998</v>
      </c>
      <c r="AX113" s="2">
        <v>331715</v>
      </c>
      <c r="AY113" s="2">
        <f>(SQRT(((AE113+AF113+AI113)/2)*((AE113+AF113+AI113)/2-AE113)*((AE113+AF113+AI113)/2-AF113)*((AE113+AF113+AI113)/2-AI113)))+(SQRT(((AG113+AH113+AI113)/2)*((AG113+AH113+AI113)/2-AG113)*((AG113+AH113+AI113)/2-AH113)*((AG113+AH113+AI113)/2-AI113)))</f>
        <v>4296.3623276832368</v>
      </c>
      <c r="AZ113" s="2">
        <v>42.9636</v>
      </c>
      <c r="BA113" s="2">
        <v>0.42963600000000002</v>
      </c>
      <c r="BB113" s="23">
        <v>4.2963599999999999E-3</v>
      </c>
      <c r="BC113" s="2">
        <v>6.65937</v>
      </c>
      <c r="BD113" s="342">
        <v>4.6245599999999998E-2</v>
      </c>
      <c r="BE113" s="323">
        <v>4.2963600000000003E-5</v>
      </c>
      <c r="BF113" s="360">
        <v>4.2963600000000002E-7</v>
      </c>
      <c r="BG113" s="43">
        <v>1.06165367672027E-6</v>
      </c>
      <c r="BH113" s="238" t="s">
        <v>6</v>
      </c>
      <c r="BI113" s="251">
        <f t="shared" si="99"/>
        <v>-1.1933601441524743E-3</v>
      </c>
      <c r="BJ113" s="73">
        <f t="shared" si="100"/>
        <v>-4.0925572753658797E-4</v>
      </c>
      <c r="BK113" s="73">
        <f t="shared" si="141"/>
        <v>-4.4073638235051372E-4</v>
      </c>
      <c r="BL113" s="73">
        <f t="shared" si="142"/>
        <v>-1.36457295688693E-3</v>
      </c>
      <c r="BM113" s="234">
        <f t="shared" si="143"/>
        <v>0</v>
      </c>
      <c r="BN113" s="238" t="s">
        <v>31</v>
      </c>
      <c r="BO113" s="214">
        <f t="shared" si="144"/>
        <v>0</v>
      </c>
      <c r="BP113" s="82">
        <f t="shared" si="145"/>
        <v>0</v>
      </c>
      <c r="BQ113" s="82">
        <f t="shared" si="146"/>
        <v>0</v>
      </c>
      <c r="BR113" s="82">
        <f t="shared" si="147"/>
        <v>0</v>
      </c>
      <c r="BS113" s="82">
        <f t="shared" si="148"/>
        <v>0</v>
      </c>
      <c r="BT113" s="82">
        <f t="shared" si="149"/>
        <v>1.4168809548592155E-4</v>
      </c>
      <c r="BU113" s="82">
        <f t="shared" si="150"/>
        <v>0</v>
      </c>
      <c r="BV113" s="82">
        <f t="shared" si="111"/>
        <v>0</v>
      </c>
      <c r="BW113" s="80">
        <f t="shared" si="112"/>
        <v>1.7857704210968783E-4</v>
      </c>
      <c r="BX113" s="80">
        <f t="shared" si="151"/>
        <v>2.3275516950004111E-4</v>
      </c>
      <c r="BY113" s="80">
        <f t="shared" si="152"/>
        <v>2.3275516948608694E-4</v>
      </c>
      <c r="BZ113" s="80">
        <f t="shared" si="153"/>
        <v>2.3275516949093213E-4</v>
      </c>
      <c r="CA113" s="80">
        <f t="shared" si="154"/>
        <v>1.5016435488073832E-4</v>
      </c>
      <c r="CB113" s="80">
        <f t="shared" si="155"/>
        <v>2.1623678793847539E-4</v>
      </c>
      <c r="CC113" s="80">
        <f t="shared" si="156"/>
        <v>1.8113535946318591E-4</v>
      </c>
      <c r="CD113" s="80">
        <f t="shared" si="119"/>
        <v>1.8113535969730308E-4</v>
      </c>
      <c r="CE113" s="96">
        <f t="shared" si="157"/>
        <v>1.8113536006278985E-4</v>
      </c>
    </row>
    <row r="114" spans="1:83" x14ac:dyDescent="0.25">
      <c r="A114" s="118">
        <v>95</v>
      </c>
      <c r="B114" s="1">
        <v>35</v>
      </c>
      <c r="C114" s="1">
        <v>25</v>
      </c>
      <c r="D114" s="1">
        <v>88.358099999999993</v>
      </c>
      <c r="E114" s="1">
        <v>86.252989999999997</v>
      </c>
      <c r="F114" s="6">
        <v>60</v>
      </c>
      <c r="G114" s="211" t="s">
        <v>7</v>
      </c>
      <c r="H114" s="482">
        <v>1.13446</v>
      </c>
      <c r="I114" s="348">
        <v>3.1415899999999999</v>
      </c>
      <c r="J114" s="348">
        <v>1.34419</v>
      </c>
      <c r="K114" s="456">
        <v>0.66293000000000002</v>
      </c>
      <c r="L114" s="211" t="s">
        <v>31</v>
      </c>
      <c r="M114" s="56">
        <v>22252.7</v>
      </c>
      <c r="N114" s="1">
        <v>730.07399999999996</v>
      </c>
      <c r="O114" s="1">
        <v>8760.89</v>
      </c>
      <c r="P114" s="1">
        <v>222.52699999999999</v>
      </c>
      <c r="Q114" s="1">
        <v>0.13827200000000001</v>
      </c>
      <c r="R114" s="1">
        <v>222527</v>
      </c>
      <c r="S114" s="1">
        <v>243.358</v>
      </c>
      <c r="T114" s="1">
        <v>222526647</v>
      </c>
      <c r="U114" s="1">
        <v>2159696430</v>
      </c>
      <c r="V114" s="1">
        <v>21596964</v>
      </c>
      <c r="W114" s="1">
        <v>215970</v>
      </c>
      <c r="X114" s="1">
        <v>2159.6999999999998</v>
      </c>
      <c r="Y114" s="1">
        <v>3347536</v>
      </c>
      <c r="Z114" s="1">
        <v>23246.799999999999</v>
      </c>
      <c r="AA114" s="1">
        <v>21.597000000000001</v>
      </c>
      <c r="AB114" s="1">
        <v>0.21597</v>
      </c>
      <c r="AC114" s="6">
        <v>0.53367299999999995</v>
      </c>
      <c r="AD114" s="143">
        <v>7</v>
      </c>
      <c r="AE114" s="34">
        <v>95</v>
      </c>
      <c r="AF114" s="2">
        <v>35</v>
      </c>
      <c r="AG114" s="2">
        <v>25</v>
      </c>
      <c r="AH114" s="2">
        <v>88.358099999999993</v>
      </c>
      <c r="AI114" s="2">
        <v>86.252989999999997</v>
      </c>
      <c r="AJ114" s="42">
        <v>60</v>
      </c>
      <c r="AK114" s="19" t="s">
        <v>7</v>
      </c>
      <c r="AL114" s="34">
        <v>1.13446</v>
      </c>
      <c r="AM114" s="2">
        <v>3.1415899999999999</v>
      </c>
      <c r="AN114" s="2">
        <v>1.34419</v>
      </c>
      <c r="AO114" s="42">
        <v>0.66293000000000002</v>
      </c>
      <c r="AP114" s="19" t="s">
        <v>31</v>
      </c>
      <c r="AQ114" s="34">
        <v>22252.7</v>
      </c>
      <c r="AR114" s="2">
        <v>730.07399999999996</v>
      </c>
      <c r="AS114" s="2">
        <v>8760.89</v>
      </c>
      <c r="AT114" s="2">
        <v>222.52699999999999</v>
      </c>
      <c r="AU114" s="2">
        <v>0.13827200000000001</v>
      </c>
      <c r="AV114" s="2">
        <v>222527</v>
      </c>
      <c r="AW114" s="2">
        <f>AE114+AF114+AG114+AH114</f>
        <v>243.35809999999998</v>
      </c>
      <c r="AX114" s="2">
        <v>222526555</v>
      </c>
      <c r="AY114" s="2">
        <v>2159700000</v>
      </c>
      <c r="AZ114" s="2">
        <v>21597000</v>
      </c>
      <c r="BA114" s="2">
        <v>215970</v>
      </c>
      <c r="BB114" s="2">
        <f>((SQRT(((AE114+AF114+AI114)/2)*((AE114+AF114+AI114)/2-AE114)*((AE114+AF114+AI114)/2-AF114)*((AE114+AF114+AI114)/2-AI114)))+(SQRT(((AG114+AH114+AI114)/2)*((AG114+AH114+AI114)/2-AG114)*((AG114+AH114+AI114)/2-AH114)*((AG114+AH114+AI114)/2-AI114))))*0.9144*0.9144</f>
        <v>2159.6964297961986</v>
      </c>
      <c r="BC114" s="2">
        <v>3347542</v>
      </c>
      <c r="BD114" s="2">
        <v>23246.799999999999</v>
      </c>
      <c r="BE114" s="2">
        <v>21.597000000000001</v>
      </c>
      <c r="BF114" s="2">
        <v>0.21597</v>
      </c>
      <c r="BG114" s="42">
        <v>0.53367299999999995</v>
      </c>
      <c r="BH114" s="238" t="s">
        <v>7</v>
      </c>
      <c r="BI114" s="251">
        <f t="shared" si="99"/>
        <v>0</v>
      </c>
      <c r="BJ114" s="73">
        <f t="shared" si="100"/>
        <v>0</v>
      </c>
      <c r="BK114" s="73">
        <f t="shared" si="141"/>
        <v>0</v>
      </c>
      <c r="BL114" s="73">
        <f t="shared" si="142"/>
        <v>0</v>
      </c>
      <c r="BM114" s="234">
        <f t="shared" si="143"/>
        <v>0</v>
      </c>
      <c r="BN114" s="238" t="s">
        <v>31</v>
      </c>
      <c r="BO114" s="214">
        <f t="shared" si="144"/>
        <v>0</v>
      </c>
      <c r="BP114" s="82">
        <f t="shared" si="145"/>
        <v>0</v>
      </c>
      <c r="BQ114" s="82">
        <f t="shared" si="146"/>
        <v>0</v>
      </c>
      <c r="BR114" s="82">
        <f t="shared" si="147"/>
        <v>0</v>
      </c>
      <c r="BS114" s="82">
        <f t="shared" si="148"/>
        <v>0</v>
      </c>
      <c r="BT114" s="82">
        <f t="shared" si="149"/>
        <v>0</v>
      </c>
      <c r="BU114" s="82">
        <f t="shared" si="150"/>
        <v>-4.1091708052823374E-5</v>
      </c>
      <c r="BV114" s="82">
        <f t="shared" si="111"/>
        <v>4.1343380343977376E-5</v>
      </c>
      <c r="BW114" s="80">
        <f t="shared" si="112"/>
        <v>-1.6530073621336296E-4</v>
      </c>
      <c r="BX114" s="80">
        <f t="shared" si="151"/>
        <v>-1.6668981803028197E-4</v>
      </c>
      <c r="BY114" s="80">
        <f t="shared" si="152"/>
        <v>0</v>
      </c>
      <c r="BZ114" s="80">
        <f t="shared" si="153"/>
        <v>1.6531044604184753E-4</v>
      </c>
      <c r="CA114" s="80">
        <f t="shared" si="154"/>
        <v>-1.7923598867467533E-4</v>
      </c>
      <c r="CB114" s="80">
        <f t="shared" si="155"/>
        <v>0</v>
      </c>
      <c r="CC114" s="80">
        <f t="shared" si="156"/>
        <v>0</v>
      </c>
      <c r="CD114" s="80">
        <f t="shared" ref="CD114:CD129" si="158">(100*(AB114-BF114))/BF114</f>
        <v>0</v>
      </c>
      <c r="CE114" s="96">
        <f t="shared" si="157"/>
        <v>0</v>
      </c>
    </row>
    <row r="115" spans="1:83" x14ac:dyDescent="0.25">
      <c r="A115" s="118">
        <v>56</v>
      </c>
      <c r="B115" s="1">
        <v>55</v>
      </c>
      <c r="C115" s="1">
        <v>101</v>
      </c>
      <c r="D115" s="1">
        <v>71.063320000000004</v>
      </c>
      <c r="E115" s="1">
        <v>78.492069999999998</v>
      </c>
      <c r="F115" s="6">
        <v>115.00433</v>
      </c>
      <c r="G115" s="211" t="s">
        <v>20</v>
      </c>
      <c r="H115" s="482">
        <v>1.5707899999999999</v>
      </c>
      <c r="I115" s="348">
        <v>1.5707899999999999</v>
      </c>
      <c r="J115" s="348">
        <v>0.88505999999999996</v>
      </c>
      <c r="K115" s="456">
        <v>2.2565200000000001</v>
      </c>
      <c r="L115" s="211" t="s">
        <v>31</v>
      </c>
      <c r="M115" s="56">
        <v>2.83063E-2</v>
      </c>
      <c r="N115" s="316">
        <v>9.2868599999999996E-4</v>
      </c>
      <c r="O115" s="1">
        <v>1.11442E-2</v>
      </c>
      <c r="P115" s="316">
        <v>2.8306300000000001E-4</v>
      </c>
      <c r="Q115" s="58">
        <v>1.75887423264056E-7</v>
      </c>
      <c r="R115" s="78">
        <v>0.28306300000000001</v>
      </c>
      <c r="S115" s="316">
        <v>3.0956199999999999E-4</v>
      </c>
      <c r="T115" s="1">
        <v>283.06299999999999</v>
      </c>
      <c r="U115" s="78">
        <v>4.3175000000000002E-3</v>
      </c>
      <c r="V115" s="49">
        <v>4.3175001015702197E-5</v>
      </c>
      <c r="W115" s="58">
        <v>4.3175001015702198E-7</v>
      </c>
      <c r="X115" s="447">
        <v>4.3175001015702201E-9</v>
      </c>
      <c r="Y115" s="50">
        <v>6.6921385417109196E-6</v>
      </c>
      <c r="Z115" s="51">
        <v>4.6473184317436901E-8</v>
      </c>
      <c r="AA115" s="525">
        <v>4.3175001015702198E-11</v>
      </c>
      <c r="AB115" s="79">
        <v>4.3175001015702198E-13</v>
      </c>
      <c r="AC115" s="580">
        <v>1.0668775095830299E-12</v>
      </c>
      <c r="AD115" s="143">
        <v>8</v>
      </c>
      <c r="AE115" s="34">
        <v>56</v>
      </c>
      <c r="AF115" s="2">
        <v>55</v>
      </c>
      <c r="AG115" s="2">
        <v>101</v>
      </c>
      <c r="AH115" s="2">
        <v>71.063320000000004</v>
      </c>
      <c r="AI115" s="2">
        <v>78.492069999999998</v>
      </c>
      <c r="AJ115" s="42">
        <v>115.00433</v>
      </c>
      <c r="AK115" s="19" t="s">
        <v>20</v>
      </c>
      <c r="AL115" s="34">
        <v>1.5708</v>
      </c>
      <c r="AM115" s="2">
        <v>1.5708</v>
      </c>
      <c r="AN115" s="2">
        <v>0.88507000000000002</v>
      </c>
      <c r="AO115" s="42">
        <v>2.2565300000000001</v>
      </c>
      <c r="AP115" s="19" t="s">
        <v>31</v>
      </c>
      <c r="AQ115" s="34">
        <v>2.83063E-2</v>
      </c>
      <c r="AR115" s="302">
        <v>9.2868400000000004E-4</v>
      </c>
      <c r="AS115" s="2">
        <v>1.11442E-2</v>
      </c>
      <c r="AT115" s="302">
        <v>2.8306300000000001E-4</v>
      </c>
      <c r="AU115" s="526">
        <v>1.75887193788276E-7</v>
      </c>
      <c r="AV115" s="2">
        <v>0.28306300000000001</v>
      </c>
      <c r="AW115" s="302">
        <v>3.0956100000000003E-4</v>
      </c>
      <c r="AX115" s="2">
        <f>AE115+AF115+AG115+AH115</f>
        <v>283.06331999999998</v>
      </c>
      <c r="AY115" s="2">
        <f>((SQRT(((AE115+AF115+AI115)/2)*((AE115+AF115+AI115)/2-AE115)*((AE115+AF115+AI115)/2-AF115)*((AE115+AF115+AI115)/2-AI115)))+(SQRT(((AG115+AH115+AI115)/2)*((AG115+AH115+AI115)/2-AG115)*((AG115+AH115+AI115)/2-AH115)*((AG115+AH115+AI115)/2-AI115))))/1000/1000</f>
        <v>4.3174998752142368E-3</v>
      </c>
      <c r="AZ115" s="302">
        <v>4.3174999999999999E-5</v>
      </c>
      <c r="BA115" s="23">
        <v>4.3174999999999998E-7</v>
      </c>
      <c r="BB115" s="31">
        <v>4.3174999999999996E-9</v>
      </c>
      <c r="BC115" s="33">
        <v>6.6921383842767699E-6</v>
      </c>
      <c r="BD115" s="527">
        <v>4.6473183224144199E-8</v>
      </c>
      <c r="BE115" s="32">
        <v>4.3175000000000002E-11</v>
      </c>
      <c r="BF115" s="528">
        <v>4.3175E-13</v>
      </c>
      <c r="BG115" s="591">
        <v>1.06687748448449E-12</v>
      </c>
      <c r="BH115" s="238" t="s">
        <v>20</v>
      </c>
      <c r="BI115" s="251">
        <f t="shared" si="99"/>
        <v>-6.3661828368127783E-4</v>
      </c>
      <c r="BJ115" s="73">
        <f t="shared" si="100"/>
        <v>-6.3661828368127783E-4</v>
      </c>
      <c r="BK115" s="73">
        <f t="shared" si="141"/>
        <v>-1.1298541358384661E-3</v>
      </c>
      <c r="BL115" s="73">
        <f t="shared" si="142"/>
        <v>-4.4315830057945214E-4</v>
      </c>
      <c r="BM115" s="234">
        <f t="shared" si="143"/>
        <v>0</v>
      </c>
      <c r="BN115" s="238" t="s">
        <v>31</v>
      </c>
      <c r="BO115" s="214">
        <f t="shared" si="144"/>
        <v>0</v>
      </c>
      <c r="BP115" s="82">
        <f t="shared" si="145"/>
        <v>2.1535850729883041E-4</v>
      </c>
      <c r="BQ115" s="82">
        <f t="shared" si="146"/>
        <v>0</v>
      </c>
      <c r="BR115" s="82">
        <f t="shared" si="147"/>
        <v>0</v>
      </c>
      <c r="BS115" s="82">
        <f t="shared" si="148"/>
        <v>1.3046758837998384E-4</v>
      </c>
      <c r="BT115" s="82">
        <f t="shared" si="149"/>
        <v>0</v>
      </c>
      <c r="BU115" s="82">
        <f t="shared" si="150"/>
        <v>3.2303810879327018E-4</v>
      </c>
      <c r="BV115" s="82">
        <f t="shared" si="111"/>
        <v>-1.1304891074826846E-4</v>
      </c>
      <c r="BW115" s="80">
        <f t="shared" si="112"/>
        <v>2.8902320075563156E-6</v>
      </c>
      <c r="BX115" s="80">
        <f t="shared" si="151"/>
        <v>2.3525239094677644E-6</v>
      </c>
      <c r="BY115" s="80">
        <f t="shared" si="152"/>
        <v>2.3525239138819491E-6</v>
      </c>
      <c r="BZ115" s="80">
        <f t="shared" si="153"/>
        <v>2.3525239246108695E-6</v>
      </c>
      <c r="CA115" s="80">
        <f t="shared" si="154"/>
        <v>2.3525238227551326E-6</v>
      </c>
      <c r="CB115" s="80">
        <f t="shared" si="155"/>
        <v>2.3525238132622836E-6</v>
      </c>
      <c r="CC115" s="80">
        <f t="shared" si="156"/>
        <v>2.3525239042546586E-6</v>
      </c>
      <c r="CD115" s="80">
        <f t="shared" si="158"/>
        <v>2.3525239093998408E-6</v>
      </c>
      <c r="CE115" s="96">
        <f t="shared" si="157"/>
        <v>2.3525231612244044E-6</v>
      </c>
    </row>
    <row r="116" spans="1:83" x14ac:dyDescent="0.25">
      <c r="A116" s="118">
        <v>90</v>
      </c>
      <c r="B116" s="1">
        <v>97.706819999999993</v>
      </c>
      <c r="C116" s="1">
        <v>156.5977</v>
      </c>
      <c r="D116" s="1">
        <v>144</v>
      </c>
      <c r="E116" s="1">
        <v>180.77367000000001</v>
      </c>
      <c r="F116" s="6">
        <v>94.763440000000003</v>
      </c>
      <c r="G116" s="211" t="s">
        <v>9</v>
      </c>
      <c r="H116" s="482">
        <v>3.6873399999999998</v>
      </c>
      <c r="I116" s="348">
        <v>0.60958999999999997</v>
      </c>
      <c r="J116" s="348">
        <v>1.2881100000000001</v>
      </c>
      <c r="K116" s="456">
        <v>0.69811999999999996</v>
      </c>
      <c r="L116" s="211" t="s">
        <v>31</v>
      </c>
      <c r="M116" s="56">
        <v>488.30500000000001</v>
      </c>
      <c r="N116" s="347">
        <v>16.020499999999998</v>
      </c>
      <c r="O116" s="1">
        <v>192.24600000000001</v>
      </c>
      <c r="P116" s="348">
        <v>4.8830499999999999</v>
      </c>
      <c r="Q116" s="326">
        <v>3.03418E-3</v>
      </c>
      <c r="R116" s="325">
        <v>4883.05</v>
      </c>
      <c r="S116" s="348">
        <v>5.34016</v>
      </c>
      <c r="T116" s="1">
        <v>4883047</v>
      </c>
      <c r="U116" s="59">
        <v>854536</v>
      </c>
      <c r="V116" s="325">
        <v>8545.36</v>
      </c>
      <c r="W116" s="347">
        <v>85.453599999999994</v>
      </c>
      <c r="X116" s="315">
        <v>0.85453599999999996</v>
      </c>
      <c r="Y116" s="325">
        <v>1324.53</v>
      </c>
      <c r="Z116" s="348">
        <v>9.19815</v>
      </c>
      <c r="AA116" s="326">
        <v>8.5453600000000001E-3</v>
      </c>
      <c r="AB116" s="49">
        <v>8.5453622705716198E-5</v>
      </c>
      <c r="AC116" s="578">
        <v>2.1116099999999999E-4</v>
      </c>
      <c r="AD116" s="143">
        <v>9</v>
      </c>
      <c r="AE116" s="34">
        <v>90</v>
      </c>
      <c r="AF116" s="2">
        <v>97.706819999999993</v>
      </c>
      <c r="AG116" s="2">
        <v>156.5977</v>
      </c>
      <c r="AH116" s="2">
        <v>144</v>
      </c>
      <c r="AI116" s="2">
        <v>180.77367000000001</v>
      </c>
      <c r="AJ116" s="42">
        <v>94.763440000000003</v>
      </c>
      <c r="AK116" s="19" t="s">
        <v>9</v>
      </c>
      <c r="AL116" s="34">
        <f>0.5457+3.14159</f>
        <v>3.68729</v>
      </c>
      <c r="AM116" s="2">
        <v>0.60960000000000003</v>
      </c>
      <c r="AN116" s="2">
        <v>1.2881199999999999</v>
      </c>
      <c r="AO116" s="42">
        <v>0.69813000000000003</v>
      </c>
      <c r="AP116" s="19" t="s">
        <v>31</v>
      </c>
      <c r="AQ116" s="476">
        <f>AE116+AF116+AG116+AH116</f>
        <v>488.30452000000002</v>
      </c>
      <c r="AR116" s="307">
        <v>16.020499999999998</v>
      </c>
      <c r="AS116" s="2">
        <v>192.24600000000001</v>
      </c>
      <c r="AT116" s="186">
        <v>4.8830499999999999</v>
      </c>
      <c r="AU116" s="309">
        <v>3.03419E-3</v>
      </c>
      <c r="AV116" s="2">
        <v>4883.05</v>
      </c>
      <c r="AW116" s="186">
        <v>5.3401699999999996</v>
      </c>
      <c r="AX116" s="2">
        <v>4883050</v>
      </c>
      <c r="AY116" s="2">
        <v>854537</v>
      </c>
      <c r="AZ116" s="2">
        <f>(SQRT(((AE116+AH116+AJ116)/2)*((AE116+AH116+AJ116)/2-AE116)*((AE116+AH116+AJ116)/2-AH116)*((AE116+AH116+AJ116)/2-AJ116)))+(SQRT(((AF116+AG116+AJ116)/2)*((AF116+AG116+AJ116)/2-AF116)*((AF116+AG116+AJ116)/2-AG116)*((AF116+AG116+AJ116)/2-AJ116)))</f>
        <v>8545.3664112353272</v>
      </c>
      <c r="BA116" s="307">
        <v>85.453699999999998</v>
      </c>
      <c r="BB116" s="76">
        <v>0.85453699999999999</v>
      </c>
      <c r="BC116" s="396">
        <v>1324.53</v>
      </c>
      <c r="BD116" s="186">
        <v>9.1981599999999997</v>
      </c>
      <c r="BE116" s="309">
        <v>8.54537E-3</v>
      </c>
      <c r="BF116" s="323">
        <v>8.5453700000000005E-5</v>
      </c>
      <c r="BG116" s="188">
        <v>2.1116099999999999E-4</v>
      </c>
      <c r="BH116" s="238" t="s">
        <v>9</v>
      </c>
      <c r="BI116" s="251">
        <f t="shared" si="99"/>
        <v>1.356009426974376E-3</v>
      </c>
      <c r="BJ116" s="73">
        <f t="shared" si="100"/>
        <v>-1.6404199475173083E-3</v>
      </c>
      <c r="BK116" s="73">
        <f t="shared" si="141"/>
        <v>-7.7632518708221812E-4</v>
      </c>
      <c r="BL116" s="73">
        <f t="shared" si="142"/>
        <v>-1.4323979774634398E-3</v>
      </c>
      <c r="BM116" s="234">
        <f t="shared" si="143"/>
        <v>0</v>
      </c>
      <c r="BN116" s="238" t="s">
        <v>31</v>
      </c>
      <c r="BO116" s="214">
        <f t="shared" ref="BO116:BO121" si="159">(100*(M116-AQ116))/AQ116</f>
        <v>9.8299315349738783E-5</v>
      </c>
      <c r="BP116" s="82">
        <f t="shared" ref="BP116:BP121" si="160">(100*(N116-AR116))/AR116</f>
        <v>0</v>
      </c>
      <c r="BQ116" s="82">
        <f t="shared" ref="BQ116:BQ121" si="161">(100*(O116-AS116))/AS116</f>
        <v>0</v>
      </c>
      <c r="BR116" s="82">
        <f t="shared" ref="BR116:BR121" si="162">(100*(P116-AT116))/AT116</f>
        <v>0</v>
      </c>
      <c r="BS116" s="82">
        <f t="shared" ref="BS116:BS121" si="163">(100*(Q116-AU116))/AU116</f>
        <v>-3.2957725125785177E-4</v>
      </c>
      <c r="BT116" s="82">
        <f t="shared" ref="BT116:BT121" si="164">(100*(R116-AV116))/AV116</f>
        <v>0</v>
      </c>
      <c r="BU116" s="82">
        <f t="shared" ref="BU116:BU121" si="165">(100*(S116-AW116))/AW116</f>
        <v>-1.8725995613662905E-4</v>
      </c>
      <c r="BV116" s="82">
        <f t="shared" ref="BV116:BV121" si="166">(100*(T116-AX116))/AX116</f>
        <v>-6.1437011703750736E-5</v>
      </c>
      <c r="BW116" s="80">
        <f t="shared" ref="BW116:BW121" si="167">(100*(U116-AY116))/AY116</f>
        <v>-1.1702243437089325E-4</v>
      </c>
      <c r="BX116" s="80">
        <f t="shared" ref="BX116:BX121" si="168">(100*(V116-AZ116))/AZ116</f>
        <v>-7.5025868032599352E-5</v>
      </c>
      <c r="BY116" s="80">
        <f t="shared" ref="BY116:BY121" si="169">(100*(W116-BA116))/BA116</f>
        <v>-1.1702243437477799E-4</v>
      </c>
      <c r="BZ116" s="80">
        <f t="shared" ref="BZ116:BZ121" si="170">(100*(X116-BB116))/BB116</f>
        <v>-1.170224343742583E-4</v>
      </c>
      <c r="CA116" s="80">
        <f t="shared" ref="CA116:CA121" si="171">(100*(Y116-BC116))/BC116</f>
        <v>0</v>
      </c>
      <c r="CB116" s="80">
        <f t="shared" ref="CB116:CB121" si="172">(100*(Z116-BD116))/BD116</f>
        <v>-1.0871739564892787E-4</v>
      </c>
      <c r="CC116" s="80">
        <f t="shared" ref="CC116:CC121" si="173">(100*(AA116-BE116))/BE116</f>
        <v>-1.1702243437019828E-4</v>
      </c>
      <c r="CD116" s="80">
        <f t="shared" ref="CD116:CD121" si="174">(100*(AB116-BF116))/BF116</f>
        <v>-9.0451652540599943E-5</v>
      </c>
      <c r="CE116" s="96">
        <f t="shared" ref="CE116:CE121" si="175">(100*(AC116-BG116))/BG116</f>
        <v>0</v>
      </c>
    </row>
    <row r="117" spans="1:83" x14ac:dyDescent="0.25">
      <c r="A117" s="118">
        <v>110</v>
      </c>
      <c r="B117" s="1">
        <v>123.85859000000001</v>
      </c>
      <c r="C117" s="1">
        <v>236.79234</v>
      </c>
      <c r="D117" s="1">
        <v>220</v>
      </c>
      <c r="E117" s="1">
        <v>134.61519000000001</v>
      </c>
      <c r="F117" s="6">
        <v>122.55139</v>
      </c>
      <c r="G117" s="211" t="s">
        <v>5</v>
      </c>
      <c r="H117" s="482">
        <v>5.0614499999999998</v>
      </c>
      <c r="I117" s="348">
        <v>0.27878999999999998</v>
      </c>
      <c r="J117" s="348">
        <v>0.59387000000000001</v>
      </c>
      <c r="K117" s="456">
        <v>0.34905999999999998</v>
      </c>
      <c r="L117" s="211" t="s">
        <v>31</v>
      </c>
      <c r="M117" s="56">
        <v>21051</v>
      </c>
      <c r="N117" s="347">
        <v>690.65099999999995</v>
      </c>
      <c r="O117" s="1">
        <v>8287.81</v>
      </c>
      <c r="P117" s="348">
        <v>210.51</v>
      </c>
      <c r="Q117" s="326">
        <v>0.130805</v>
      </c>
      <c r="R117" s="325">
        <v>210510</v>
      </c>
      <c r="S117" s="348">
        <v>230.21700000000001</v>
      </c>
      <c r="T117" s="1">
        <v>210510367</v>
      </c>
      <c r="U117" s="59">
        <v>759386248</v>
      </c>
      <c r="V117" s="325">
        <v>7593862</v>
      </c>
      <c r="W117" s="347">
        <v>75938.600000000006</v>
      </c>
      <c r="X117" s="315">
        <v>759.38599999999997</v>
      </c>
      <c r="Y117" s="325">
        <v>1177051</v>
      </c>
      <c r="Z117" s="348">
        <v>8173.97</v>
      </c>
      <c r="AA117" s="326">
        <v>7.5938600000000003</v>
      </c>
      <c r="AB117" s="78">
        <v>7.5938599999999995E-2</v>
      </c>
      <c r="AC117" s="578">
        <v>0.18764800000000001</v>
      </c>
      <c r="AD117" s="143">
        <v>10</v>
      </c>
      <c r="AE117" s="34">
        <v>110</v>
      </c>
      <c r="AF117" s="2">
        <v>123.85859000000001</v>
      </c>
      <c r="AG117" s="2">
        <v>236.79234</v>
      </c>
      <c r="AH117" s="2">
        <v>220</v>
      </c>
      <c r="AI117" s="2">
        <v>134.61519000000001</v>
      </c>
      <c r="AJ117" s="42">
        <v>122.55139</v>
      </c>
      <c r="AK117" s="19" t="s">
        <v>5</v>
      </c>
      <c r="AL117" s="34">
        <f>1.91986+3.14159</f>
        <v>5.0614499999999998</v>
      </c>
      <c r="AM117" s="2">
        <v>0.27878999999999998</v>
      </c>
      <c r="AN117" s="2">
        <v>0.59387000000000001</v>
      </c>
      <c r="AO117" s="42">
        <v>0.34906999999999999</v>
      </c>
      <c r="AP117" s="19" t="s">
        <v>31</v>
      </c>
      <c r="AQ117" s="34">
        <v>21051</v>
      </c>
      <c r="AR117" s="186">
        <f>AE117+AF117+AG117+AH117</f>
        <v>690.65093000000002</v>
      </c>
      <c r="AS117" s="2">
        <v>8287.81</v>
      </c>
      <c r="AT117" s="396">
        <v>210.51</v>
      </c>
      <c r="AU117" s="76">
        <v>0.130805</v>
      </c>
      <c r="AV117" s="2">
        <v>210510</v>
      </c>
      <c r="AW117" s="186">
        <v>230.21700000000001</v>
      </c>
      <c r="AX117" s="2">
        <v>210510425</v>
      </c>
      <c r="AY117" s="2">
        <v>759383875</v>
      </c>
      <c r="AZ117" s="29">
        <v>7593839</v>
      </c>
      <c r="BA117" s="340">
        <v>75938.399999999994</v>
      </c>
      <c r="BB117" s="26">
        <v>759.38400000000001</v>
      </c>
      <c r="BC117" s="396">
        <v>1177047</v>
      </c>
      <c r="BD117" s="76">
        <f>(SQRT(((AE117+AH117+AJ117)/2)*((AE117+AH117+AJ117)/2-AE117)*((AE117+AH117+AJ117)/2-AH117)*((AE117+AH117+AJ117)/2-AJ117)))+(SQRT(((AF117+AG117+AJ117)/2)*((AF117+AG117+AJ117)/2-AF117)*((AF117+AG117+AJ117)/2-AG117)*((AF117+AG117+AJ117)/2-AJ117)))</f>
        <v>8173.94319394596</v>
      </c>
      <c r="BE117" s="186">
        <v>7.5938400000000001</v>
      </c>
      <c r="BF117" s="342">
        <v>7.5938400000000003E-2</v>
      </c>
      <c r="BG117" s="322">
        <v>0.18764800000000001</v>
      </c>
      <c r="BH117" s="238" t="s">
        <v>5</v>
      </c>
      <c r="BI117" s="251">
        <f t="shared" si="99"/>
        <v>0</v>
      </c>
      <c r="BJ117" s="73">
        <f t="shared" si="100"/>
        <v>0</v>
      </c>
      <c r="BK117" s="73">
        <f t="shared" si="141"/>
        <v>0</v>
      </c>
      <c r="BL117" s="73">
        <f t="shared" si="142"/>
        <v>-2.8647549202194408E-3</v>
      </c>
      <c r="BM117" s="234">
        <f t="shared" si="143"/>
        <v>0</v>
      </c>
      <c r="BN117" s="238" t="s">
        <v>31</v>
      </c>
      <c r="BO117" s="214">
        <f t="shared" si="159"/>
        <v>0</v>
      </c>
      <c r="BP117" s="82">
        <f t="shared" si="160"/>
        <v>1.0135366057778829E-5</v>
      </c>
      <c r="BQ117" s="82">
        <f t="shared" si="161"/>
        <v>0</v>
      </c>
      <c r="BR117" s="82">
        <f t="shared" si="162"/>
        <v>0</v>
      </c>
      <c r="BS117" s="82">
        <f t="shared" si="163"/>
        <v>0</v>
      </c>
      <c r="BT117" s="82">
        <f t="shared" si="164"/>
        <v>0</v>
      </c>
      <c r="BU117" s="82">
        <f t="shared" si="165"/>
        <v>0</v>
      </c>
      <c r="BV117" s="82">
        <f t="shared" si="166"/>
        <v>-2.7552079665413246E-5</v>
      </c>
      <c r="BW117" s="80">
        <f t="shared" si="167"/>
        <v>3.1249017501194635E-4</v>
      </c>
      <c r="BX117" s="80">
        <f t="shared" si="168"/>
        <v>3.028771086666441E-4</v>
      </c>
      <c r="BY117" s="80">
        <f t="shared" si="169"/>
        <v>2.6337136417364803E-4</v>
      </c>
      <c r="BZ117" s="80">
        <f t="shared" si="170"/>
        <v>2.6337136415208987E-4</v>
      </c>
      <c r="CA117" s="80">
        <f t="shared" si="171"/>
        <v>3.3983349857737204E-4</v>
      </c>
      <c r="CB117" s="80">
        <f t="shared" si="172"/>
        <v>3.2794519614549633E-4</v>
      </c>
      <c r="CC117" s="80">
        <f t="shared" si="173"/>
        <v>2.6337136416004319E-4</v>
      </c>
      <c r="CD117" s="80">
        <f t="shared" si="174"/>
        <v>2.6337136414761612E-4</v>
      </c>
      <c r="CE117" s="96">
        <f t="shared" si="175"/>
        <v>0</v>
      </c>
    </row>
    <row r="118" spans="1:83" x14ac:dyDescent="0.25">
      <c r="A118" s="118">
        <v>106.92</v>
      </c>
      <c r="B118" s="1">
        <v>66.819999999999993</v>
      </c>
      <c r="C118" s="1">
        <v>72.547330000000002</v>
      </c>
      <c r="D118" s="1">
        <v>128.93347</v>
      </c>
      <c r="E118" s="1">
        <v>70.361879999999999</v>
      </c>
      <c r="F118" s="6">
        <v>125.67859</v>
      </c>
      <c r="G118" s="211" t="s">
        <v>8</v>
      </c>
      <c r="H118" s="456">
        <v>0.69811000000000001</v>
      </c>
      <c r="I118" s="348">
        <f>0.89481+3.14159</f>
        <v>4.0363999999999995</v>
      </c>
      <c r="J118" s="348">
        <v>0.43868000000000001</v>
      </c>
      <c r="K118" s="456">
        <v>1.1099699999999999</v>
      </c>
      <c r="L118" s="211" t="s">
        <v>31</v>
      </c>
      <c r="M118" s="56">
        <v>953.07100000000003</v>
      </c>
      <c r="N118" s="347">
        <v>31.268699999999999</v>
      </c>
      <c r="O118" s="1">
        <v>375.22500000000002</v>
      </c>
      <c r="P118" s="348">
        <v>9.5307099999999991</v>
      </c>
      <c r="Q118" s="326">
        <v>5.9221100000000004E-3</v>
      </c>
      <c r="R118" s="325">
        <v>9530.7099999999991</v>
      </c>
      <c r="S118" s="348">
        <v>10.4229</v>
      </c>
      <c r="T118" s="1">
        <v>9530715</v>
      </c>
      <c r="U118" s="59">
        <v>2763163</v>
      </c>
      <c r="V118" s="325">
        <v>27631.599999999999</v>
      </c>
      <c r="W118" s="347">
        <v>276.31599999999997</v>
      </c>
      <c r="X118" s="315">
        <v>2.7631600000000001</v>
      </c>
      <c r="Y118" s="325">
        <v>4282.91</v>
      </c>
      <c r="Z118" s="348">
        <v>29.7424</v>
      </c>
      <c r="AA118" s="326">
        <v>2.7631599999999999E-2</v>
      </c>
      <c r="AB118" s="316">
        <v>2.7631599999999997E-4</v>
      </c>
      <c r="AC118" s="578">
        <v>6.8279199999999999E-4</v>
      </c>
      <c r="AD118" s="143">
        <v>11</v>
      </c>
      <c r="AE118" s="34">
        <v>106.92</v>
      </c>
      <c r="AF118" s="2">
        <v>66.819999999999993</v>
      </c>
      <c r="AG118" s="2">
        <v>72.547330000000002</v>
      </c>
      <c r="AH118" s="2">
        <v>128.93347</v>
      </c>
      <c r="AI118" s="2">
        <v>70.361879999999999</v>
      </c>
      <c r="AJ118" s="42">
        <v>125.67859</v>
      </c>
      <c r="AK118" s="19" t="s">
        <v>8</v>
      </c>
      <c r="AL118" s="34">
        <v>0.69813000000000003</v>
      </c>
      <c r="AM118" s="2">
        <f>0.89481+3.14159</f>
        <v>4.0363999999999995</v>
      </c>
      <c r="AN118" s="2">
        <v>0.43868000000000001</v>
      </c>
      <c r="AO118" s="42">
        <v>1.1099699999999999</v>
      </c>
      <c r="AP118" s="19" t="s">
        <v>31</v>
      </c>
      <c r="AQ118" s="34">
        <v>953.06100000000004</v>
      </c>
      <c r="AR118" s="186">
        <v>31.2684</v>
      </c>
      <c r="AS118" s="2">
        <f>AE118+AF118+AG118+AH118</f>
        <v>375.2208</v>
      </c>
      <c r="AT118" s="186">
        <v>9.5306099999999994</v>
      </c>
      <c r="AU118" s="309">
        <v>5.9220499999999999E-3</v>
      </c>
      <c r="AV118" s="2">
        <v>9530.61</v>
      </c>
      <c r="AW118" s="186">
        <v>10.422800000000001</v>
      </c>
      <c r="AX118" s="2">
        <v>9530613</v>
      </c>
      <c r="AY118" s="2">
        <v>2762975</v>
      </c>
      <c r="AZ118" s="340">
        <v>27629.8</v>
      </c>
      <c r="BA118" s="26">
        <v>276.298</v>
      </c>
      <c r="BB118" s="186">
        <v>2.7629800000000002</v>
      </c>
      <c r="BC118" s="23">
        <f>(SQRT(((AE118+AF118+AI118)/2)*((AE118+AF118+AI118)/2-AE118)*((AE118+AF118+AI118)/2-AF118)*((AE118+AF118+AI118)/2-AI118)))+(SQRT(((AG118+AH118+AI118)/2)*((AG118+AH118+AI118)/2-AG118)*((AG118+AH118+AI118)/2-AH118)*((AG118+AH118+AI118)/2-AI118)))</f>
        <v>4282.6215107348626</v>
      </c>
      <c r="BD118" s="307">
        <v>29.740400000000001</v>
      </c>
      <c r="BE118" s="342">
        <v>2.7629799999999999E-2</v>
      </c>
      <c r="BF118" s="302">
        <v>2.7629800000000002E-4</v>
      </c>
      <c r="BG118" s="188">
        <v>6.8274600000000003E-4</v>
      </c>
      <c r="BH118" s="238" t="s">
        <v>8</v>
      </c>
      <c r="BI118" s="251">
        <f t="shared" si="99"/>
        <v>-2.8647959549109765E-3</v>
      </c>
      <c r="BJ118" s="73">
        <f t="shared" si="100"/>
        <v>0</v>
      </c>
      <c r="BK118" s="73">
        <f t="shared" si="141"/>
        <v>0</v>
      </c>
      <c r="BL118" s="73">
        <f t="shared" si="142"/>
        <v>0</v>
      </c>
      <c r="BM118" s="234">
        <f t="shared" si="143"/>
        <v>0</v>
      </c>
      <c r="BN118" s="238" t="s">
        <v>31</v>
      </c>
      <c r="BO118" s="214">
        <f t="shared" si="159"/>
        <v>1.0492507824778168E-3</v>
      </c>
      <c r="BP118" s="82">
        <f t="shared" si="160"/>
        <v>9.5943508461993846E-4</v>
      </c>
      <c r="BQ118" s="82">
        <f t="shared" si="161"/>
        <v>1.1193409320660631E-3</v>
      </c>
      <c r="BR118" s="82">
        <f t="shared" si="162"/>
        <v>1.0492507824763258E-3</v>
      </c>
      <c r="BS118" s="82">
        <f t="shared" si="163"/>
        <v>1.0131626717185946E-3</v>
      </c>
      <c r="BT118" s="82">
        <f t="shared" si="164"/>
        <v>1.0492507824635025E-3</v>
      </c>
      <c r="BU118" s="82">
        <f t="shared" si="165"/>
        <v>9.5943508461993835E-4</v>
      </c>
      <c r="BV118" s="82">
        <f t="shared" si="166"/>
        <v>1.0702354612447279E-3</v>
      </c>
      <c r="BW118" s="80">
        <f t="shared" si="167"/>
        <v>6.8042599010124955E-3</v>
      </c>
      <c r="BX118" s="80">
        <f t="shared" si="168"/>
        <v>6.5147051372042956E-3</v>
      </c>
      <c r="BY118" s="80">
        <f t="shared" si="169"/>
        <v>6.5147051371968892E-3</v>
      </c>
      <c r="BZ118" s="80">
        <f t="shared" si="170"/>
        <v>6.5147051372013891E-3</v>
      </c>
      <c r="CA118" s="80">
        <f t="shared" si="171"/>
        <v>6.736277404252429E-3</v>
      </c>
      <c r="CB118" s="80">
        <f t="shared" si="172"/>
        <v>6.7248591141978306E-3</v>
      </c>
      <c r="CC118" s="80">
        <f t="shared" si="173"/>
        <v>6.5147051372059098E-3</v>
      </c>
      <c r="CD118" s="80">
        <f t="shared" si="174"/>
        <v>6.5147051371917831E-3</v>
      </c>
      <c r="CE118" s="96">
        <f t="shared" si="175"/>
        <v>6.7374982790035145E-3</v>
      </c>
    </row>
    <row r="119" spans="1:83" x14ac:dyDescent="0.25">
      <c r="A119" s="118">
        <v>111.73242</v>
      </c>
      <c r="B119" s="1">
        <v>44.748440000000002</v>
      </c>
      <c r="C119" s="1">
        <v>76.088499999999996</v>
      </c>
      <c r="D119" s="1">
        <v>153.70000999999999</v>
      </c>
      <c r="E119" s="1">
        <v>80.012640000000005</v>
      </c>
      <c r="F119" s="6">
        <v>77.944609999999997</v>
      </c>
      <c r="G119" s="211" t="s">
        <v>4</v>
      </c>
      <c r="H119" s="482">
        <v>0.62922999999999996</v>
      </c>
      <c r="I119" s="348">
        <v>4.9671900000000004</v>
      </c>
      <c r="J119" s="348">
        <v>0.18013000000000001</v>
      </c>
      <c r="K119" s="456">
        <v>0.50661</v>
      </c>
      <c r="L119" s="211" t="s">
        <v>31</v>
      </c>
      <c r="M119" s="56">
        <v>38626.9</v>
      </c>
      <c r="N119" s="347">
        <v>1267.29</v>
      </c>
      <c r="O119" s="1">
        <v>15207.5</v>
      </c>
      <c r="P119" s="348">
        <v>386.26900000000001</v>
      </c>
      <c r="Q119" s="326">
        <v>0.24001700000000001</v>
      </c>
      <c r="R119" s="325">
        <v>386269</v>
      </c>
      <c r="S119" s="348">
        <v>422.42899999999997</v>
      </c>
      <c r="T119" s="1">
        <v>386269248</v>
      </c>
      <c r="U119" s="59">
        <v>2518910529</v>
      </c>
      <c r="V119" s="325">
        <v>25189105</v>
      </c>
      <c r="W119" s="347">
        <v>251891</v>
      </c>
      <c r="X119" s="315">
        <v>2518.91</v>
      </c>
      <c r="Y119" s="325">
        <v>3904319</v>
      </c>
      <c r="Z119" s="348">
        <v>27113.3</v>
      </c>
      <c r="AA119" s="326">
        <v>25.1891</v>
      </c>
      <c r="AB119" s="315">
        <v>0.25189099999999998</v>
      </c>
      <c r="AC119" s="578">
        <v>0.62243599999999999</v>
      </c>
      <c r="AD119" s="143">
        <v>12</v>
      </c>
      <c r="AE119" s="34">
        <v>111.73242</v>
      </c>
      <c r="AF119" s="2">
        <v>44.748440000000002</v>
      </c>
      <c r="AG119" s="2">
        <v>76.088499999999996</v>
      </c>
      <c r="AH119" s="2">
        <v>153.70000999999999</v>
      </c>
      <c r="AI119" s="2">
        <v>80.012640000000005</v>
      </c>
      <c r="AJ119" s="42">
        <v>77.944609999999997</v>
      </c>
      <c r="AK119" s="19" t="s">
        <v>4</v>
      </c>
      <c r="AL119" s="34">
        <v>0.62922999999999996</v>
      </c>
      <c r="AM119" s="2">
        <f>1.82561+3.14159</f>
        <v>4.9672000000000001</v>
      </c>
      <c r="AN119" s="2">
        <v>0.18013999999999999</v>
      </c>
      <c r="AO119" s="42">
        <v>0.50661</v>
      </c>
      <c r="AP119" s="19" t="s">
        <v>31</v>
      </c>
      <c r="AQ119" s="34">
        <v>38626.9</v>
      </c>
      <c r="AR119" s="186">
        <v>1267.29</v>
      </c>
      <c r="AS119" s="2">
        <v>15207.4</v>
      </c>
      <c r="AT119" s="2">
        <f>AE119+AF119+AG119+AH119</f>
        <v>386.26936999999998</v>
      </c>
      <c r="AU119" s="76">
        <v>0.24001600000000001</v>
      </c>
      <c r="AV119" s="2">
        <v>386269</v>
      </c>
      <c r="AW119" s="186">
        <v>422.42899999999997</v>
      </c>
      <c r="AX119" s="2">
        <v>386269000</v>
      </c>
      <c r="AY119" s="2">
        <v>2518940000</v>
      </c>
      <c r="AZ119" s="29">
        <v>25189400</v>
      </c>
      <c r="BA119" s="29">
        <v>251894</v>
      </c>
      <c r="BB119" s="76">
        <f>(SQRT(((AE119+AF119+AI119)/2)*((AE119+AF119+AI119)/2-AE119)*((AE119+AF119+AI119)/2-AF119)*((AE119+AF119+AI119)/2-AI119)))+(SQRT(((AG119+AH119+AI119)/2)*((AG119+AH119+AI119)/2-AG119)*((AG119+AH119+AI119)/2-AH119)*((AG119+AH119+AI119)/2-AI119)))</f>
        <v>2518.937450954249</v>
      </c>
      <c r="BC119" s="29">
        <v>3904365</v>
      </c>
      <c r="BD119" s="340">
        <v>27113.599999999999</v>
      </c>
      <c r="BE119" s="186">
        <v>25.189399999999999</v>
      </c>
      <c r="BF119" s="342">
        <v>0.25189400000000001</v>
      </c>
      <c r="BG119" s="322">
        <v>0.622444</v>
      </c>
      <c r="BH119" s="238" t="s">
        <v>4</v>
      </c>
      <c r="BI119" s="251">
        <f t="shared" si="99"/>
        <v>0</v>
      </c>
      <c r="BJ119" s="73">
        <f t="shared" si="100"/>
        <v>-2.0132066354528553E-4</v>
      </c>
      <c r="BK119" s="73">
        <f t="shared" si="141"/>
        <v>-5.5512379260476549E-3</v>
      </c>
      <c r="BL119" s="73">
        <f t="shared" si="142"/>
        <v>0</v>
      </c>
      <c r="BM119" s="234">
        <f t="shared" si="143"/>
        <v>0</v>
      </c>
      <c r="BN119" s="238" t="s">
        <v>31</v>
      </c>
      <c r="BO119" s="214">
        <f t="shared" si="159"/>
        <v>0</v>
      </c>
      <c r="BP119" s="82">
        <f t="shared" si="160"/>
        <v>0</v>
      </c>
      <c r="BQ119" s="82">
        <f t="shared" si="161"/>
        <v>6.5757460184097079E-4</v>
      </c>
      <c r="BR119" s="82">
        <f t="shared" si="162"/>
        <v>-9.5788076588970678E-5</v>
      </c>
      <c r="BS119" s="82">
        <f t="shared" si="163"/>
        <v>4.1663889074103393E-4</v>
      </c>
      <c r="BT119" s="82">
        <f t="shared" si="164"/>
        <v>0</v>
      </c>
      <c r="BU119" s="82">
        <f t="shared" si="165"/>
        <v>0</v>
      </c>
      <c r="BV119" s="82">
        <f t="shared" si="166"/>
        <v>6.4203961487978585E-5</v>
      </c>
      <c r="BW119" s="80">
        <f t="shared" si="167"/>
        <v>-1.1699762598553359E-3</v>
      </c>
      <c r="BX119" s="80">
        <f t="shared" si="168"/>
        <v>-1.1711275377738256E-3</v>
      </c>
      <c r="BY119" s="80">
        <f t="shared" si="169"/>
        <v>-1.1909771570581275E-3</v>
      </c>
      <c r="BZ119" s="80">
        <f t="shared" si="170"/>
        <v>-1.0897830844812044E-3</v>
      </c>
      <c r="CA119" s="80">
        <f t="shared" si="171"/>
        <v>-1.1781685370092193E-3</v>
      </c>
      <c r="CB119" s="80">
        <f t="shared" si="172"/>
        <v>-1.1064558007762614E-3</v>
      </c>
      <c r="CC119" s="80">
        <f t="shared" si="173"/>
        <v>-1.190977157055352E-3</v>
      </c>
      <c r="CD119" s="80">
        <f t="shared" si="174"/>
        <v>-1.1909771570703374E-3</v>
      </c>
      <c r="CE119" s="96">
        <f t="shared" si="175"/>
        <v>-1.2852561836900992E-3</v>
      </c>
    </row>
    <row r="120" spans="1:83" x14ac:dyDescent="0.25">
      <c r="A120" s="118">
        <v>301.25448</v>
      </c>
      <c r="B120" s="1">
        <v>277.02</v>
      </c>
      <c r="C120" s="1">
        <v>173.14</v>
      </c>
      <c r="D120" s="1">
        <v>187.96367000000001</v>
      </c>
      <c r="E120" s="1">
        <v>347.76346999999998</v>
      </c>
      <c r="F120" s="6">
        <v>182.30123</v>
      </c>
      <c r="G120" s="211" t="s">
        <v>10</v>
      </c>
      <c r="H120" s="482">
        <v>1.2881100000000001</v>
      </c>
      <c r="I120" s="456">
        <v>0.69811999999999996</v>
      </c>
      <c r="J120" s="348">
        <v>3.6873900000000002</v>
      </c>
      <c r="K120" s="456">
        <v>0.60956999999999995</v>
      </c>
      <c r="L120" s="211" t="s">
        <v>31</v>
      </c>
      <c r="M120" s="56">
        <v>151177801</v>
      </c>
      <c r="N120" s="347">
        <v>4959902</v>
      </c>
      <c r="O120" s="1">
        <v>59518819</v>
      </c>
      <c r="P120" s="348">
        <v>1511778</v>
      </c>
      <c r="Q120" s="326">
        <v>939.375</v>
      </c>
      <c r="R120" s="325">
        <v>1511778012</v>
      </c>
      <c r="S120" s="59">
        <v>1653301</v>
      </c>
      <c r="T120" s="1">
        <v>1511778011713</v>
      </c>
      <c r="U120" s="59">
        <v>8.1907930299628304E+16</v>
      </c>
      <c r="V120" s="59">
        <v>819079302996283</v>
      </c>
      <c r="W120" s="59">
        <v>8190793029963</v>
      </c>
      <c r="X120" s="59">
        <v>81907930300</v>
      </c>
      <c r="Y120" s="59">
        <v>126957545879516</v>
      </c>
      <c r="Z120" s="59">
        <v>881649624163</v>
      </c>
      <c r="AA120" s="59">
        <v>819079303</v>
      </c>
      <c r="AB120" s="59">
        <v>8190793</v>
      </c>
      <c r="AC120" s="224">
        <v>20239890</v>
      </c>
      <c r="AD120" s="143">
        <v>13</v>
      </c>
      <c r="AE120" s="34">
        <v>301.25448</v>
      </c>
      <c r="AF120" s="2">
        <v>277.02</v>
      </c>
      <c r="AG120" s="2">
        <v>173.14</v>
      </c>
      <c r="AH120" s="2">
        <v>187.96367000000001</v>
      </c>
      <c r="AI120" s="2">
        <v>347.76346999999998</v>
      </c>
      <c r="AJ120" s="42">
        <v>182.30123</v>
      </c>
      <c r="AK120" s="19" t="s">
        <v>10</v>
      </c>
      <c r="AL120" s="34">
        <v>1.2881199999999999</v>
      </c>
      <c r="AM120" s="2">
        <v>0.69813000000000003</v>
      </c>
      <c r="AN120" s="2">
        <f>0.54574+3.14159</f>
        <v>3.6873299999999998</v>
      </c>
      <c r="AO120" s="42">
        <v>0.60960000000000003</v>
      </c>
      <c r="AP120" s="19" t="s">
        <v>31</v>
      </c>
      <c r="AQ120" s="34">
        <v>151178235</v>
      </c>
      <c r="AR120" s="186">
        <v>4959916</v>
      </c>
      <c r="AS120" s="2">
        <v>59518990</v>
      </c>
      <c r="AT120" s="29">
        <v>1511782</v>
      </c>
      <c r="AU120" s="2">
        <f>AE120+AF120+AG120+AH120</f>
        <v>939.37815000000001</v>
      </c>
      <c r="AV120" s="2">
        <v>1511782348</v>
      </c>
      <c r="AW120" s="29">
        <v>1653305</v>
      </c>
      <c r="AX120" s="2">
        <v>1511782348032</v>
      </c>
      <c r="AY120" s="341">
        <v>8.1908757731E+16</v>
      </c>
      <c r="AZ120" s="29">
        <v>819087577310000</v>
      </c>
      <c r="BA120" s="29">
        <v>8190875773100</v>
      </c>
      <c r="BB120" s="307">
        <f>((SQRT(((AE120+AH120+AJ120)/2)*((AE120+AH120+AJ120)/2-AE120)*((AE120+AH120+AJ120)/2-AH120)*((AE120+AH120+AJ120)/2-AJ120)))+(SQRT(((AF120+AG120+AJ120)/2)*((AF120+AG120+AJ120)/2-AF120)*((AF120+AG120+AJ120)/2-AG120)*((AF120+AG120+AJ120)/2-AJ120))))*1609.344*1609.344</f>
        <v>81908757731.229095</v>
      </c>
      <c r="BC120" s="29">
        <v>126958828400707</v>
      </c>
      <c r="BD120" s="29">
        <v>881658530560</v>
      </c>
      <c r="BE120" s="29">
        <v>819087577</v>
      </c>
      <c r="BF120" s="29">
        <v>8190876</v>
      </c>
      <c r="BG120" s="593">
        <v>20240095</v>
      </c>
      <c r="BH120" s="238" t="s">
        <v>10</v>
      </c>
      <c r="BI120" s="251">
        <f t="shared" si="99"/>
        <v>-7.7632518708221812E-4</v>
      </c>
      <c r="BJ120" s="73">
        <f t="shared" si="100"/>
        <v>-1.4323979774634398E-3</v>
      </c>
      <c r="BK120" s="73">
        <f t="shared" si="141"/>
        <v>1.6271936604641591E-3</v>
      </c>
      <c r="BL120" s="73">
        <f t="shared" si="142"/>
        <v>-4.9212598425337128E-3</v>
      </c>
      <c r="BM120" s="234">
        <f t="shared" si="143"/>
        <v>0</v>
      </c>
      <c r="BN120" s="238" t="s">
        <v>31</v>
      </c>
      <c r="BO120" s="214">
        <f t="shared" si="159"/>
        <v>-2.870783615114967E-4</v>
      </c>
      <c r="BP120" s="82">
        <f t="shared" si="160"/>
        <v>-2.8226284477398408E-4</v>
      </c>
      <c r="BQ120" s="82">
        <f t="shared" si="161"/>
        <v>-2.8730326237054763E-4</v>
      </c>
      <c r="BR120" s="82">
        <f t="shared" si="162"/>
        <v>-2.6458841287963479E-4</v>
      </c>
      <c r="BS120" s="82">
        <f t="shared" si="163"/>
        <v>-3.353282168640066E-4</v>
      </c>
      <c r="BT120" s="82">
        <f t="shared" si="164"/>
        <v>-2.8681377353931108E-4</v>
      </c>
      <c r="BU120" s="82">
        <f t="shared" si="165"/>
        <v>-2.4193963001382081E-4</v>
      </c>
      <c r="BV120" s="82">
        <f t="shared" si="166"/>
        <v>-2.8683487445430955E-4</v>
      </c>
      <c r="BW120" s="80">
        <f t="shared" si="167"/>
        <v>-1.0101866938495175E-3</v>
      </c>
      <c r="BX120" s="80">
        <f t="shared" si="168"/>
        <v>-1.010186693854401E-3</v>
      </c>
      <c r="BY120" s="80">
        <f t="shared" si="169"/>
        <v>-1.010186691778921E-3</v>
      </c>
      <c r="BZ120" s="80">
        <f t="shared" si="170"/>
        <v>-1.0101865197498739E-3</v>
      </c>
      <c r="CA120" s="80">
        <f t="shared" si="171"/>
        <v>-1.0101866937146831E-3</v>
      </c>
      <c r="CB120" s="80">
        <f t="shared" si="172"/>
        <v>-1.010186675599107E-3</v>
      </c>
      <c r="CC120" s="80">
        <f t="shared" si="173"/>
        <v>-1.010148393448287E-3</v>
      </c>
      <c r="CD120" s="80">
        <f t="shared" si="174"/>
        <v>-1.0133226287395878E-3</v>
      </c>
      <c r="CE120" s="96">
        <f t="shared" si="175"/>
        <v>-1.0128410958545402E-3</v>
      </c>
    </row>
    <row r="121" spans="1:83" ht="15.75" thickBot="1" x14ac:dyDescent="0.3">
      <c r="A121" s="513">
        <v>105.6</v>
      </c>
      <c r="B121" s="510">
        <v>113.66043000000001</v>
      </c>
      <c r="C121" s="510">
        <v>59.452089999999998</v>
      </c>
      <c r="D121" s="510">
        <v>52.799990000000001</v>
      </c>
      <c r="E121" s="510">
        <v>64.615260000000006</v>
      </c>
      <c r="F121" s="601">
        <v>58.8247</v>
      </c>
      <c r="G121" s="511" t="s">
        <v>7</v>
      </c>
      <c r="H121" s="671">
        <v>0.59387000000000001</v>
      </c>
      <c r="I121" s="607">
        <v>0.27877999999999997</v>
      </c>
      <c r="J121" s="607">
        <v>5.0614499999999998</v>
      </c>
      <c r="K121" s="672">
        <v>0.34905999999999998</v>
      </c>
      <c r="L121" s="511" t="s">
        <v>31</v>
      </c>
      <c r="M121" s="576">
        <v>30313.5</v>
      </c>
      <c r="N121" s="558">
        <v>994.53800000000001</v>
      </c>
      <c r="O121" s="510">
        <v>11934.5</v>
      </c>
      <c r="P121" s="607">
        <v>303.13499999999999</v>
      </c>
      <c r="Q121" s="608">
        <v>0.188359</v>
      </c>
      <c r="R121" s="530">
        <v>303135</v>
      </c>
      <c r="S121" s="607">
        <v>331.51299999999998</v>
      </c>
      <c r="T121" s="510">
        <v>303135149</v>
      </c>
      <c r="U121" s="559">
        <v>1574662711</v>
      </c>
      <c r="V121" s="530">
        <v>15746627</v>
      </c>
      <c r="W121" s="558">
        <v>157466</v>
      </c>
      <c r="X121" s="515">
        <v>1574.66</v>
      </c>
      <c r="Y121" s="530">
        <v>2440732</v>
      </c>
      <c r="Z121" s="607">
        <v>16949.5</v>
      </c>
      <c r="AA121" s="608">
        <v>15.746600000000001</v>
      </c>
      <c r="AB121" s="515">
        <v>0.15746599999999999</v>
      </c>
      <c r="AC121" s="583">
        <v>0.38910800000000001</v>
      </c>
      <c r="AD121" s="516">
        <v>14</v>
      </c>
      <c r="AE121" s="585">
        <v>105.6</v>
      </c>
      <c r="AF121" s="495">
        <v>113.66043000000001</v>
      </c>
      <c r="AG121" s="495">
        <v>59.452089999999998</v>
      </c>
      <c r="AH121" s="495">
        <v>52.799990000000001</v>
      </c>
      <c r="AI121" s="495">
        <v>64.615260000000006</v>
      </c>
      <c r="AJ121" s="517">
        <v>58.8247</v>
      </c>
      <c r="AK121" s="518" t="s">
        <v>7</v>
      </c>
      <c r="AL121" s="585">
        <v>0.59387000000000001</v>
      </c>
      <c r="AM121" s="495">
        <v>0.27878999999999998</v>
      </c>
      <c r="AN121" s="495">
        <f>1.91986+3.14159</f>
        <v>5.0614499999999998</v>
      </c>
      <c r="AO121" s="517">
        <v>0.34906999999999999</v>
      </c>
      <c r="AP121" s="518" t="s">
        <v>31</v>
      </c>
      <c r="AQ121" s="585">
        <v>30313.5</v>
      </c>
      <c r="AR121" s="609">
        <v>994.53899999999999</v>
      </c>
      <c r="AS121" s="495">
        <v>11934.5</v>
      </c>
      <c r="AT121" s="610">
        <v>303.13499999999999</v>
      </c>
      <c r="AU121" s="609">
        <v>0.18836</v>
      </c>
      <c r="AV121" s="495">
        <v>303135</v>
      </c>
      <c r="AW121" s="495">
        <f>AE121+AF121+AG121+AH121</f>
        <v>331.51250999999996</v>
      </c>
      <c r="AX121" s="495">
        <v>303135487</v>
      </c>
      <c r="AY121" s="495">
        <v>1574650000</v>
      </c>
      <c r="AZ121" s="565">
        <v>15746500</v>
      </c>
      <c r="BA121" s="565">
        <v>157465</v>
      </c>
      <c r="BB121" s="521">
        <f>((SQRT(((AE121+AH121+AJ121)/2)*((AE121+AH121+AJ121)/2-AE121)*((AE121+AH121+AJ121)/2-AH121)*((AE121+AH121+AJ121)/2-AJ121)))+(SQRT(((AF121+AG121+AJ121)/2)*((AF121+AG121+AJ121)/2-AF121)*((AF121+AG121+AJ121)/2-AG121)*((AF121+AG121+AJ121)/2-AJ121))))*0.9144*0.9144</f>
        <v>1574.6524348958758</v>
      </c>
      <c r="BC121" s="565">
        <v>2440712</v>
      </c>
      <c r="BD121" s="566">
        <v>16949.400000000001</v>
      </c>
      <c r="BE121" s="609">
        <v>15.746499999999999</v>
      </c>
      <c r="BF121" s="611">
        <v>0.15746499999999999</v>
      </c>
      <c r="BG121" s="594">
        <v>0.38910400000000001</v>
      </c>
      <c r="BH121" s="522" t="s">
        <v>7</v>
      </c>
      <c r="BI121" s="596">
        <f t="shared" si="99"/>
        <v>0</v>
      </c>
      <c r="BJ121" s="523">
        <f t="shared" si="100"/>
        <v>-3.5869292298898819E-3</v>
      </c>
      <c r="BK121" s="523">
        <f t="shared" si="141"/>
        <v>0</v>
      </c>
      <c r="BL121" s="523">
        <f t="shared" si="142"/>
        <v>-2.8647549202194408E-3</v>
      </c>
      <c r="BM121" s="597">
        <f t="shared" si="143"/>
        <v>0</v>
      </c>
      <c r="BN121" s="522" t="s">
        <v>31</v>
      </c>
      <c r="BO121" s="598">
        <f t="shared" si="159"/>
        <v>0</v>
      </c>
      <c r="BP121" s="524">
        <f t="shared" si="160"/>
        <v>-1.0054909862522768E-4</v>
      </c>
      <c r="BQ121" s="524">
        <f t="shared" si="161"/>
        <v>0</v>
      </c>
      <c r="BR121" s="524">
        <f t="shared" si="162"/>
        <v>0</v>
      </c>
      <c r="BS121" s="524">
        <f t="shared" si="163"/>
        <v>-5.3089827989010407E-4</v>
      </c>
      <c r="BT121" s="524">
        <f t="shared" si="164"/>
        <v>0</v>
      </c>
      <c r="BU121" s="524">
        <f t="shared" si="165"/>
        <v>1.4780739345656192E-4</v>
      </c>
      <c r="BV121" s="524">
        <f t="shared" si="166"/>
        <v>-1.1150129710811456E-4</v>
      </c>
      <c r="BW121" s="488">
        <f t="shared" si="167"/>
        <v>8.0722700282602488E-4</v>
      </c>
      <c r="BX121" s="488">
        <f t="shared" si="168"/>
        <v>8.0652843489029309E-4</v>
      </c>
      <c r="BY121" s="488">
        <f t="shared" si="169"/>
        <v>6.3506175975613628E-4</v>
      </c>
      <c r="BZ121" s="488">
        <f t="shared" si="170"/>
        <v>4.8043009089790564E-4</v>
      </c>
      <c r="CA121" s="488">
        <f t="shared" si="171"/>
        <v>8.1943301790625032E-4</v>
      </c>
      <c r="CB121" s="488">
        <f t="shared" si="172"/>
        <v>5.8999138611717696E-4</v>
      </c>
      <c r="CC121" s="488">
        <f t="shared" si="173"/>
        <v>6.3506175976593725E-4</v>
      </c>
      <c r="CD121" s="488">
        <f t="shared" si="174"/>
        <v>6.3506175975677141E-4</v>
      </c>
      <c r="CE121" s="489">
        <f t="shared" si="175"/>
        <v>1.0280027961686337E-3</v>
      </c>
    </row>
    <row r="122" spans="1:83" x14ac:dyDescent="0.25">
      <c r="A122" s="114">
        <v>130</v>
      </c>
      <c r="B122" s="115">
        <v>75</v>
      </c>
      <c r="C122" s="115">
        <v>79.513000000000005</v>
      </c>
      <c r="D122" s="365">
        <v>54.122770000000003</v>
      </c>
      <c r="E122" s="115">
        <v>113.02654</v>
      </c>
      <c r="F122" s="223">
        <v>127.2337</v>
      </c>
      <c r="G122" s="210" t="s">
        <v>9</v>
      </c>
      <c r="H122" s="255">
        <v>66.66</v>
      </c>
      <c r="I122" s="115">
        <v>123.14</v>
      </c>
      <c r="J122" s="115">
        <v>83.33</v>
      </c>
      <c r="K122" s="223">
        <v>126.85</v>
      </c>
      <c r="L122" s="210" t="s">
        <v>32</v>
      </c>
      <c r="M122" s="255">
        <v>338.63600000000002</v>
      </c>
      <c r="N122" s="115">
        <v>11.110099999999999</v>
      </c>
      <c r="O122" s="115">
        <v>133.321</v>
      </c>
      <c r="P122" s="115">
        <v>3.3863599999999998</v>
      </c>
      <c r="Q122" s="311">
        <v>2.1041800000000002E-3</v>
      </c>
      <c r="R122" s="115">
        <v>3386.36</v>
      </c>
      <c r="S122" s="115">
        <v>3.7033700000000001</v>
      </c>
      <c r="T122" s="115">
        <v>3386357</v>
      </c>
      <c r="U122" s="115">
        <v>618505</v>
      </c>
      <c r="V122" s="115">
        <v>6185.05</v>
      </c>
      <c r="W122" s="115">
        <v>61.850499999999997</v>
      </c>
      <c r="X122" s="115">
        <v>0.61850499999999997</v>
      </c>
      <c r="Y122" s="115">
        <v>958.68399999999997</v>
      </c>
      <c r="Z122" s="115">
        <v>6.6575300000000004</v>
      </c>
      <c r="AA122" s="311">
        <v>6.1850500000000001E-3</v>
      </c>
      <c r="AB122" s="422">
        <v>6.1850454012355E-5</v>
      </c>
      <c r="AC122" s="577">
        <v>1.52836E-4</v>
      </c>
      <c r="AD122" s="462">
        <v>1</v>
      </c>
      <c r="AE122" s="262">
        <v>130</v>
      </c>
      <c r="AF122" s="260">
        <v>75</v>
      </c>
      <c r="AG122" s="260">
        <v>79.513000000000005</v>
      </c>
      <c r="AH122" s="533">
        <v>54.122770000000003</v>
      </c>
      <c r="AI122" s="260">
        <v>113.02654</v>
      </c>
      <c r="AJ122" s="586">
        <v>127.2337</v>
      </c>
      <c r="AK122" s="282" t="s">
        <v>9</v>
      </c>
      <c r="AL122" s="262">
        <v>66.666669999999996</v>
      </c>
      <c r="AM122" s="260">
        <v>123.14402</v>
      </c>
      <c r="AN122" s="260">
        <v>83.339070000000007</v>
      </c>
      <c r="AO122" s="586">
        <v>126.85025</v>
      </c>
      <c r="AP122" s="282" t="s">
        <v>32</v>
      </c>
      <c r="AQ122" s="589">
        <f>AE122+AF122+AG122+AH122</f>
        <v>338.63577000000004</v>
      </c>
      <c r="AR122" s="260">
        <v>11.110099999999999</v>
      </c>
      <c r="AS122" s="260">
        <v>133.321</v>
      </c>
      <c r="AT122" s="260">
        <v>3.3863599999999998</v>
      </c>
      <c r="AU122" s="532">
        <v>2.1041900000000001E-3</v>
      </c>
      <c r="AV122" s="260">
        <v>3386.36</v>
      </c>
      <c r="AW122" s="260">
        <v>3.7033700000000001</v>
      </c>
      <c r="AX122" s="260">
        <v>3386360</v>
      </c>
      <c r="AY122" s="260">
        <v>618505</v>
      </c>
      <c r="AZ122" s="260">
        <f>(SQRT(((AE122+AF122+AI122)/2)*((AE122+AF122+AI122)/2-AE122)*((AE122+AF122+AI122)/2-AF122)*((AE122+AF122+AI122)/2-AI122)))+(SQRT(((AG122+AH122+AI122)/2)*((AG122+AH122+AI122)/2-AG122)*((AG122+AH122+AI122)/2-AH122)*((AG122+AH122+AI122)/2-AI122)))</f>
        <v>6185.0471738200649</v>
      </c>
      <c r="BA122" s="260">
        <v>61.850499999999997</v>
      </c>
      <c r="BB122" s="260">
        <v>0.61850499999999997</v>
      </c>
      <c r="BC122" s="260">
        <v>958.68499999999995</v>
      </c>
      <c r="BD122" s="260">
        <v>6.6575300000000004</v>
      </c>
      <c r="BE122" s="263">
        <v>6.1850500000000001E-3</v>
      </c>
      <c r="BF122" s="557">
        <v>6.1850499999999993E-5</v>
      </c>
      <c r="BG122" s="590">
        <v>1.52836E-4</v>
      </c>
      <c r="BH122" s="237" t="s">
        <v>9</v>
      </c>
      <c r="BI122" s="283">
        <f t="shared" si="99"/>
        <v>-1.0004999499749622E-2</v>
      </c>
      <c r="BJ122" s="90">
        <f t="shared" si="100"/>
        <v>-3.264470333189566E-3</v>
      </c>
      <c r="BK122" s="90">
        <f t="shared" si="141"/>
        <v>-1.0883250797025151E-2</v>
      </c>
      <c r="BL122" s="90">
        <f t="shared" si="142"/>
        <v>-1.9708278068691164E-4</v>
      </c>
      <c r="BM122" s="233">
        <f t="shared" si="143"/>
        <v>0</v>
      </c>
      <c r="BN122" s="237" t="s">
        <v>32</v>
      </c>
      <c r="BO122" s="213">
        <f t="shared" si="144"/>
        <v>6.7919582148022928E-5</v>
      </c>
      <c r="BP122" s="91">
        <f t="shared" si="145"/>
        <v>0</v>
      </c>
      <c r="BQ122" s="91">
        <f t="shared" si="146"/>
        <v>0</v>
      </c>
      <c r="BR122" s="91">
        <f t="shared" si="147"/>
        <v>0</v>
      </c>
      <c r="BS122" s="91">
        <f t="shared" si="148"/>
        <v>-4.7524225473653098E-4</v>
      </c>
      <c r="BT122" s="91">
        <f t="shared" si="149"/>
        <v>0</v>
      </c>
      <c r="BU122" s="91">
        <f t="shared" si="150"/>
        <v>0</v>
      </c>
      <c r="BV122" s="91">
        <f t="shared" si="111"/>
        <v>-8.8590699157797755E-5</v>
      </c>
      <c r="BW122" s="93">
        <f t="shared" si="112"/>
        <v>0</v>
      </c>
      <c r="BX122" s="93">
        <f t="shared" si="151"/>
        <v>4.5693749066579588E-5</v>
      </c>
      <c r="BY122" s="93">
        <f t="shared" si="152"/>
        <v>0</v>
      </c>
      <c r="BZ122" s="93">
        <f t="shared" si="153"/>
        <v>0</v>
      </c>
      <c r="CA122" s="93">
        <f t="shared" si="154"/>
        <v>-1.0430954901519823E-4</v>
      </c>
      <c r="CB122" s="93">
        <f t="shared" si="155"/>
        <v>0</v>
      </c>
      <c r="CC122" s="93">
        <f t="shared" si="156"/>
        <v>0</v>
      </c>
      <c r="CD122" s="93">
        <f t="shared" si="158"/>
        <v>-7.4352907403536637E-5</v>
      </c>
      <c r="CE122" s="95">
        <f t="shared" si="157"/>
        <v>0</v>
      </c>
    </row>
    <row r="123" spans="1:83" x14ac:dyDescent="0.25">
      <c r="A123" s="118">
        <v>100</v>
      </c>
      <c r="B123" s="1">
        <v>44</v>
      </c>
      <c r="C123" s="1">
        <v>126.727111961459</v>
      </c>
      <c r="D123" s="1">
        <v>55</v>
      </c>
      <c r="E123" s="1">
        <v>116.03491</v>
      </c>
      <c r="F123" s="6">
        <v>129.56551999999999</v>
      </c>
      <c r="G123" s="211" t="s">
        <v>5</v>
      </c>
      <c r="H123" s="56">
        <v>111.11</v>
      </c>
      <c r="I123" s="325">
        <v>93.09</v>
      </c>
      <c r="J123" s="325">
        <v>73.58</v>
      </c>
      <c r="K123" s="412">
        <v>122.22</v>
      </c>
      <c r="L123" s="211" t="s">
        <v>32</v>
      </c>
      <c r="M123" s="56">
        <v>9928.16</v>
      </c>
      <c r="N123" s="1">
        <v>325.72699999999998</v>
      </c>
      <c r="O123" s="1">
        <v>3908.73</v>
      </c>
      <c r="P123" s="1">
        <v>99.281599999999997</v>
      </c>
      <c r="Q123" s="1">
        <v>6.1690700000000001E-2</v>
      </c>
      <c r="R123" s="1">
        <v>99281.600000000006</v>
      </c>
      <c r="S123" s="1">
        <v>108.57599999999999</v>
      </c>
      <c r="T123" s="1">
        <v>99281624</v>
      </c>
      <c r="U123" s="1">
        <v>497563739</v>
      </c>
      <c r="V123" s="1">
        <v>4975637</v>
      </c>
      <c r="W123" s="1">
        <v>49756.4</v>
      </c>
      <c r="X123" s="1">
        <v>497.56400000000002</v>
      </c>
      <c r="Y123" s="1">
        <v>771225</v>
      </c>
      <c r="Z123" s="1">
        <v>5355.73</v>
      </c>
      <c r="AA123" s="1">
        <v>4.9756400000000003</v>
      </c>
      <c r="AB123" s="78">
        <v>4.9756399999999999E-2</v>
      </c>
      <c r="AC123" s="6">
        <v>0.122951</v>
      </c>
      <c r="AD123" s="143">
        <v>2</v>
      </c>
      <c r="AE123" s="34">
        <v>100</v>
      </c>
      <c r="AF123" s="2">
        <v>44</v>
      </c>
      <c r="AG123" s="2">
        <v>126.72705000000001</v>
      </c>
      <c r="AH123" s="2">
        <v>55</v>
      </c>
      <c r="AI123" s="2">
        <v>116.03491</v>
      </c>
      <c r="AJ123" s="42">
        <v>129.56551999999999</v>
      </c>
      <c r="AK123" s="19" t="s">
        <v>5</v>
      </c>
      <c r="AL123" s="34">
        <v>111.11111</v>
      </c>
      <c r="AM123" s="2">
        <v>93.087389999999999</v>
      </c>
      <c r="AN123" s="2">
        <v>73.579269999999994</v>
      </c>
      <c r="AO123" s="42">
        <v>122.22221999999999</v>
      </c>
      <c r="AP123" s="19" t="s">
        <v>32</v>
      </c>
      <c r="AQ123" s="34">
        <v>9928.16</v>
      </c>
      <c r="AR123" s="2">
        <f>AE123+AF123+AG123+AH123</f>
        <v>325.72705000000002</v>
      </c>
      <c r="AS123" s="2">
        <v>3908.72</v>
      </c>
      <c r="AT123" s="2">
        <v>99.281599999999997</v>
      </c>
      <c r="AU123" s="2">
        <v>6.1690700000000001E-2</v>
      </c>
      <c r="AV123" s="2">
        <v>99281.600000000006</v>
      </c>
      <c r="AW123" s="2">
        <v>108.57599999999999</v>
      </c>
      <c r="AX123" s="2">
        <v>99281590</v>
      </c>
      <c r="AY123" s="2">
        <v>497563598</v>
      </c>
      <c r="AZ123" s="2">
        <v>4975636</v>
      </c>
      <c r="BA123" s="2">
        <v>49756.4</v>
      </c>
      <c r="BB123" s="2">
        <v>497.56400000000002</v>
      </c>
      <c r="BC123" s="2">
        <v>771225</v>
      </c>
      <c r="BD123" s="2">
        <f>(SQRT(((AE123+AF123+AI123)/2)*((AE123+AF123+AI123)/2-AE123)*((AE123+AF123+AI123)/2-AF123)*((AE123+AF123+AI123)/2-AI123)))+(SQRT(((AG123+AH123+AI123)/2)*((AG123+AH123+AI123)/2-AG123)*((AG123+AH123+AI123)/2-AH123)*((AG123+AH123+AI123)/2-AI123)))</f>
        <v>5355.7313780270033</v>
      </c>
      <c r="BE123" s="2">
        <v>4.9756400000000003</v>
      </c>
      <c r="BF123" s="342">
        <v>4.9756399999999999E-2</v>
      </c>
      <c r="BG123" s="42">
        <v>0.122951</v>
      </c>
      <c r="BH123" s="238" t="s">
        <v>5</v>
      </c>
      <c r="BI123" s="251">
        <f t="shared" si="99"/>
        <v>-9.990000099873522E-4</v>
      </c>
      <c r="BJ123" s="73">
        <f t="shared" si="100"/>
        <v>2.8038169294511534E-3</v>
      </c>
      <c r="BK123" s="73">
        <f t="shared" si="141"/>
        <v>9.921272662861949E-4</v>
      </c>
      <c r="BL123" s="73">
        <f t="shared" si="142"/>
        <v>-1.8163636693836159E-3</v>
      </c>
      <c r="BM123" s="234">
        <f t="shared" si="143"/>
        <v>0</v>
      </c>
      <c r="BN123" s="238" t="s">
        <v>32</v>
      </c>
      <c r="BO123" s="214">
        <f t="shared" si="144"/>
        <v>0</v>
      </c>
      <c r="BP123" s="82">
        <f t="shared" si="145"/>
        <v>-1.5350275650822487E-5</v>
      </c>
      <c r="BQ123" s="82">
        <f t="shared" si="146"/>
        <v>2.5583822837702057E-4</v>
      </c>
      <c r="BR123" s="82">
        <f t="shared" si="147"/>
        <v>0</v>
      </c>
      <c r="BS123" s="82">
        <f t="shared" si="148"/>
        <v>0</v>
      </c>
      <c r="BT123" s="82">
        <f t="shared" si="149"/>
        <v>0</v>
      </c>
      <c r="BU123" s="82">
        <f t="shared" si="150"/>
        <v>0</v>
      </c>
      <c r="BV123" s="82">
        <f t="shared" si="111"/>
        <v>3.4246026881720974E-5</v>
      </c>
      <c r="BW123" s="80">
        <f t="shared" si="112"/>
        <v>2.8338085938513533E-5</v>
      </c>
      <c r="BX123" s="80">
        <f t="shared" si="151"/>
        <v>2.0097933208940524E-5</v>
      </c>
      <c r="BY123" s="80">
        <f t="shared" si="152"/>
        <v>0</v>
      </c>
      <c r="BZ123" s="80">
        <f t="shared" si="153"/>
        <v>0</v>
      </c>
      <c r="CA123" s="80">
        <f t="shared" si="154"/>
        <v>0</v>
      </c>
      <c r="CB123" s="80">
        <f t="shared" si="155"/>
        <v>-2.5729949963366739E-5</v>
      </c>
      <c r="CC123" s="80">
        <f t="shared" si="156"/>
        <v>0</v>
      </c>
      <c r="CD123" s="80">
        <f t="shared" si="158"/>
        <v>0</v>
      </c>
      <c r="CE123" s="96">
        <f t="shared" si="157"/>
        <v>0</v>
      </c>
    </row>
    <row r="124" spans="1:83" x14ac:dyDescent="0.25">
      <c r="A124" s="118">
        <v>50</v>
      </c>
      <c r="B124" s="1">
        <v>77.666349999999994</v>
      </c>
      <c r="C124" s="54">
        <v>82.906237968455898</v>
      </c>
      <c r="D124" s="1">
        <v>60</v>
      </c>
      <c r="E124" s="1">
        <v>44.309060000000002</v>
      </c>
      <c r="F124" s="6">
        <v>104.95191</v>
      </c>
      <c r="G124" s="211" t="s">
        <v>8</v>
      </c>
      <c r="H124" s="56">
        <v>35.83</v>
      </c>
      <c r="I124" s="325">
        <v>90.62</v>
      </c>
      <c r="J124" s="325">
        <v>34.659999999999997</v>
      </c>
      <c r="K124" s="412">
        <v>238.89</v>
      </c>
      <c r="L124" s="211" t="s">
        <v>32</v>
      </c>
      <c r="M124" s="56">
        <v>687.25400000000002</v>
      </c>
      <c r="N124" s="1">
        <v>22.547699999999999</v>
      </c>
      <c r="O124" s="1">
        <v>270.57299999999998</v>
      </c>
      <c r="P124" s="1">
        <v>6.8725399999999999</v>
      </c>
      <c r="Q124" s="1">
        <v>4.2703999999999997E-3</v>
      </c>
      <c r="R124" s="1">
        <v>6872.54</v>
      </c>
      <c r="S124" s="1">
        <v>7.5159099999999999</v>
      </c>
      <c r="T124" s="1">
        <v>6872544</v>
      </c>
      <c r="U124" s="1">
        <v>1499520</v>
      </c>
      <c r="V124" s="1">
        <v>14995.2</v>
      </c>
      <c r="W124" s="1">
        <v>149.952</v>
      </c>
      <c r="X124" s="1">
        <v>1.49952</v>
      </c>
      <c r="Y124" s="1">
        <v>2324.2600000000002</v>
      </c>
      <c r="Z124" s="1">
        <v>16.140699999999999</v>
      </c>
      <c r="AA124" s="49">
        <v>1.49952E-2</v>
      </c>
      <c r="AB124" s="58">
        <v>1.4995199999999999E-4</v>
      </c>
      <c r="AC124" s="579">
        <v>3.7053999999999999E-4</v>
      </c>
      <c r="AD124" s="143">
        <v>3</v>
      </c>
      <c r="AE124" s="34">
        <v>50</v>
      </c>
      <c r="AF124" s="2">
        <v>77.666349999999994</v>
      </c>
      <c r="AG124" s="2">
        <v>82.906030000000001</v>
      </c>
      <c r="AH124" s="2">
        <v>60</v>
      </c>
      <c r="AI124" s="2">
        <v>44.309060000000002</v>
      </c>
      <c r="AJ124" s="42">
        <v>104.95191</v>
      </c>
      <c r="AK124" s="19" t="s">
        <v>8</v>
      </c>
      <c r="AL124" s="34">
        <v>35.828539999999997</v>
      </c>
      <c r="AM124" s="2">
        <v>90.620009999999994</v>
      </c>
      <c r="AN124" s="2">
        <v>34.662559999999999</v>
      </c>
      <c r="AO124" s="42">
        <v>238.88889</v>
      </c>
      <c r="AP124" s="19" t="s">
        <v>32</v>
      </c>
      <c r="AQ124" s="34">
        <v>687.25300000000004</v>
      </c>
      <c r="AR124" s="2">
        <v>22.547699999999999</v>
      </c>
      <c r="AS124" s="2">
        <f>AE124+AF124+AG124+AH124</f>
        <v>270.57238000000001</v>
      </c>
      <c r="AT124" s="2">
        <v>6.8725300000000002</v>
      </c>
      <c r="AU124" s="2">
        <v>4.2703899999999998E-3</v>
      </c>
      <c r="AV124" s="2">
        <v>6872.53</v>
      </c>
      <c r="AW124" s="2">
        <v>7.5158899999999997</v>
      </c>
      <c r="AX124" s="2">
        <v>6872529</v>
      </c>
      <c r="AY124" s="340">
        <v>1499520</v>
      </c>
      <c r="AZ124" s="26">
        <v>14995.2</v>
      </c>
      <c r="BA124" s="2">
        <v>149.952</v>
      </c>
      <c r="BB124" s="2">
        <v>1.49952</v>
      </c>
      <c r="BC124" s="2">
        <f>(SQRT(((AE124+AF124+AI124)/2)*((AE124+AF124+AI124)/2-AE124)*((AE124+AF124+AI124)/2-AF124)*((AE124+AF124+AI124)/2-AI124)))+(SQRT(((AG124+AH124+AI124)/2)*((AG124+AH124+AI124)/2-AG124)*((AG124+AH124+AI124)/2-AH124)*((AG124+AH124+AI124)/2-AI124)))</f>
        <v>2324.2633524631156</v>
      </c>
      <c r="BD124" s="2">
        <v>16.140699999999999</v>
      </c>
      <c r="BE124" s="342">
        <v>1.49952E-2</v>
      </c>
      <c r="BF124" s="309">
        <v>1.4995199999999999E-4</v>
      </c>
      <c r="BG124" s="188">
        <v>3.7053900000000002E-4</v>
      </c>
      <c r="BH124" s="238" t="s">
        <v>8</v>
      </c>
      <c r="BI124" s="251">
        <f t="shared" si="99"/>
        <v>4.0749637021256554E-3</v>
      </c>
      <c r="BJ124" s="73">
        <f t="shared" si="100"/>
        <v>-1.103509036134876E-5</v>
      </c>
      <c r="BK124" s="73">
        <f t="shared" si="141"/>
        <v>-7.3854902811637691E-3</v>
      </c>
      <c r="BL124" s="73">
        <f t="shared" si="142"/>
        <v>4.6465116062234914E-4</v>
      </c>
      <c r="BM124" s="234">
        <f t="shared" si="143"/>
        <v>0</v>
      </c>
      <c r="BN124" s="238" t="s">
        <v>32</v>
      </c>
      <c r="BO124" s="214">
        <f t="shared" si="144"/>
        <v>1.4550682208391277E-4</v>
      </c>
      <c r="BP124" s="82">
        <f t="shared" si="145"/>
        <v>0</v>
      </c>
      <c r="BQ124" s="82">
        <f t="shared" si="146"/>
        <v>2.2914386160532082E-4</v>
      </c>
      <c r="BR124" s="82">
        <f t="shared" si="147"/>
        <v>1.4550682208184501E-4</v>
      </c>
      <c r="BS124" s="82">
        <f t="shared" si="148"/>
        <v>2.341706495177399E-4</v>
      </c>
      <c r="BT124" s="82">
        <f t="shared" si="149"/>
        <v>1.4550682209052968E-4</v>
      </c>
      <c r="BU124" s="82">
        <f t="shared" si="150"/>
        <v>2.661028833595359E-4</v>
      </c>
      <c r="BV124" s="82">
        <f t="shared" si="111"/>
        <v>2.1826026488938789E-4</v>
      </c>
      <c r="BW124" s="80">
        <f t="shared" si="112"/>
        <v>0</v>
      </c>
      <c r="BX124" s="80">
        <f t="shared" si="151"/>
        <v>0</v>
      </c>
      <c r="BY124" s="80">
        <f t="shared" si="152"/>
        <v>0</v>
      </c>
      <c r="BZ124" s="80">
        <f t="shared" si="153"/>
        <v>0</v>
      </c>
      <c r="CA124" s="80">
        <f t="shared" si="154"/>
        <v>-1.4423766187172219E-4</v>
      </c>
      <c r="CB124" s="80">
        <f t="shared" si="155"/>
        <v>0</v>
      </c>
      <c r="CC124" s="80">
        <f t="shared" si="156"/>
        <v>0</v>
      </c>
      <c r="CD124" s="80">
        <f t="shared" si="158"/>
        <v>0</v>
      </c>
      <c r="CE124" s="96">
        <f t="shared" si="157"/>
        <v>2.6987712493463172E-4</v>
      </c>
    </row>
    <row r="125" spans="1:83" x14ac:dyDescent="0.25">
      <c r="A125" s="118">
        <v>77</v>
      </c>
      <c r="B125" s="1">
        <v>65</v>
      </c>
      <c r="C125" s="1">
        <v>76.999978457766602</v>
      </c>
      <c r="D125" s="1">
        <v>65</v>
      </c>
      <c r="E125" s="1">
        <v>116.52303999999999</v>
      </c>
      <c r="F125" s="6">
        <v>82.038880000000006</v>
      </c>
      <c r="G125" s="211" t="s">
        <v>4</v>
      </c>
      <c r="H125" s="411">
        <v>77.78</v>
      </c>
      <c r="I125" s="325">
        <v>122.22</v>
      </c>
      <c r="J125" s="325">
        <v>77.78</v>
      </c>
      <c r="K125" s="412">
        <v>122.22</v>
      </c>
      <c r="L125" s="211" t="s">
        <v>32</v>
      </c>
      <c r="M125" s="56">
        <v>28400</v>
      </c>
      <c r="N125" s="1">
        <v>931.75800000000004</v>
      </c>
      <c r="O125" s="1">
        <v>11181.1</v>
      </c>
      <c r="P125" s="1">
        <v>284</v>
      </c>
      <c r="Q125" s="1">
        <v>0.17646899999999999</v>
      </c>
      <c r="R125" s="1">
        <v>284000</v>
      </c>
      <c r="S125" s="1">
        <v>310.58600000000001</v>
      </c>
      <c r="T125" s="1">
        <v>283999978</v>
      </c>
      <c r="U125" s="1">
        <v>4703161027</v>
      </c>
      <c r="V125" s="1">
        <v>47031610</v>
      </c>
      <c r="W125" s="1">
        <v>470316</v>
      </c>
      <c r="X125" s="1">
        <v>4703.16</v>
      </c>
      <c r="Y125" s="1">
        <v>7289914</v>
      </c>
      <c r="Z125" s="1">
        <v>50624.4</v>
      </c>
      <c r="AA125" s="1">
        <v>47.031599999999997</v>
      </c>
      <c r="AB125" s="1">
        <v>0.47031600000000001</v>
      </c>
      <c r="AC125" s="6">
        <v>1.16218</v>
      </c>
      <c r="AD125" s="143">
        <v>4</v>
      </c>
      <c r="AE125" s="34">
        <v>77</v>
      </c>
      <c r="AF125" s="2">
        <v>65</v>
      </c>
      <c r="AG125" s="2">
        <v>77</v>
      </c>
      <c r="AH125" s="2">
        <v>65</v>
      </c>
      <c r="AI125" s="2">
        <v>116.52303999999999</v>
      </c>
      <c r="AJ125" s="42">
        <v>82.038880000000006</v>
      </c>
      <c r="AK125" s="19" t="s">
        <v>4</v>
      </c>
      <c r="AL125" s="604">
        <v>77.78</v>
      </c>
      <c r="AM125" s="396">
        <v>122.22</v>
      </c>
      <c r="AN125" s="396">
        <v>77.78</v>
      </c>
      <c r="AO125" s="605">
        <v>122.22</v>
      </c>
      <c r="AP125" s="19" t="s">
        <v>32</v>
      </c>
      <c r="AQ125" s="34">
        <v>28400</v>
      </c>
      <c r="AR125" s="2">
        <v>931.75900000000001</v>
      </c>
      <c r="AS125" s="2">
        <v>11181.1</v>
      </c>
      <c r="AT125" s="2">
        <f>AE125+AF125+AG125+AH125</f>
        <v>284</v>
      </c>
      <c r="AU125" s="2">
        <v>0.17646899999999999</v>
      </c>
      <c r="AV125" s="2">
        <v>284000</v>
      </c>
      <c r="AW125" s="2">
        <v>310.58600000000001</v>
      </c>
      <c r="AX125" s="2">
        <v>284000000</v>
      </c>
      <c r="AY125" s="29">
        <v>4703160000</v>
      </c>
      <c r="AZ125" s="29">
        <v>47031600</v>
      </c>
      <c r="BA125" s="29">
        <v>470316</v>
      </c>
      <c r="BB125" s="2">
        <f>((SQRT(((AE125+AF125+AI125)/2)*((AE125+AF125+AI125)/2-AE125)*((AE125+AF125+AI125)/2-AF125)*((AE125+AF125+AI125)/2-AI125)))+(SQRT(((AG125+AH125+AI125)/2)*((AG125+AH125+AI125)/2-AG125)*((AG125+AH125+AI125)/2-AH125)*((AG125+AH125+AI125)/2-AI125))))</f>
        <v>4703.1620736522027</v>
      </c>
      <c r="BC125" s="29">
        <v>7289913</v>
      </c>
      <c r="BD125" s="29">
        <v>50624.4</v>
      </c>
      <c r="BE125" s="2">
        <v>47.031599999999997</v>
      </c>
      <c r="BF125" s="2">
        <v>0.47031600000000001</v>
      </c>
      <c r="BG125" s="42">
        <v>1.16218</v>
      </c>
      <c r="BH125" s="238" t="s">
        <v>4</v>
      </c>
      <c r="BI125" s="251">
        <f t="shared" si="99"/>
        <v>0</v>
      </c>
      <c r="BJ125" s="73">
        <f t="shared" si="100"/>
        <v>0</v>
      </c>
      <c r="BK125" s="73">
        <f t="shared" si="141"/>
        <v>0</v>
      </c>
      <c r="BL125" s="73">
        <f t="shared" si="142"/>
        <v>0</v>
      </c>
      <c r="BM125" s="234">
        <f t="shared" si="143"/>
        <v>0</v>
      </c>
      <c r="BN125" s="238" t="s">
        <v>32</v>
      </c>
      <c r="BO125" s="214">
        <f t="shared" si="144"/>
        <v>0</v>
      </c>
      <c r="BP125" s="82">
        <f t="shared" si="145"/>
        <v>-1.0732388954400795E-4</v>
      </c>
      <c r="BQ125" s="82">
        <f t="shared" si="146"/>
        <v>0</v>
      </c>
      <c r="BR125" s="82">
        <f t="shared" si="147"/>
        <v>0</v>
      </c>
      <c r="BS125" s="82">
        <f t="shared" si="148"/>
        <v>0</v>
      </c>
      <c r="BT125" s="82">
        <f t="shared" si="149"/>
        <v>0</v>
      </c>
      <c r="BU125" s="82">
        <f t="shared" si="150"/>
        <v>0</v>
      </c>
      <c r="BV125" s="82">
        <f t="shared" si="111"/>
        <v>-7.7464788732394361E-6</v>
      </c>
      <c r="BW125" s="80">
        <f t="shared" si="112"/>
        <v>2.1836382347187848E-5</v>
      </c>
      <c r="BX125" s="80">
        <f t="shared" si="151"/>
        <v>2.1262300240689238E-5</v>
      </c>
      <c r="BY125" s="80">
        <f t="shared" si="152"/>
        <v>0</v>
      </c>
      <c r="BZ125" s="80">
        <f t="shared" si="153"/>
        <v>-4.4090596292008053E-5</v>
      </c>
      <c r="CA125" s="80">
        <f t="shared" si="154"/>
        <v>1.3717584832631061E-5</v>
      </c>
      <c r="CB125" s="80">
        <f t="shared" si="155"/>
        <v>0</v>
      </c>
      <c r="CC125" s="80">
        <f t="shared" si="156"/>
        <v>0</v>
      </c>
      <c r="CD125" s="80">
        <f t="shared" si="158"/>
        <v>0</v>
      </c>
      <c r="CE125" s="96">
        <f t="shared" si="157"/>
        <v>0</v>
      </c>
    </row>
    <row r="126" spans="1:83" x14ac:dyDescent="0.25">
      <c r="A126" s="118">
        <v>50</v>
      </c>
      <c r="B126" s="1">
        <v>100</v>
      </c>
      <c r="C126" s="54">
        <v>89.490138405261803</v>
      </c>
      <c r="D126" s="1">
        <v>40</v>
      </c>
      <c r="E126" s="1">
        <v>55.705260000000003</v>
      </c>
      <c r="F126" s="6">
        <v>58.355899999999998</v>
      </c>
      <c r="G126" s="211" t="s">
        <v>10</v>
      </c>
      <c r="H126" s="56">
        <v>22.22</v>
      </c>
      <c r="I126" s="325">
        <v>39.25</v>
      </c>
      <c r="J126" s="325">
        <v>27.42</v>
      </c>
      <c r="K126" s="412">
        <v>311.11</v>
      </c>
      <c r="L126" s="211" t="s">
        <v>32</v>
      </c>
      <c r="M126" s="575">
        <v>44979578</v>
      </c>
      <c r="N126" s="1">
        <v>1475708</v>
      </c>
      <c r="O126" s="1">
        <v>17708495</v>
      </c>
      <c r="P126" s="1">
        <v>449796</v>
      </c>
      <c r="Q126" s="1">
        <v>279.49</v>
      </c>
      <c r="R126" s="1">
        <v>449795777</v>
      </c>
      <c r="S126" s="1">
        <v>491903</v>
      </c>
      <c r="T126" s="1">
        <v>449795777302</v>
      </c>
      <c r="U126" s="59">
        <v>4149925187179280</v>
      </c>
      <c r="V126" s="59">
        <v>41499251871793</v>
      </c>
      <c r="W126" s="1">
        <v>414992518718</v>
      </c>
      <c r="X126" s="1">
        <v>4149925187</v>
      </c>
      <c r="Y126" s="1">
        <v>6432396904922</v>
      </c>
      <c r="Z126" s="1">
        <v>44669422951</v>
      </c>
      <c r="AA126" s="1">
        <v>41499252</v>
      </c>
      <c r="AB126" s="1">
        <v>414993</v>
      </c>
      <c r="AC126" s="6">
        <v>1025469</v>
      </c>
      <c r="AD126" s="143">
        <v>5</v>
      </c>
      <c r="AE126" s="34">
        <v>50</v>
      </c>
      <c r="AF126" s="2">
        <v>100</v>
      </c>
      <c r="AG126" s="2">
        <v>89.49015</v>
      </c>
      <c r="AH126" s="2">
        <v>40</v>
      </c>
      <c r="AI126" s="2">
        <v>55.705260000000003</v>
      </c>
      <c r="AJ126" s="42">
        <v>58.355899999999998</v>
      </c>
      <c r="AK126" s="19" t="s">
        <v>10</v>
      </c>
      <c r="AL126" s="34">
        <v>22.22</v>
      </c>
      <c r="AM126" s="396">
        <v>39.25</v>
      </c>
      <c r="AN126" s="396">
        <v>27.42</v>
      </c>
      <c r="AO126" s="605">
        <v>311.11</v>
      </c>
      <c r="AP126" s="19" t="s">
        <v>32</v>
      </c>
      <c r="AQ126" s="34">
        <v>44979555</v>
      </c>
      <c r="AR126" s="2">
        <v>1475707</v>
      </c>
      <c r="AS126" s="2">
        <v>17708486</v>
      </c>
      <c r="AT126" s="2">
        <v>449796</v>
      </c>
      <c r="AU126" s="2">
        <f>AE126+AF126+AG126+AH126</f>
        <v>279.49014999999997</v>
      </c>
      <c r="AV126" s="2">
        <v>449795555</v>
      </c>
      <c r="AW126" s="2">
        <v>491902</v>
      </c>
      <c r="AX126" s="29">
        <v>449795554560</v>
      </c>
      <c r="AY126" s="29">
        <v>4149923701000000</v>
      </c>
      <c r="AZ126" s="29">
        <v>41499237010000</v>
      </c>
      <c r="BA126" s="29">
        <v>414992370100</v>
      </c>
      <c r="BB126" s="2">
        <f>((SQRT(((AE126+AF126+AI126)/2)*((AE126+AF126+AI126)/2-AE126)*((AE126+AF126+AI126)/2-AF126)*((AE126+AF126+AI126)/2-AI126)))+(SQRT(((AG126+AH126+AI126)/2)*((AG126+AH126+AI126)/2-AG126)*((AG126+AH126+AI126)/2-AH126)*((AG126+AH126+AI126)/2-AI126))))*1609.344*1609.344</f>
        <v>4149923701.2181191</v>
      </c>
      <c r="BC126" s="29">
        <v>6432394601339</v>
      </c>
      <c r="BD126" s="2">
        <v>44669406954</v>
      </c>
      <c r="BE126" s="2">
        <v>41499237</v>
      </c>
      <c r="BF126" s="2">
        <v>414992</v>
      </c>
      <c r="BG126" s="42">
        <v>1025468</v>
      </c>
      <c r="BH126" s="238" t="s">
        <v>10</v>
      </c>
      <c r="BI126" s="251">
        <f t="shared" si="99"/>
        <v>0</v>
      </c>
      <c r="BJ126" s="73">
        <f t="shared" si="100"/>
        <v>0</v>
      </c>
      <c r="BK126" s="73">
        <f t="shared" si="141"/>
        <v>0</v>
      </c>
      <c r="BL126" s="73">
        <f t="shared" si="142"/>
        <v>0</v>
      </c>
      <c r="BM126" s="234">
        <f t="shared" si="143"/>
        <v>0</v>
      </c>
      <c r="BN126" s="238" t="s">
        <v>32</v>
      </c>
      <c r="BO126" s="214">
        <f t="shared" si="144"/>
        <v>5.1134343147681204E-5</v>
      </c>
      <c r="BP126" s="82">
        <f t="shared" si="145"/>
        <v>6.7764129329196112E-5</v>
      </c>
      <c r="BQ126" s="82">
        <f t="shared" si="146"/>
        <v>5.0823091256926201E-5</v>
      </c>
      <c r="BR126" s="82">
        <f t="shared" si="147"/>
        <v>0</v>
      </c>
      <c r="BS126" s="82">
        <f t="shared" si="148"/>
        <v>-5.3669154337763582E-5</v>
      </c>
      <c r="BT126" s="82">
        <f t="shared" si="149"/>
        <v>4.9355756750419643E-5</v>
      </c>
      <c r="BU126" s="82">
        <f t="shared" si="150"/>
        <v>2.0329252574699839E-4</v>
      </c>
      <c r="BV126" s="82">
        <f t="shared" si="111"/>
        <v>4.952072063448719E-5</v>
      </c>
      <c r="BW126" s="80">
        <f t="shared" si="112"/>
        <v>3.5812207333881294E-5</v>
      </c>
      <c r="BX126" s="80">
        <f t="shared" si="151"/>
        <v>3.5812207815817867E-5</v>
      </c>
      <c r="BY126" s="80">
        <f t="shared" si="152"/>
        <v>3.581222468359786E-5</v>
      </c>
      <c r="BZ126" s="80">
        <f t="shared" si="153"/>
        <v>3.5802631272942239E-5</v>
      </c>
      <c r="CA126" s="80">
        <f t="shared" si="154"/>
        <v>3.5812215244389304E-5</v>
      </c>
      <c r="CB126" s="80">
        <f t="shared" si="155"/>
        <v>3.5811982049534507E-5</v>
      </c>
      <c r="CC126" s="80">
        <f t="shared" si="156"/>
        <v>3.6145242863139871E-5</v>
      </c>
      <c r="CD126" s="80">
        <f t="shared" si="158"/>
        <v>2.4096850059760188E-4</v>
      </c>
      <c r="CE126" s="96">
        <f t="shared" si="157"/>
        <v>9.7516451025287965E-5</v>
      </c>
    </row>
    <row r="127" spans="1:83" x14ac:dyDescent="0.25">
      <c r="A127" s="118">
        <v>149.71453</v>
      </c>
      <c r="B127" s="1">
        <v>45</v>
      </c>
      <c r="C127" s="1">
        <v>72</v>
      </c>
      <c r="D127" s="1">
        <v>65</v>
      </c>
      <c r="E127" s="1">
        <v>124.1994</v>
      </c>
      <c r="F127" s="6">
        <v>110.33123000000001</v>
      </c>
      <c r="G127" s="211" t="s">
        <v>6</v>
      </c>
      <c r="H127" s="56">
        <v>53.35</v>
      </c>
      <c r="I127" s="325">
        <v>155.56</v>
      </c>
      <c r="J127" s="325">
        <v>144.44</v>
      </c>
      <c r="K127" s="412">
        <v>46.65</v>
      </c>
      <c r="L127" s="211" t="s">
        <v>32</v>
      </c>
      <c r="M127" s="56">
        <v>33.171500000000002</v>
      </c>
      <c r="N127" s="1">
        <v>1.0883</v>
      </c>
      <c r="O127" s="1">
        <v>13.0596</v>
      </c>
      <c r="P127" s="1">
        <v>0.33171499999999998</v>
      </c>
      <c r="Q127" s="316">
        <v>2.0611800000000001E-4</v>
      </c>
      <c r="R127" s="1">
        <v>331.71499999999997</v>
      </c>
      <c r="S127" s="1">
        <v>0.36276799999999998</v>
      </c>
      <c r="T127" s="1">
        <v>331715</v>
      </c>
      <c r="U127" s="348">
        <v>4296.37</v>
      </c>
      <c r="V127" s="347">
        <v>42.963700000000003</v>
      </c>
      <c r="W127" s="315">
        <v>0.42963699999999999</v>
      </c>
      <c r="X127" s="326">
        <v>4.2963699999999999E-3</v>
      </c>
      <c r="Y127" s="78">
        <v>6.6593799999999996</v>
      </c>
      <c r="Z127" s="78">
        <v>4.6245700000000001E-2</v>
      </c>
      <c r="AA127" s="49">
        <v>4.2963677822271301E-5</v>
      </c>
      <c r="AB127" s="58">
        <v>4.2963677822271401E-7</v>
      </c>
      <c r="AC127" s="579">
        <v>1.06165559975048E-6</v>
      </c>
      <c r="AD127" s="143">
        <v>6</v>
      </c>
      <c r="AE127" s="34">
        <v>149.71453</v>
      </c>
      <c r="AF127" s="2">
        <v>45</v>
      </c>
      <c r="AG127" s="2">
        <v>72</v>
      </c>
      <c r="AH127" s="2">
        <v>65</v>
      </c>
      <c r="AI127" s="2">
        <v>124.1994</v>
      </c>
      <c r="AJ127" s="42">
        <v>110.33123000000001</v>
      </c>
      <c r="AK127" s="19" t="s">
        <v>6</v>
      </c>
      <c r="AL127" s="34">
        <v>53.346739999999997</v>
      </c>
      <c r="AM127" s="2">
        <v>155.55555000000001</v>
      </c>
      <c r="AN127" s="2">
        <v>144.44444999999999</v>
      </c>
      <c r="AO127" s="42">
        <v>46.653260000000003</v>
      </c>
      <c r="AP127" s="19" t="s">
        <v>32</v>
      </c>
      <c r="AQ127" s="34">
        <v>33.171500000000002</v>
      </c>
      <c r="AR127" s="2">
        <v>1.0883</v>
      </c>
      <c r="AS127" s="2">
        <v>13.0596</v>
      </c>
      <c r="AT127" s="2">
        <v>0.33171499999999998</v>
      </c>
      <c r="AU127" s="302">
        <v>2.0611800000000001E-4</v>
      </c>
      <c r="AV127" s="2">
        <f>AE127+AF127+AG127+AH127</f>
        <v>331.71452999999997</v>
      </c>
      <c r="AW127" s="2">
        <v>0.36276799999999998</v>
      </c>
      <c r="AX127" s="2">
        <v>331715</v>
      </c>
      <c r="AY127" s="2">
        <f>(SQRT(((AE127+AF127+AI127)/2)*((AE127+AF127+AI127)/2-AE127)*((AE127+AF127+AI127)/2-AF127)*((AE127+AF127+AI127)/2-AI127)))+(SQRT(((AG127+AH127+AI127)/2)*((AG127+AH127+AI127)/2-AG127)*((AG127+AH127+AI127)/2-AH127)*((AG127+AH127+AI127)/2-AI127)))</f>
        <v>4296.3623276832368</v>
      </c>
      <c r="AZ127" s="2">
        <v>42.9636</v>
      </c>
      <c r="BA127" s="2">
        <v>0.42963600000000002</v>
      </c>
      <c r="BB127" s="23">
        <v>4.2963599999999999E-3</v>
      </c>
      <c r="BC127" s="2">
        <v>6.65937</v>
      </c>
      <c r="BD127" s="342">
        <v>4.6245599999999998E-2</v>
      </c>
      <c r="BE127" s="323">
        <v>4.2963600000000003E-5</v>
      </c>
      <c r="BF127" s="360">
        <v>4.2963600000000002E-7</v>
      </c>
      <c r="BG127" s="43">
        <v>1.06165367672027E-6</v>
      </c>
      <c r="BH127" s="238" t="s">
        <v>6</v>
      </c>
      <c r="BI127" s="251">
        <f t="shared" si="99"/>
        <v>6.110963856468983E-3</v>
      </c>
      <c r="BJ127" s="73">
        <f t="shared" si="100"/>
        <v>2.8607143878771313E-3</v>
      </c>
      <c r="BK127" s="73">
        <f t="shared" si="141"/>
        <v>-3.0807691122721613E-3</v>
      </c>
      <c r="BL127" s="73">
        <f t="shared" si="142"/>
        <v>-6.9877217583604687E-3</v>
      </c>
      <c r="BM127" s="234">
        <f t="shared" si="143"/>
        <v>0</v>
      </c>
      <c r="BN127" s="238" t="s">
        <v>32</v>
      </c>
      <c r="BO127" s="214">
        <f t="shared" si="144"/>
        <v>0</v>
      </c>
      <c r="BP127" s="82">
        <f t="shared" si="145"/>
        <v>0</v>
      </c>
      <c r="BQ127" s="82">
        <f t="shared" si="146"/>
        <v>0</v>
      </c>
      <c r="BR127" s="82">
        <f t="shared" si="147"/>
        <v>0</v>
      </c>
      <c r="BS127" s="82">
        <f t="shared" si="148"/>
        <v>0</v>
      </c>
      <c r="BT127" s="82">
        <f t="shared" si="149"/>
        <v>1.4168809548592155E-4</v>
      </c>
      <c r="BU127" s="82">
        <f t="shared" si="150"/>
        <v>0</v>
      </c>
      <c r="BV127" s="82">
        <f t="shared" si="111"/>
        <v>0</v>
      </c>
      <c r="BW127" s="80">
        <f t="shared" si="112"/>
        <v>1.7857704210968783E-4</v>
      </c>
      <c r="BX127" s="80">
        <f t="shared" si="151"/>
        <v>2.3275516950004111E-4</v>
      </c>
      <c r="BY127" s="80">
        <f t="shared" si="152"/>
        <v>2.3275516948608694E-4</v>
      </c>
      <c r="BZ127" s="80">
        <f t="shared" si="153"/>
        <v>2.3275516949093213E-4</v>
      </c>
      <c r="CA127" s="80">
        <f t="shared" si="154"/>
        <v>1.5016435488073832E-4</v>
      </c>
      <c r="CB127" s="80">
        <f t="shared" si="155"/>
        <v>2.1623678793847539E-4</v>
      </c>
      <c r="CC127" s="80">
        <f t="shared" si="156"/>
        <v>1.8113535946318591E-4</v>
      </c>
      <c r="CD127" s="80">
        <f t="shared" si="158"/>
        <v>1.8113535969730308E-4</v>
      </c>
      <c r="CE127" s="96">
        <f t="shared" si="157"/>
        <v>1.8113536006278985E-4</v>
      </c>
    </row>
    <row r="128" spans="1:83" x14ac:dyDescent="0.25">
      <c r="A128" s="118">
        <v>95</v>
      </c>
      <c r="B128" s="1">
        <v>35</v>
      </c>
      <c r="C128" s="1">
        <v>25</v>
      </c>
      <c r="D128" s="1">
        <v>88.358099999999993</v>
      </c>
      <c r="E128" s="1">
        <v>86.252989999999997</v>
      </c>
      <c r="F128" s="6">
        <v>60</v>
      </c>
      <c r="G128" s="211" t="s">
        <v>7</v>
      </c>
      <c r="H128" s="56">
        <v>72.22</v>
      </c>
      <c r="I128" s="325">
        <v>200.01</v>
      </c>
      <c r="J128" s="325">
        <v>85.57</v>
      </c>
      <c r="K128" s="412">
        <v>42.2</v>
      </c>
      <c r="L128" s="211" t="s">
        <v>32</v>
      </c>
      <c r="M128" s="56">
        <v>22252.7</v>
      </c>
      <c r="N128" s="1">
        <v>730.07399999999996</v>
      </c>
      <c r="O128" s="1">
        <v>8760.89</v>
      </c>
      <c r="P128" s="1">
        <v>222.52699999999999</v>
      </c>
      <c r="Q128" s="1">
        <v>0.13827200000000001</v>
      </c>
      <c r="R128" s="1">
        <v>222527</v>
      </c>
      <c r="S128" s="1">
        <v>243.358</v>
      </c>
      <c r="T128" s="1">
        <v>222526647</v>
      </c>
      <c r="U128" s="1">
        <v>2159696430</v>
      </c>
      <c r="V128" s="1">
        <v>21596964</v>
      </c>
      <c r="W128" s="1">
        <v>215970</v>
      </c>
      <c r="X128" s="1">
        <v>2159.6999999999998</v>
      </c>
      <c r="Y128" s="1">
        <v>3347536</v>
      </c>
      <c r="Z128" s="1">
        <v>23246.799999999999</v>
      </c>
      <c r="AA128" s="1">
        <v>21.597000000000001</v>
      </c>
      <c r="AB128" s="1">
        <v>0.21597</v>
      </c>
      <c r="AC128" s="6">
        <v>0.53367299999999995</v>
      </c>
      <c r="AD128" s="143">
        <v>7</v>
      </c>
      <c r="AE128" s="34">
        <v>95</v>
      </c>
      <c r="AF128" s="2">
        <v>35</v>
      </c>
      <c r="AG128" s="2">
        <v>25</v>
      </c>
      <c r="AH128" s="2">
        <v>88.358099999999993</v>
      </c>
      <c r="AI128" s="2">
        <v>86.252989999999997</v>
      </c>
      <c r="AJ128" s="42">
        <v>60</v>
      </c>
      <c r="AK128" s="19" t="s">
        <v>7</v>
      </c>
      <c r="AL128" s="34">
        <v>72.222269999999995</v>
      </c>
      <c r="AM128" s="2">
        <v>200</v>
      </c>
      <c r="AN128" s="2">
        <v>85.573970000000003</v>
      </c>
      <c r="AO128" s="42">
        <v>42.203749999999999</v>
      </c>
      <c r="AP128" s="19" t="s">
        <v>32</v>
      </c>
      <c r="AQ128" s="34">
        <v>22252.7</v>
      </c>
      <c r="AR128" s="2">
        <v>730.07399999999996</v>
      </c>
      <c r="AS128" s="2">
        <v>8760.89</v>
      </c>
      <c r="AT128" s="2">
        <v>222.52699999999999</v>
      </c>
      <c r="AU128" s="2">
        <v>0.13827200000000001</v>
      </c>
      <c r="AV128" s="2">
        <v>222527</v>
      </c>
      <c r="AW128" s="2">
        <f>AE128+AF128+AG128+AH128</f>
        <v>243.35809999999998</v>
      </c>
      <c r="AX128" s="2">
        <v>222526555</v>
      </c>
      <c r="AY128" s="2">
        <v>2159700000</v>
      </c>
      <c r="AZ128" s="2">
        <v>21597000</v>
      </c>
      <c r="BA128" s="2">
        <v>215970</v>
      </c>
      <c r="BB128" s="2">
        <f>((SQRT(((AE128+AF128+AI128)/2)*((AE128+AF128+AI128)/2-AE128)*((AE128+AF128+AI128)/2-AF128)*((AE128+AF128+AI128)/2-AI128)))+(SQRT(((AG128+AH128+AI128)/2)*((AG128+AH128+AI128)/2-AG128)*((AG128+AH128+AI128)/2-AH128)*((AG128+AH128+AI128)/2-AI128))))*0.9144*0.9144</f>
        <v>2159.6964297961986</v>
      </c>
      <c r="BC128" s="2">
        <v>3347542</v>
      </c>
      <c r="BD128" s="2">
        <v>23246.799999999999</v>
      </c>
      <c r="BE128" s="2">
        <v>21.597000000000001</v>
      </c>
      <c r="BF128" s="2">
        <v>0.21597</v>
      </c>
      <c r="BG128" s="42">
        <v>0.53367299999999995</v>
      </c>
      <c r="BH128" s="238" t="s">
        <v>7</v>
      </c>
      <c r="BI128" s="251">
        <f t="shared" si="99"/>
        <v>-3.1430748438061773E-3</v>
      </c>
      <c r="BJ128" s="73">
        <f t="shared" si="100"/>
        <v>4.9999999999954525E-3</v>
      </c>
      <c r="BK128" s="73">
        <f t="shared" si="141"/>
        <v>-4.6392612146071719E-3</v>
      </c>
      <c r="BL128" s="73">
        <f t="shared" si="142"/>
        <v>-8.8854663388836051E-3</v>
      </c>
      <c r="BM128" s="234">
        <f t="shared" si="143"/>
        <v>0</v>
      </c>
      <c r="BN128" s="238" t="s">
        <v>32</v>
      </c>
      <c r="BO128" s="214">
        <f t="shared" si="144"/>
        <v>0</v>
      </c>
      <c r="BP128" s="82">
        <f t="shared" si="145"/>
        <v>0</v>
      </c>
      <c r="BQ128" s="82">
        <f t="shared" si="146"/>
        <v>0</v>
      </c>
      <c r="BR128" s="82">
        <f t="shared" si="147"/>
        <v>0</v>
      </c>
      <c r="BS128" s="82">
        <f t="shared" si="148"/>
        <v>0</v>
      </c>
      <c r="BT128" s="82">
        <f t="shared" si="149"/>
        <v>0</v>
      </c>
      <c r="BU128" s="82">
        <f t="shared" si="150"/>
        <v>-4.1091708052823374E-5</v>
      </c>
      <c r="BV128" s="82">
        <f t="shared" si="111"/>
        <v>4.1343380343977376E-5</v>
      </c>
      <c r="BW128" s="80">
        <f t="shared" si="112"/>
        <v>-1.6530073621336296E-4</v>
      </c>
      <c r="BX128" s="80">
        <f t="shared" si="151"/>
        <v>-1.6668981803028197E-4</v>
      </c>
      <c r="BY128" s="80">
        <f t="shared" si="152"/>
        <v>0</v>
      </c>
      <c r="BZ128" s="80">
        <f t="shared" si="153"/>
        <v>1.6531044604184753E-4</v>
      </c>
      <c r="CA128" s="80">
        <f t="shared" si="154"/>
        <v>-1.7923598867467533E-4</v>
      </c>
      <c r="CB128" s="80">
        <f t="shared" si="155"/>
        <v>0</v>
      </c>
      <c r="CC128" s="80">
        <f t="shared" si="156"/>
        <v>0</v>
      </c>
      <c r="CD128" s="80">
        <f t="shared" si="158"/>
        <v>0</v>
      </c>
      <c r="CE128" s="96">
        <f t="shared" si="157"/>
        <v>0</v>
      </c>
    </row>
    <row r="129" spans="1:83" x14ac:dyDescent="0.25">
      <c r="A129" s="118">
        <v>56</v>
      </c>
      <c r="B129" s="1">
        <v>55</v>
      </c>
      <c r="C129" s="1">
        <v>101</v>
      </c>
      <c r="D129" s="1">
        <v>71.063320000000004</v>
      </c>
      <c r="E129" s="1">
        <v>78.492069999999998</v>
      </c>
      <c r="F129" s="6">
        <v>115.00433</v>
      </c>
      <c r="G129" s="211" t="s">
        <v>20</v>
      </c>
      <c r="H129" s="56">
        <v>100</v>
      </c>
      <c r="I129" s="325">
        <v>100</v>
      </c>
      <c r="J129" s="325">
        <v>56.35</v>
      </c>
      <c r="K129" s="412">
        <v>143.65</v>
      </c>
      <c r="L129" s="211" t="s">
        <v>32</v>
      </c>
      <c r="M129" s="56">
        <v>2.83063E-2</v>
      </c>
      <c r="N129" s="316">
        <v>9.2868599999999996E-4</v>
      </c>
      <c r="O129" s="1">
        <v>1.11442E-2</v>
      </c>
      <c r="P129" s="316">
        <v>2.8306300000000001E-4</v>
      </c>
      <c r="Q129" s="58">
        <v>1.75887423264056E-7</v>
      </c>
      <c r="R129" s="78">
        <v>0.28306300000000001</v>
      </c>
      <c r="S129" s="49">
        <v>3.0956199999999999E-4</v>
      </c>
      <c r="T129" s="1">
        <v>283.06299999999999</v>
      </c>
      <c r="U129" s="78">
        <v>4.3175000000000002E-3</v>
      </c>
      <c r="V129" s="49">
        <v>4.3175001015702197E-5</v>
      </c>
      <c r="W129" s="58">
        <v>4.3175001015702198E-7</v>
      </c>
      <c r="X129" s="447">
        <v>4.3175001015702201E-9</v>
      </c>
      <c r="Y129" s="50">
        <v>6.6921385417109196E-6</v>
      </c>
      <c r="Z129" s="51">
        <v>4.6473184317436901E-8</v>
      </c>
      <c r="AA129" s="525">
        <v>4.3175001015702198E-11</v>
      </c>
      <c r="AB129" s="79">
        <v>4.3175001015702198E-13</v>
      </c>
      <c r="AC129" s="580">
        <v>1.0668775095830299E-12</v>
      </c>
      <c r="AD129" s="143">
        <v>8</v>
      </c>
      <c r="AE129" s="34">
        <v>56</v>
      </c>
      <c r="AF129" s="2">
        <v>55</v>
      </c>
      <c r="AG129" s="2">
        <v>101</v>
      </c>
      <c r="AH129" s="2">
        <v>71.063320000000004</v>
      </c>
      <c r="AI129" s="2">
        <v>78.492069999999998</v>
      </c>
      <c r="AJ129" s="42">
        <v>115.00433</v>
      </c>
      <c r="AK129" s="19" t="s">
        <v>20</v>
      </c>
      <c r="AL129" s="34">
        <v>100</v>
      </c>
      <c r="AM129" s="2">
        <v>100</v>
      </c>
      <c r="AN129" s="2">
        <v>56.345149999999997</v>
      </c>
      <c r="AO129" s="42">
        <v>143.65485000000001</v>
      </c>
      <c r="AP129" s="19" t="s">
        <v>32</v>
      </c>
      <c r="AQ129" s="34">
        <v>2.83063E-2</v>
      </c>
      <c r="AR129" s="302">
        <v>9.2868400000000004E-4</v>
      </c>
      <c r="AS129" s="2">
        <v>1.11442E-2</v>
      </c>
      <c r="AT129" s="302">
        <v>2.8306300000000001E-4</v>
      </c>
      <c r="AU129" s="526">
        <v>1.75887193788276E-7</v>
      </c>
      <c r="AV129" s="2">
        <v>0.28306300000000001</v>
      </c>
      <c r="AW129" s="302">
        <v>3.0956100000000003E-4</v>
      </c>
      <c r="AX129" s="2">
        <f>AE129+AF129+AG129+AH129</f>
        <v>283.06331999999998</v>
      </c>
      <c r="AY129" s="2">
        <f>((SQRT(((AE129+AF129+AI129)/2)*((AE129+AF129+AI129)/2-AE129)*((AE129+AF129+AI129)/2-AF129)*((AE129+AF129+AI129)/2-AI129)))+(SQRT(((AG129+AH129+AI129)/2)*((AG129+AH129+AI129)/2-AG129)*((AG129+AH129+AI129)/2-AH129)*((AG129+AH129+AI129)/2-AI129))))/1000/1000</f>
        <v>4.3174998752142368E-3</v>
      </c>
      <c r="AZ129" s="302">
        <v>4.3174999999999999E-5</v>
      </c>
      <c r="BA129" s="23">
        <v>4.3174999999999998E-7</v>
      </c>
      <c r="BB129" s="31">
        <v>4.3174999999999996E-9</v>
      </c>
      <c r="BC129" s="33">
        <v>6.6921383842767699E-6</v>
      </c>
      <c r="BD129" s="527">
        <v>4.6473183224144199E-8</v>
      </c>
      <c r="BE129" s="32">
        <v>4.3175000000000002E-11</v>
      </c>
      <c r="BF129" s="528">
        <v>4.3175E-13</v>
      </c>
      <c r="BG129" s="591">
        <v>1.06687748448449E-12</v>
      </c>
      <c r="BH129" s="238" t="s">
        <v>20</v>
      </c>
      <c r="BI129" s="251">
        <f t="shared" si="99"/>
        <v>0</v>
      </c>
      <c r="BJ129" s="73">
        <f t="shared" si="100"/>
        <v>0</v>
      </c>
      <c r="BK129" s="73">
        <f t="shared" si="141"/>
        <v>8.6076618839504102E-3</v>
      </c>
      <c r="BL129" s="73">
        <f t="shared" si="142"/>
        <v>-3.3761477597203876E-3</v>
      </c>
      <c r="BM129" s="234">
        <f t="shared" si="143"/>
        <v>0</v>
      </c>
      <c r="BN129" s="238" t="s">
        <v>32</v>
      </c>
      <c r="BO129" s="214">
        <f t="shared" si="144"/>
        <v>0</v>
      </c>
      <c r="BP129" s="82">
        <f t="shared" si="145"/>
        <v>2.1535850729883041E-4</v>
      </c>
      <c r="BQ129" s="82">
        <f t="shared" si="146"/>
        <v>0</v>
      </c>
      <c r="BR129" s="82">
        <f t="shared" si="147"/>
        <v>0</v>
      </c>
      <c r="BS129" s="82">
        <f t="shared" si="148"/>
        <v>1.3046758837998384E-4</v>
      </c>
      <c r="BT129" s="82">
        <f t="shared" si="149"/>
        <v>0</v>
      </c>
      <c r="BU129" s="82">
        <f t="shared" si="150"/>
        <v>3.2303810879327018E-4</v>
      </c>
      <c r="BV129" s="82">
        <f t="shared" si="111"/>
        <v>-1.1304891074826846E-4</v>
      </c>
      <c r="BW129" s="80">
        <f t="shared" si="112"/>
        <v>2.8902320075563156E-6</v>
      </c>
      <c r="BX129" s="80">
        <f t="shared" si="151"/>
        <v>2.3525239094677644E-6</v>
      </c>
      <c r="BY129" s="80">
        <f t="shared" si="152"/>
        <v>2.3525239138819491E-6</v>
      </c>
      <c r="BZ129" s="80">
        <f t="shared" si="153"/>
        <v>2.3525239246108695E-6</v>
      </c>
      <c r="CA129" s="80">
        <f t="shared" si="154"/>
        <v>2.3525238227551326E-6</v>
      </c>
      <c r="CB129" s="80">
        <f t="shared" si="155"/>
        <v>2.3525238132622836E-6</v>
      </c>
      <c r="CC129" s="80">
        <f t="shared" si="156"/>
        <v>2.3525239042546586E-6</v>
      </c>
      <c r="CD129" s="80">
        <f t="shared" si="158"/>
        <v>2.3525239093998408E-6</v>
      </c>
      <c r="CE129" s="96">
        <f t="shared" si="157"/>
        <v>2.3525231612244044E-6</v>
      </c>
    </row>
    <row r="130" spans="1:83" x14ac:dyDescent="0.25">
      <c r="A130" s="118">
        <v>90</v>
      </c>
      <c r="B130" s="1">
        <v>97.706819999999993</v>
      </c>
      <c r="C130" s="1">
        <v>156.5977</v>
      </c>
      <c r="D130" s="1">
        <v>144</v>
      </c>
      <c r="E130" s="1">
        <v>180.77367000000001</v>
      </c>
      <c r="F130" s="6">
        <v>94.763440000000003</v>
      </c>
      <c r="G130" s="211" t="s">
        <v>9</v>
      </c>
      <c r="H130" s="411">
        <v>234.74</v>
      </c>
      <c r="I130" s="325">
        <v>38.82</v>
      </c>
      <c r="J130" s="325">
        <v>82</v>
      </c>
      <c r="K130" s="412">
        <v>44.44</v>
      </c>
      <c r="L130" s="211" t="s">
        <v>32</v>
      </c>
      <c r="M130" s="56">
        <v>488.30500000000001</v>
      </c>
      <c r="N130" s="347">
        <v>16.020499999999998</v>
      </c>
      <c r="O130" s="1">
        <v>192.24600000000001</v>
      </c>
      <c r="P130" s="348">
        <v>4.8830499999999999</v>
      </c>
      <c r="Q130" s="326">
        <v>3.03418E-3</v>
      </c>
      <c r="R130" s="325">
        <v>4883.05</v>
      </c>
      <c r="S130" s="348">
        <v>5.34016</v>
      </c>
      <c r="T130" s="1">
        <v>4883047</v>
      </c>
      <c r="U130" s="59">
        <v>854536</v>
      </c>
      <c r="V130" s="325">
        <v>8545.36</v>
      </c>
      <c r="W130" s="347">
        <v>85.453599999999994</v>
      </c>
      <c r="X130" s="315">
        <v>0.85453599999999996</v>
      </c>
      <c r="Y130" s="325">
        <v>1324.53</v>
      </c>
      <c r="Z130" s="348">
        <v>9.19815</v>
      </c>
      <c r="AA130" s="326">
        <v>8.5453600000000001E-3</v>
      </c>
      <c r="AB130" s="49">
        <v>8.5453622705716198E-5</v>
      </c>
      <c r="AC130" s="578">
        <v>2.1116099999999999E-4</v>
      </c>
      <c r="AD130" s="143">
        <v>9</v>
      </c>
      <c r="AE130" s="34">
        <v>90</v>
      </c>
      <c r="AF130" s="2">
        <v>97.706819999999993</v>
      </c>
      <c r="AG130" s="2">
        <v>156.5977</v>
      </c>
      <c r="AH130" s="2">
        <v>144</v>
      </c>
      <c r="AI130" s="2">
        <v>180.77367000000001</v>
      </c>
      <c r="AJ130" s="42">
        <v>94.763440000000003</v>
      </c>
      <c r="AK130" s="19" t="s">
        <v>9</v>
      </c>
      <c r="AL130" s="34">
        <f>34.74319+200</f>
        <v>234.74319</v>
      </c>
      <c r="AM130" s="2">
        <v>38.808259999999997</v>
      </c>
      <c r="AN130" s="2">
        <v>82.004099999999994</v>
      </c>
      <c r="AO130" s="42">
        <v>44.444450000000003</v>
      </c>
      <c r="AP130" s="19" t="s">
        <v>32</v>
      </c>
      <c r="AQ130" s="476">
        <f>AE130+AF130+AG130+AH130</f>
        <v>488.30452000000002</v>
      </c>
      <c r="AR130" s="307">
        <v>16.020499999999998</v>
      </c>
      <c r="AS130" s="2">
        <v>192.24600000000001</v>
      </c>
      <c r="AT130" s="186">
        <v>4.8830499999999999</v>
      </c>
      <c r="AU130" s="309">
        <v>3.03419E-3</v>
      </c>
      <c r="AV130" s="2">
        <v>4883.05</v>
      </c>
      <c r="AW130" s="186">
        <v>5.3401699999999996</v>
      </c>
      <c r="AX130" s="2">
        <v>4883050</v>
      </c>
      <c r="AY130" s="2">
        <v>854537</v>
      </c>
      <c r="AZ130" s="2">
        <f>(SQRT(((AE130+AH130+AJ130)/2)*((AE130+AH130+AJ130)/2-AE130)*((AE130+AH130+AJ130)/2-AH130)*((AE130+AH130+AJ130)/2-AJ130)))+(SQRT(((AF130+AG130+AJ130)/2)*((AF130+AG130+AJ130)/2-AF130)*((AF130+AG130+AJ130)/2-AG130)*((AF130+AG130+AJ130)/2-AJ130)))</f>
        <v>8545.3664112353272</v>
      </c>
      <c r="BA130" s="307">
        <v>85.453699999999998</v>
      </c>
      <c r="BB130" s="76">
        <v>0.85453699999999999</v>
      </c>
      <c r="BC130" s="396">
        <v>1324.53</v>
      </c>
      <c r="BD130" s="186">
        <v>9.1981599999999997</v>
      </c>
      <c r="BE130" s="309">
        <v>8.54537E-3</v>
      </c>
      <c r="BF130" s="323">
        <v>8.5453700000000005E-5</v>
      </c>
      <c r="BG130" s="188">
        <v>2.1116099999999999E-4</v>
      </c>
      <c r="BH130" s="238" t="s">
        <v>9</v>
      </c>
      <c r="BI130" s="251">
        <f t="shared" si="99"/>
        <v>-1.3589318608089836E-3</v>
      </c>
      <c r="BJ130" s="73">
        <f t="shared" si="100"/>
        <v>3.0251291864162921E-2</v>
      </c>
      <c r="BK130" s="73">
        <f t="shared" si="141"/>
        <v>-4.9997500124920559E-3</v>
      </c>
      <c r="BL130" s="73">
        <f t="shared" si="142"/>
        <v>-1.0012498748450291E-2</v>
      </c>
      <c r="BM130" s="234">
        <f t="shared" si="143"/>
        <v>0</v>
      </c>
      <c r="BN130" s="238" t="s">
        <v>32</v>
      </c>
      <c r="BO130" s="214">
        <f t="shared" ref="BO130:BO135" si="176">(100*(M130-AQ130))/AQ130</f>
        <v>9.8299315349738783E-5</v>
      </c>
      <c r="BP130" s="82">
        <f t="shared" ref="BP130:BP135" si="177">(100*(N130-AR130))/AR130</f>
        <v>0</v>
      </c>
      <c r="BQ130" s="82">
        <f t="shared" ref="BQ130:BQ135" si="178">(100*(O130-AS130))/AS130</f>
        <v>0</v>
      </c>
      <c r="BR130" s="82">
        <f t="shared" ref="BR130:BR135" si="179">(100*(P130-AT130))/AT130</f>
        <v>0</v>
      </c>
      <c r="BS130" s="82">
        <f t="shared" ref="BS130:BS135" si="180">(100*(Q130-AU130))/AU130</f>
        <v>-3.2957725125785177E-4</v>
      </c>
      <c r="BT130" s="82">
        <f t="shared" ref="BT130:BT135" si="181">(100*(R130-AV130))/AV130</f>
        <v>0</v>
      </c>
      <c r="BU130" s="82">
        <f t="shared" ref="BU130:BU135" si="182">(100*(S130-AW130))/AW130</f>
        <v>-1.8725995613662905E-4</v>
      </c>
      <c r="BV130" s="82">
        <f t="shared" ref="BV130:BV135" si="183">(100*(T130-AX130))/AX130</f>
        <v>-6.1437011703750736E-5</v>
      </c>
      <c r="BW130" s="80">
        <f t="shared" ref="BW130:BW135" si="184">(100*(U130-AY130))/AY130</f>
        <v>-1.1702243437089325E-4</v>
      </c>
      <c r="BX130" s="80">
        <f t="shared" ref="BX130:BX135" si="185">(100*(V130-AZ130))/AZ130</f>
        <v>-7.5025868032599352E-5</v>
      </c>
      <c r="BY130" s="80">
        <f t="shared" ref="BY130:BY135" si="186">(100*(W130-BA130))/BA130</f>
        <v>-1.1702243437477799E-4</v>
      </c>
      <c r="BZ130" s="80">
        <f t="shared" ref="BZ130:BZ135" si="187">(100*(X130-BB130))/BB130</f>
        <v>-1.170224343742583E-4</v>
      </c>
      <c r="CA130" s="80">
        <f t="shared" ref="CA130:CA135" si="188">(100*(Y130-BC130))/BC130</f>
        <v>0</v>
      </c>
      <c r="CB130" s="80">
        <f t="shared" ref="CB130:CB135" si="189">(100*(Z130-BD130))/BD130</f>
        <v>-1.0871739564892787E-4</v>
      </c>
      <c r="CC130" s="80">
        <f t="shared" ref="CC130:CC135" si="190">(100*(AA130-BE130))/BE130</f>
        <v>-1.1702243437019828E-4</v>
      </c>
      <c r="CD130" s="80">
        <f t="shared" ref="CD130:CD135" si="191">(100*(AB130-BF130))/BF130</f>
        <v>-9.0451652540599943E-5</v>
      </c>
      <c r="CE130" s="96">
        <f t="shared" ref="CE130:CE135" si="192">(100*(AC130-BG130))/BG130</f>
        <v>0</v>
      </c>
    </row>
    <row r="131" spans="1:83" x14ac:dyDescent="0.25">
      <c r="A131" s="118">
        <v>110</v>
      </c>
      <c r="B131" s="1">
        <v>123.85859000000001</v>
      </c>
      <c r="C131" s="1">
        <v>236.79234</v>
      </c>
      <c r="D131" s="1">
        <v>220</v>
      </c>
      <c r="E131" s="1">
        <v>134.61519000000001</v>
      </c>
      <c r="F131" s="6">
        <v>122.55139</v>
      </c>
      <c r="G131" s="211" t="s">
        <v>5</v>
      </c>
      <c r="H131" s="411">
        <v>322.22000000000003</v>
      </c>
      <c r="I131" s="325">
        <v>17.75</v>
      </c>
      <c r="J131" s="325">
        <v>37.81</v>
      </c>
      <c r="K131" s="412">
        <v>22.22</v>
      </c>
      <c r="L131" s="211" t="s">
        <v>32</v>
      </c>
      <c r="M131" s="56">
        <v>21051</v>
      </c>
      <c r="N131" s="347">
        <v>690.65099999999995</v>
      </c>
      <c r="O131" s="1">
        <v>8287.81</v>
      </c>
      <c r="P131" s="348">
        <v>210.51</v>
      </c>
      <c r="Q131" s="326">
        <v>0.130805</v>
      </c>
      <c r="R131" s="325">
        <v>210510</v>
      </c>
      <c r="S131" s="348">
        <v>230.21700000000001</v>
      </c>
      <c r="T131" s="1">
        <v>210510367</v>
      </c>
      <c r="U131" s="59">
        <v>759386248</v>
      </c>
      <c r="V131" s="325">
        <v>7593862</v>
      </c>
      <c r="W131" s="347">
        <v>75938.600000000006</v>
      </c>
      <c r="X131" s="315">
        <v>759.38599999999997</v>
      </c>
      <c r="Y131" s="325">
        <v>1177051</v>
      </c>
      <c r="Z131" s="348">
        <v>8173.97</v>
      </c>
      <c r="AA131" s="326">
        <v>7.5938600000000003</v>
      </c>
      <c r="AB131" s="78">
        <v>7.5938599999999995E-2</v>
      </c>
      <c r="AC131" s="578">
        <v>0.18764800000000001</v>
      </c>
      <c r="AD131" s="143">
        <v>10</v>
      </c>
      <c r="AE131" s="34">
        <v>110</v>
      </c>
      <c r="AF131" s="2">
        <v>123.85859000000001</v>
      </c>
      <c r="AG131" s="2">
        <v>236.79234</v>
      </c>
      <c r="AH131" s="2">
        <v>220</v>
      </c>
      <c r="AI131" s="2">
        <v>134.61519000000001</v>
      </c>
      <c r="AJ131" s="42">
        <v>122.55139</v>
      </c>
      <c r="AK131" s="19" t="s">
        <v>5</v>
      </c>
      <c r="AL131" s="34">
        <f>122.22222+200</f>
        <v>322.22221999999999</v>
      </c>
      <c r="AM131" s="2">
        <v>17.748390000000001</v>
      </c>
      <c r="AN131" s="2">
        <v>37.807169999999999</v>
      </c>
      <c r="AO131" s="42">
        <v>22.22222</v>
      </c>
      <c r="AP131" s="19" t="s">
        <v>32</v>
      </c>
      <c r="AQ131" s="34">
        <v>21051</v>
      </c>
      <c r="AR131" s="186">
        <f>AE131+AF131+AG131+AH131</f>
        <v>690.65093000000002</v>
      </c>
      <c r="AS131" s="2">
        <v>8287.81</v>
      </c>
      <c r="AT131" s="396">
        <v>210.51</v>
      </c>
      <c r="AU131" s="76">
        <v>0.130805</v>
      </c>
      <c r="AV131" s="2">
        <v>210510</v>
      </c>
      <c r="AW131" s="186">
        <v>230.21700000000001</v>
      </c>
      <c r="AX131" s="2">
        <v>210510425</v>
      </c>
      <c r="AY131" s="2">
        <v>759383875</v>
      </c>
      <c r="AZ131" s="29">
        <v>7593839</v>
      </c>
      <c r="BA131" s="340">
        <v>75938.399999999994</v>
      </c>
      <c r="BB131" s="26">
        <v>759.38400000000001</v>
      </c>
      <c r="BC131" s="396">
        <v>1177047</v>
      </c>
      <c r="BD131" s="76">
        <f>(SQRT(((AE131+AH131+AJ131)/2)*((AE131+AH131+AJ131)/2-AE131)*((AE131+AH131+AJ131)/2-AH131)*((AE131+AH131+AJ131)/2-AJ131)))+(SQRT(((AF131+AG131+AJ131)/2)*((AF131+AG131+AJ131)/2-AF131)*((AF131+AG131+AJ131)/2-AG131)*((AF131+AG131+AJ131)/2-AJ131)))</f>
        <v>8173.94319394596</v>
      </c>
      <c r="BE131" s="186">
        <v>7.5938400000000001</v>
      </c>
      <c r="BF131" s="342">
        <v>7.5938400000000003E-2</v>
      </c>
      <c r="BG131" s="322">
        <v>0.18764800000000001</v>
      </c>
      <c r="BH131" s="238" t="s">
        <v>5</v>
      </c>
      <c r="BI131" s="251">
        <f t="shared" si="99"/>
        <v>-6.8896552198221899E-4</v>
      </c>
      <c r="BJ131" s="73">
        <f t="shared" si="100"/>
        <v>9.0712453354892756E-3</v>
      </c>
      <c r="BK131" s="73">
        <f t="shared" si="141"/>
        <v>7.4853526460800868E-3</v>
      </c>
      <c r="BL131" s="73">
        <f t="shared" si="142"/>
        <v>-9.9900009990055941E-3</v>
      </c>
      <c r="BM131" s="234">
        <f t="shared" si="143"/>
        <v>0</v>
      </c>
      <c r="BN131" s="238" t="s">
        <v>32</v>
      </c>
      <c r="BO131" s="214">
        <f t="shared" si="176"/>
        <v>0</v>
      </c>
      <c r="BP131" s="82">
        <f t="shared" si="177"/>
        <v>1.0135366057778829E-5</v>
      </c>
      <c r="BQ131" s="82">
        <f t="shared" si="178"/>
        <v>0</v>
      </c>
      <c r="BR131" s="82">
        <f t="shared" si="179"/>
        <v>0</v>
      </c>
      <c r="BS131" s="82">
        <f t="shared" si="180"/>
        <v>0</v>
      </c>
      <c r="BT131" s="82">
        <f t="shared" si="181"/>
        <v>0</v>
      </c>
      <c r="BU131" s="82">
        <f t="shared" si="182"/>
        <v>0</v>
      </c>
      <c r="BV131" s="82">
        <f t="shared" si="183"/>
        <v>-2.7552079665413246E-5</v>
      </c>
      <c r="BW131" s="80">
        <f t="shared" si="184"/>
        <v>3.1249017501194635E-4</v>
      </c>
      <c r="BX131" s="80">
        <f t="shared" si="185"/>
        <v>3.028771086666441E-4</v>
      </c>
      <c r="BY131" s="80">
        <f t="shared" si="186"/>
        <v>2.6337136417364803E-4</v>
      </c>
      <c r="BZ131" s="80">
        <f t="shared" si="187"/>
        <v>2.6337136415208987E-4</v>
      </c>
      <c r="CA131" s="80">
        <f t="shared" si="188"/>
        <v>3.3983349857737204E-4</v>
      </c>
      <c r="CB131" s="80">
        <f t="shared" si="189"/>
        <v>3.2794519614549633E-4</v>
      </c>
      <c r="CC131" s="80">
        <f t="shared" si="190"/>
        <v>2.6337136416004319E-4</v>
      </c>
      <c r="CD131" s="80">
        <f t="shared" si="191"/>
        <v>2.6337136414761612E-4</v>
      </c>
      <c r="CE131" s="96">
        <f t="shared" si="192"/>
        <v>0</v>
      </c>
    </row>
    <row r="132" spans="1:83" x14ac:dyDescent="0.25">
      <c r="A132" s="118">
        <v>106.92</v>
      </c>
      <c r="B132" s="1">
        <v>66.819999999999993</v>
      </c>
      <c r="C132" s="1">
        <v>72.547330000000002</v>
      </c>
      <c r="D132" s="1">
        <v>128.93347</v>
      </c>
      <c r="E132" s="1">
        <v>70.361879999999999</v>
      </c>
      <c r="F132" s="6">
        <v>125.67859</v>
      </c>
      <c r="G132" s="211" t="s">
        <v>8</v>
      </c>
      <c r="H132" s="411">
        <v>44.44</v>
      </c>
      <c r="I132" s="325">
        <v>256.96541000000002</v>
      </c>
      <c r="J132" s="325">
        <v>27.927510000000002</v>
      </c>
      <c r="K132" s="412">
        <v>70.662639999999996</v>
      </c>
      <c r="L132" s="211" t="s">
        <v>32</v>
      </c>
      <c r="M132" s="56">
        <v>953.07100000000003</v>
      </c>
      <c r="N132" s="347">
        <v>31.268699999999999</v>
      </c>
      <c r="O132" s="1">
        <v>375.22500000000002</v>
      </c>
      <c r="P132" s="348">
        <v>9.5307099999999991</v>
      </c>
      <c r="Q132" s="326">
        <v>5.9221100000000004E-3</v>
      </c>
      <c r="R132" s="325">
        <v>9530.7099999999991</v>
      </c>
      <c r="S132" s="348">
        <v>10.4229</v>
      </c>
      <c r="T132" s="1">
        <v>9530715</v>
      </c>
      <c r="U132" s="59">
        <v>2763163</v>
      </c>
      <c r="V132" s="325">
        <v>27631.599999999999</v>
      </c>
      <c r="W132" s="347">
        <v>276.31599999999997</v>
      </c>
      <c r="X132" s="315">
        <v>2.7631600000000001</v>
      </c>
      <c r="Y132" s="325">
        <v>4282.91</v>
      </c>
      <c r="Z132" s="348">
        <v>29.7424</v>
      </c>
      <c r="AA132" s="326">
        <v>2.7631599999999999E-2</v>
      </c>
      <c r="AB132" s="316">
        <v>2.7631599999999997E-4</v>
      </c>
      <c r="AC132" s="578">
        <v>6.8279199999999999E-4</v>
      </c>
      <c r="AD132" s="143">
        <v>11</v>
      </c>
      <c r="AE132" s="34">
        <v>106.92</v>
      </c>
      <c r="AF132" s="2">
        <v>66.819999999999993</v>
      </c>
      <c r="AG132" s="2">
        <v>72.547330000000002</v>
      </c>
      <c r="AH132" s="2">
        <v>128.93347</v>
      </c>
      <c r="AI132" s="2">
        <v>70.361879999999999</v>
      </c>
      <c r="AJ132" s="42">
        <v>125.67859</v>
      </c>
      <c r="AK132" s="19" t="s">
        <v>8</v>
      </c>
      <c r="AL132" s="34">
        <v>44.444450000000003</v>
      </c>
      <c r="AM132" s="2">
        <v>256.96541000000002</v>
      </c>
      <c r="AN132" s="2">
        <v>27.927510000000002</v>
      </c>
      <c r="AO132" s="42">
        <v>70.662639999999996</v>
      </c>
      <c r="AP132" s="19" t="s">
        <v>32</v>
      </c>
      <c r="AQ132" s="34">
        <v>953.06100000000004</v>
      </c>
      <c r="AR132" s="186">
        <v>31.2684</v>
      </c>
      <c r="AS132" s="2">
        <f>AE132+AF132+AG132+AH132</f>
        <v>375.2208</v>
      </c>
      <c r="AT132" s="186">
        <v>9.5306099999999994</v>
      </c>
      <c r="AU132" s="309">
        <v>5.9220499999999999E-3</v>
      </c>
      <c r="AV132" s="2">
        <v>9530.61</v>
      </c>
      <c r="AW132" s="186">
        <v>10.422800000000001</v>
      </c>
      <c r="AX132" s="2">
        <v>9530613</v>
      </c>
      <c r="AY132" s="2">
        <v>2762975</v>
      </c>
      <c r="AZ132" s="340">
        <v>27629.8</v>
      </c>
      <c r="BA132" s="26">
        <v>276.298</v>
      </c>
      <c r="BB132" s="186">
        <v>2.7629800000000002</v>
      </c>
      <c r="BC132" s="23">
        <f>(SQRT(((AE132+AF132+AI132)/2)*((AE132+AF132+AI132)/2-AE132)*((AE132+AF132+AI132)/2-AF132)*((AE132+AF132+AI132)/2-AI132)))+(SQRT(((AG132+AH132+AI132)/2)*((AG132+AH132+AI132)/2-AG132)*((AG132+AH132+AI132)/2-AH132)*((AG132+AH132+AI132)/2-AI132)))</f>
        <v>4282.6215107348626</v>
      </c>
      <c r="BD132" s="307">
        <v>29.740400000000001</v>
      </c>
      <c r="BE132" s="342">
        <v>2.7629799999999999E-2</v>
      </c>
      <c r="BF132" s="302">
        <v>2.7629800000000002E-4</v>
      </c>
      <c r="BG132" s="188">
        <v>6.8274600000000003E-4</v>
      </c>
      <c r="BH132" s="238" t="s">
        <v>8</v>
      </c>
      <c r="BI132" s="251">
        <f t="shared" si="99"/>
        <v>-1.0012498748450291E-2</v>
      </c>
      <c r="BJ132" s="73">
        <f t="shared" si="100"/>
        <v>0</v>
      </c>
      <c r="BK132" s="73">
        <f t="shared" si="141"/>
        <v>0</v>
      </c>
      <c r="BL132" s="73">
        <f t="shared" si="142"/>
        <v>0</v>
      </c>
      <c r="BM132" s="234">
        <f t="shared" si="143"/>
        <v>0</v>
      </c>
      <c r="BN132" s="238" t="s">
        <v>32</v>
      </c>
      <c r="BO132" s="214">
        <f t="shared" si="176"/>
        <v>1.0492507824778168E-3</v>
      </c>
      <c r="BP132" s="82">
        <f t="shared" si="177"/>
        <v>9.5943508461993846E-4</v>
      </c>
      <c r="BQ132" s="82">
        <f t="shared" si="178"/>
        <v>1.1193409320660631E-3</v>
      </c>
      <c r="BR132" s="82">
        <f t="shared" si="179"/>
        <v>1.0492507824763258E-3</v>
      </c>
      <c r="BS132" s="82">
        <f t="shared" si="180"/>
        <v>1.0131626717185946E-3</v>
      </c>
      <c r="BT132" s="82">
        <f t="shared" si="181"/>
        <v>1.0492507824635025E-3</v>
      </c>
      <c r="BU132" s="82">
        <f t="shared" si="182"/>
        <v>9.5943508461993835E-4</v>
      </c>
      <c r="BV132" s="82">
        <f t="shared" si="183"/>
        <v>1.0702354612447279E-3</v>
      </c>
      <c r="BW132" s="80">
        <f t="shared" si="184"/>
        <v>6.8042599010124955E-3</v>
      </c>
      <c r="BX132" s="80">
        <f t="shared" si="185"/>
        <v>6.5147051372042956E-3</v>
      </c>
      <c r="BY132" s="80">
        <f t="shared" si="186"/>
        <v>6.5147051371968892E-3</v>
      </c>
      <c r="BZ132" s="80">
        <f t="shared" si="187"/>
        <v>6.5147051372013891E-3</v>
      </c>
      <c r="CA132" s="80">
        <f t="shared" si="188"/>
        <v>6.736277404252429E-3</v>
      </c>
      <c r="CB132" s="80">
        <f t="shared" si="189"/>
        <v>6.7248591141978306E-3</v>
      </c>
      <c r="CC132" s="80">
        <f t="shared" si="190"/>
        <v>6.5147051372059098E-3</v>
      </c>
      <c r="CD132" s="80">
        <f t="shared" si="191"/>
        <v>6.5147051371917831E-3</v>
      </c>
      <c r="CE132" s="96">
        <f t="shared" si="192"/>
        <v>6.7374982790035145E-3</v>
      </c>
    </row>
    <row r="133" spans="1:83" x14ac:dyDescent="0.25">
      <c r="A133" s="118">
        <v>111.73242</v>
      </c>
      <c r="B133" s="1">
        <v>44.748440000000002</v>
      </c>
      <c r="C133" s="1">
        <v>76.088499999999996</v>
      </c>
      <c r="D133" s="1">
        <v>153.70000999999999</v>
      </c>
      <c r="E133" s="1">
        <v>80.012640000000005</v>
      </c>
      <c r="F133" s="6">
        <v>77.944609999999997</v>
      </c>
      <c r="G133" s="211" t="s">
        <v>4</v>
      </c>
      <c r="H133" s="411">
        <v>40.06</v>
      </c>
      <c r="I133" s="325">
        <v>316.22219000000001</v>
      </c>
      <c r="J133" s="325">
        <v>11.46796</v>
      </c>
      <c r="K133" s="412">
        <v>32.251640000000002</v>
      </c>
      <c r="L133" s="211" t="s">
        <v>32</v>
      </c>
      <c r="M133" s="56">
        <v>38626.9</v>
      </c>
      <c r="N133" s="347">
        <v>1267.29</v>
      </c>
      <c r="O133" s="1">
        <v>15207.5</v>
      </c>
      <c r="P133" s="348">
        <v>386.26900000000001</v>
      </c>
      <c r="Q133" s="326">
        <v>0.24001700000000001</v>
      </c>
      <c r="R133" s="325">
        <v>386269</v>
      </c>
      <c r="S133" s="348">
        <v>422.42899999999997</v>
      </c>
      <c r="T133" s="1">
        <v>386269248</v>
      </c>
      <c r="U133" s="59">
        <v>2518910529</v>
      </c>
      <c r="V133" s="325">
        <v>25189105</v>
      </c>
      <c r="W133" s="347">
        <v>251891</v>
      </c>
      <c r="X133" s="315">
        <v>2518.91</v>
      </c>
      <c r="Y133" s="325">
        <v>3904319</v>
      </c>
      <c r="Z133" s="348">
        <v>27113.3</v>
      </c>
      <c r="AA133" s="326">
        <v>25.1891</v>
      </c>
      <c r="AB133" s="315">
        <v>0.25189099999999998</v>
      </c>
      <c r="AC133" s="578">
        <v>0.62243599999999999</v>
      </c>
      <c r="AD133" s="143">
        <v>12</v>
      </c>
      <c r="AE133" s="34">
        <v>111.73242</v>
      </c>
      <c r="AF133" s="2">
        <v>44.748440000000002</v>
      </c>
      <c r="AG133" s="2">
        <v>76.088499999999996</v>
      </c>
      <c r="AH133" s="2">
        <v>153.70000999999999</v>
      </c>
      <c r="AI133" s="2">
        <v>80.012640000000005</v>
      </c>
      <c r="AJ133" s="42">
        <v>77.944609999999997</v>
      </c>
      <c r="AK133" s="19" t="s">
        <v>4</v>
      </c>
      <c r="AL133" s="34">
        <v>40.058210000000003</v>
      </c>
      <c r="AM133" s="396">
        <v>316.22219000000001</v>
      </c>
      <c r="AN133" s="396">
        <v>11.46796</v>
      </c>
      <c r="AO133" s="605">
        <v>32.251640000000002</v>
      </c>
      <c r="AP133" s="19" t="s">
        <v>32</v>
      </c>
      <c r="AQ133" s="34">
        <v>38626.9</v>
      </c>
      <c r="AR133" s="186">
        <v>1267.29</v>
      </c>
      <c r="AS133" s="2">
        <v>15207.4</v>
      </c>
      <c r="AT133" s="2">
        <f>AE133+AF133+AG133+AH133</f>
        <v>386.26936999999998</v>
      </c>
      <c r="AU133" s="76">
        <v>0.24001600000000001</v>
      </c>
      <c r="AV133" s="2">
        <v>386269</v>
      </c>
      <c r="AW133" s="186">
        <v>422.42899999999997</v>
      </c>
      <c r="AX133" s="2">
        <v>386269000</v>
      </c>
      <c r="AY133" s="2">
        <v>2518940000</v>
      </c>
      <c r="AZ133" s="29">
        <v>25189400</v>
      </c>
      <c r="BA133" s="29">
        <v>251894</v>
      </c>
      <c r="BB133" s="76">
        <f>(SQRT(((AE133+AF133+AI133)/2)*((AE133+AF133+AI133)/2-AE133)*((AE133+AF133+AI133)/2-AF133)*((AE133+AF133+AI133)/2-AI133)))+(SQRT(((AG133+AH133+AI133)/2)*((AG133+AH133+AI133)/2-AG133)*((AG133+AH133+AI133)/2-AH133)*((AG133+AH133+AI133)/2-AI133)))</f>
        <v>2518.937450954249</v>
      </c>
      <c r="BC133" s="29">
        <v>3904365</v>
      </c>
      <c r="BD133" s="340">
        <v>27113.599999999999</v>
      </c>
      <c r="BE133" s="186">
        <v>25.189399999999999</v>
      </c>
      <c r="BF133" s="342">
        <v>0.25189400000000001</v>
      </c>
      <c r="BG133" s="322">
        <v>0.622444</v>
      </c>
      <c r="BH133" s="238" t="s">
        <v>4</v>
      </c>
      <c r="BI133" s="251">
        <f t="shared" si="99"/>
        <v>4.4684972194207785E-3</v>
      </c>
      <c r="BJ133" s="73">
        <f t="shared" si="100"/>
        <v>0</v>
      </c>
      <c r="BK133" s="73">
        <f t="shared" si="141"/>
        <v>0</v>
      </c>
      <c r="BL133" s="73">
        <f t="shared" si="142"/>
        <v>0</v>
      </c>
      <c r="BM133" s="234">
        <f t="shared" si="143"/>
        <v>0</v>
      </c>
      <c r="BN133" s="238" t="s">
        <v>32</v>
      </c>
      <c r="BO133" s="214">
        <f t="shared" si="176"/>
        <v>0</v>
      </c>
      <c r="BP133" s="82">
        <f t="shared" si="177"/>
        <v>0</v>
      </c>
      <c r="BQ133" s="82">
        <f t="shared" si="178"/>
        <v>6.5757460184097079E-4</v>
      </c>
      <c r="BR133" s="82">
        <f t="shared" si="179"/>
        <v>-9.5788076588970678E-5</v>
      </c>
      <c r="BS133" s="82">
        <f t="shared" si="180"/>
        <v>4.1663889074103393E-4</v>
      </c>
      <c r="BT133" s="82">
        <f t="shared" si="181"/>
        <v>0</v>
      </c>
      <c r="BU133" s="82">
        <f t="shared" si="182"/>
        <v>0</v>
      </c>
      <c r="BV133" s="82">
        <f t="shared" si="183"/>
        <v>6.4203961487978585E-5</v>
      </c>
      <c r="BW133" s="80">
        <f t="shared" si="184"/>
        <v>-1.1699762598553359E-3</v>
      </c>
      <c r="BX133" s="80">
        <f t="shared" si="185"/>
        <v>-1.1711275377738256E-3</v>
      </c>
      <c r="BY133" s="80">
        <f t="shared" si="186"/>
        <v>-1.1909771570581275E-3</v>
      </c>
      <c r="BZ133" s="80">
        <f t="shared" si="187"/>
        <v>-1.0897830844812044E-3</v>
      </c>
      <c r="CA133" s="80">
        <f t="shared" si="188"/>
        <v>-1.1781685370092193E-3</v>
      </c>
      <c r="CB133" s="80">
        <f t="shared" si="189"/>
        <v>-1.1064558007762614E-3</v>
      </c>
      <c r="CC133" s="80">
        <f t="shared" si="190"/>
        <v>-1.190977157055352E-3</v>
      </c>
      <c r="CD133" s="80">
        <f t="shared" si="191"/>
        <v>-1.1909771570703374E-3</v>
      </c>
      <c r="CE133" s="96">
        <f t="shared" si="192"/>
        <v>-1.2852561836900992E-3</v>
      </c>
    </row>
    <row r="134" spans="1:83" x14ac:dyDescent="0.25">
      <c r="A134" s="118">
        <v>301.25448</v>
      </c>
      <c r="B134" s="1">
        <v>277.02</v>
      </c>
      <c r="C134" s="1">
        <v>173.14</v>
      </c>
      <c r="D134" s="1">
        <v>187.96367000000001</v>
      </c>
      <c r="E134" s="1">
        <v>347.76346999999998</v>
      </c>
      <c r="F134" s="6">
        <v>182.30123</v>
      </c>
      <c r="G134" s="211" t="s">
        <v>10</v>
      </c>
      <c r="H134" s="411">
        <v>82</v>
      </c>
      <c r="I134" s="325">
        <v>44.45</v>
      </c>
      <c r="J134" s="325">
        <v>234.74</v>
      </c>
      <c r="K134" s="412">
        <v>38.81</v>
      </c>
      <c r="L134" s="211" t="s">
        <v>32</v>
      </c>
      <c r="M134" s="56">
        <v>151177801</v>
      </c>
      <c r="N134" s="347">
        <v>4959902</v>
      </c>
      <c r="O134" s="1">
        <v>59518819</v>
      </c>
      <c r="P134" s="348">
        <v>1511778</v>
      </c>
      <c r="Q134" s="326">
        <v>939.375</v>
      </c>
      <c r="R134" s="325">
        <v>1511778012</v>
      </c>
      <c r="S134" s="59">
        <v>1653301</v>
      </c>
      <c r="T134" s="1">
        <v>1511778011713</v>
      </c>
      <c r="U134" s="59">
        <v>8.1907930299628304E+16</v>
      </c>
      <c r="V134" s="59">
        <v>819079302996283</v>
      </c>
      <c r="W134" s="59">
        <v>8190793029963</v>
      </c>
      <c r="X134" s="59">
        <v>81907930300</v>
      </c>
      <c r="Y134" s="59">
        <v>126957545879516</v>
      </c>
      <c r="Z134" s="59">
        <v>881649624163</v>
      </c>
      <c r="AA134" s="59">
        <v>819079303</v>
      </c>
      <c r="AB134" s="59">
        <v>8190793</v>
      </c>
      <c r="AC134" s="224">
        <v>20239890</v>
      </c>
      <c r="AD134" s="143">
        <v>13</v>
      </c>
      <c r="AE134" s="34">
        <v>301.25448</v>
      </c>
      <c r="AF134" s="2">
        <v>277.02</v>
      </c>
      <c r="AG134" s="2">
        <v>173.14</v>
      </c>
      <c r="AH134" s="2">
        <v>187.96367000000001</v>
      </c>
      <c r="AI134" s="2">
        <v>347.76346999999998</v>
      </c>
      <c r="AJ134" s="42">
        <v>182.30123</v>
      </c>
      <c r="AK134" s="19" t="s">
        <v>10</v>
      </c>
      <c r="AL134" s="34">
        <v>82.004099999999994</v>
      </c>
      <c r="AM134" s="2">
        <v>44.444450000000003</v>
      </c>
      <c r="AN134" s="2">
        <f>34.74319+200</f>
        <v>234.74319</v>
      </c>
      <c r="AO134" s="42">
        <v>38.808259999999997</v>
      </c>
      <c r="AP134" s="19" t="s">
        <v>32</v>
      </c>
      <c r="AQ134" s="34">
        <v>151178235</v>
      </c>
      <c r="AR134" s="186">
        <v>4959916</v>
      </c>
      <c r="AS134" s="2">
        <v>59518990</v>
      </c>
      <c r="AT134" s="29">
        <v>1511782</v>
      </c>
      <c r="AU134" s="2">
        <f>AE134+AF134+AG134+AH134</f>
        <v>939.37815000000001</v>
      </c>
      <c r="AV134" s="2">
        <v>1511782348</v>
      </c>
      <c r="AW134" s="29">
        <v>1653305</v>
      </c>
      <c r="AX134" s="2">
        <v>1511782348032</v>
      </c>
      <c r="AY134" s="341">
        <v>8.1908757731E+16</v>
      </c>
      <c r="AZ134" s="29">
        <v>819087577310000</v>
      </c>
      <c r="BA134" s="29">
        <v>8190875773100</v>
      </c>
      <c r="BB134" s="307">
        <f>((SQRT(((AE134+AH134+AJ134)/2)*((AE134+AH134+AJ134)/2-AE134)*((AE134+AH134+AJ134)/2-AH134)*((AE134+AH134+AJ134)/2-AJ134)))+(SQRT(((AF134+AG134+AJ134)/2)*((AF134+AG134+AJ134)/2-AF134)*((AF134+AG134+AJ134)/2-AG134)*((AF134+AG134+AJ134)/2-AJ134))))*1609.344*1609.344</f>
        <v>81908757731.229095</v>
      </c>
      <c r="BC134" s="29">
        <v>126958828400707</v>
      </c>
      <c r="BD134" s="29">
        <v>881658530560</v>
      </c>
      <c r="BE134" s="29">
        <v>819087577</v>
      </c>
      <c r="BF134" s="29">
        <v>8190876</v>
      </c>
      <c r="BG134" s="593">
        <v>20240095</v>
      </c>
      <c r="BH134" s="238" t="s">
        <v>10</v>
      </c>
      <c r="BI134" s="251">
        <f t="shared" si="99"/>
        <v>-4.9997500124920559E-3</v>
      </c>
      <c r="BJ134" s="73">
        <f t="shared" si="100"/>
        <v>1.2487498439061568E-2</v>
      </c>
      <c r="BK134" s="73">
        <f t="shared" si="141"/>
        <v>-1.3589318608089836E-3</v>
      </c>
      <c r="BL134" s="73">
        <f t="shared" si="142"/>
        <v>4.4835815880567226E-3</v>
      </c>
      <c r="BM134" s="234">
        <f t="shared" si="143"/>
        <v>0</v>
      </c>
      <c r="BN134" s="238" t="s">
        <v>32</v>
      </c>
      <c r="BO134" s="214">
        <f t="shared" si="176"/>
        <v>-2.870783615114967E-4</v>
      </c>
      <c r="BP134" s="82">
        <f t="shared" si="177"/>
        <v>-2.8226284477398408E-4</v>
      </c>
      <c r="BQ134" s="82">
        <f t="shared" si="178"/>
        <v>-2.8730326237054763E-4</v>
      </c>
      <c r="BR134" s="82">
        <f t="shared" si="179"/>
        <v>-2.6458841287963479E-4</v>
      </c>
      <c r="BS134" s="82">
        <f t="shared" si="180"/>
        <v>-3.353282168640066E-4</v>
      </c>
      <c r="BT134" s="82">
        <f t="shared" si="181"/>
        <v>-2.8681377353931108E-4</v>
      </c>
      <c r="BU134" s="82">
        <f t="shared" si="182"/>
        <v>-2.4193963001382081E-4</v>
      </c>
      <c r="BV134" s="82">
        <f t="shared" si="183"/>
        <v>-2.8683487445430955E-4</v>
      </c>
      <c r="BW134" s="80">
        <f t="shared" si="184"/>
        <v>-1.0101866938495175E-3</v>
      </c>
      <c r="BX134" s="80">
        <f t="shared" si="185"/>
        <v>-1.010186693854401E-3</v>
      </c>
      <c r="BY134" s="80">
        <f t="shared" si="186"/>
        <v>-1.010186691778921E-3</v>
      </c>
      <c r="BZ134" s="80">
        <f t="shared" si="187"/>
        <v>-1.0101865197498739E-3</v>
      </c>
      <c r="CA134" s="80">
        <f t="shared" si="188"/>
        <v>-1.0101866937146831E-3</v>
      </c>
      <c r="CB134" s="80">
        <f t="shared" si="189"/>
        <v>-1.010186675599107E-3</v>
      </c>
      <c r="CC134" s="80">
        <f t="shared" si="190"/>
        <v>-1.010148393448287E-3</v>
      </c>
      <c r="CD134" s="80">
        <f t="shared" si="191"/>
        <v>-1.0133226287395878E-3</v>
      </c>
      <c r="CE134" s="96">
        <f t="shared" si="192"/>
        <v>-1.0128410958545402E-3</v>
      </c>
    </row>
    <row r="135" spans="1:83" ht="15.75" thickBot="1" x14ac:dyDescent="0.3">
      <c r="A135" s="121">
        <v>105.6</v>
      </c>
      <c r="B135" s="55">
        <v>113.66043000000001</v>
      </c>
      <c r="C135" s="55">
        <v>59.452089999999998</v>
      </c>
      <c r="D135" s="55">
        <v>52.799990000000001</v>
      </c>
      <c r="E135" s="55">
        <v>64.615260000000006</v>
      </c>
      <c r="F135" s="113">
        <v>58.8247</v>
      </c>
      <c r="G135" s="212" t="s">
        <v>7</v>
      </c>
      <c r="H135" s="571">
        <v>37.81</v>
      </c>
      <c r="I135" s="373">
        <v>17.75</v>
      </c>
      <c r="J135" s="373">
        <v>322.22000000000003</v>
      </c>
      <c r="K135" s="413">
        <v>22.22</v>
      </c>
      <c r="L135" s="212" t="s">
        <v>32</v>
      </c>
      <c r="M135" s="61">
        <v>30313.5</v>
      </c>
      <c r="N135" s="408">
        <v>994.53800000000001</v>
      </c>
      <c r="O135" s="55">
        <v>11934.5</v>
      </c>
      <c r="P135" s="366">
        <v>303.13499999999999</v>
      </c>
      <c r="Q135" s="335">
        <v>0.188359</v>
      </c>
      <c r="R135" s="373">
        <v>303135</v>
      </c>
      <c r="S135" s="366">
        <v>331.51299999999998</v>
      </c>
      <c r="T135" s="55">
        <v>303135149</v>
      </c>
      <c r="U135" s="538">
        <v>1574662711</v>
      </c>
      <c r="V135" s="373">
        <v>15746627</v>
      </c>
      <c r="W135" s="408">
        <v>157466</v>
      </c>
      <c r="X135" s="351">
        <v>1574.66</v>
      </c>
      <c r="Y135" s="373">
        <v>2440732</v>
      </c>
      <c r="Z135" s="366">
        <v>16949.5</v>
      </c>
      <c r="AA135" s="335">
        <v>15.746600000000001</v>
      </c>
      <c r="AB135" s="351">
        <v>0.15746599999999999</v>
      </c>
      <c r="AC135" s="584">
        <v>0.38910800000000001</v>
      </c>
      <c r="AD135" s="144">
        <v>14</v>
      </c>
      <c r="AE135" s="281">
        <v>105.6</v>
      </c>
      <c r="AF135" s="9">
        <v>113.66043000000001</v>
      </c>
      <c r="AG135" s="9">
        <v>59.452089999999998</v>
      </c>
      <c r="AH135" s="9">
        <v>52.799990000000001</v>
      </c>
      <c r="AI135" s="9">
        <v>64.615260000000006</v>
      </c>
      <c r="AJ135" s="399">
        <v>58.8247</v>
      </c>
      <c r="AK135" s="20" t="s">
        <v>7</v>
      </c>
      <c r="AL135" s="281">
        <v>37.807169999999999</v>
      </c>
      <c r="AM135" s="9">
        <v>17.748390000000001</v>
      </c>
      <c r="AN135" s="9">
        <f>122.22221+200</f>
        <v>322.22221000000002</v>
      </c>
      <c r="AO135" s="399">
        <v>22.22222</v>
      </c>
      <c r="AP135" s="20" t="s">
        <v>32</v>
      </c>
      <c r="AQ135" s="281">
        <v>30313.5</v>
      </c>
      <c r="AR135" s="303">
        <v>994.53899999999999</v>
      </c>
      <c r="AS135" s="9">
        <v>11934.5</v>
      </c>
      <c r="AT135" s="603">
        <v>303.13499999999999</v>
      </c>
      <c r="AU135" s="303">
        <v>0.18836</v>
      </c>
      <c r="AV135" s="9">
        <v>303135</v>
      </c>
      <c r="AW135" s="9">
        <f>AE135+AF135+AG135+AH135</f>
        <v>331.51250999999996</v>
      </c>
      <c r="AX135" s="9">
        <v>303135487</v>
      </c>
      <c r="AY135" s="9">
        <v>1574650000</v>
      </c>
      <c r="AZ135" s="536">
        <v>15746500</v>
      </c>
      <c r="BA135" s="536">
        <v>157465</v>
      </c>
      <c r="BB135" s="405">
        <f>((SQRT(((AE135+AH135+AJ135)/2)*((AE135+AH135+AJ135)/2-AE135)*((AE135+AH135+AJ135)/2-AH135)*((AE135+AH135+AJ135)/2-AJ135)))+(SQRT(((AF135+AG135+AJ135)/2)*((AF135+AG135+AJ135)/2-AF135)*((AF135+AG135+AJ135)/2-AG135)*((AF135+AG135+AJ135)/2-AJ135))))*0.9144*0.9144</f>
        <v>1574.6524348958758</v>
      </c>
      <c r="BC135" s="536">
        <v>2440712</v>
      </c>
      <c r="BD135" s="535">
        <v>16949.400000000001</v>
      </c>
      <c r="BE135" s="303">
        <v>15.746499999999999</v>
      </c>
      <c r="BF135" s="478">
        <v>0.15746499999999999</v>
      </c>
      <c r="BG135" s="595">
        <v>0.38910400000000001</v>
      </c>
      <c r="BH135" s="239" t="s">
        <v>7</v>
      </c>
      <c r="BI135" s="252">
        <f t="shared" si="99"/>
        <v>7.4853526460800868E-3</v>
      </c>
      <c r="BJ135" s="97">
        <f t="shared" si="100"/>
        <v>9.0712453354892756E-3</v>
      </c>
      <c r="BK135" s="97">
        <f t="shared" si="141"/>
        <v>-6.8586209497816474E-4</v>
      </c>
      <c r="BL135" s="97">
        <f t="shared" si="142"/>
        <v>-9.9900009990055941E-3</v>
      </c>
      <c r="BM135" s="235">
        <f t="shared" si="143"/>
        <v>0</v>
      </c>
      <c r="BN135" s="239" t="s">
        <v>32</v>
      </c>
      <c r="BO135" s="215">
        <f t="shared" si="176"/>
        <v>0</v>
      </c>
      <c r="BP135" s="98">
        <f t="shared" si="177"/>
        <v>-1.0054909862522768E-4</v>
      </c>
      <c r="BQ135" s="98">
        <f t="shared" si="178"/>
        <v>0</v>
      </c>
      <c r="BR135" s="98">
        <f t="shared" si="179"/>
        <v>0</v>
      </c>
      <c r="BS135" s="98">
        <f t="shared" si="180"/>
        <v>-5.3089827989010407E-4</v>
      </c>
      <c r="BT135" s="98">
        <f t="shared" si="181"/>
        <v>0</v>
      </c>
      <c r="BU135" s="98">
        <f t="shared" si="182"/>
        <v>1.4780739345656192E-4</v>
      </c>
      <c r="BV135" s="98">
        <f t="shared" si="183"/>
        <v>-1.1150129710811456E-4</v>
      </c>
      <c r="BW135" s="100">
        <f t="shared" si="184"/>
        <v>8.0722700282602488E-4</v>
      </c>
      <c r="BX135" s="100">
        <f t="shared" si="185"/>
        <v>8.0652843489029309E-4</v>
      </c>
      <c r="BY135" s="100">
        <f t="shared" si="186"/>
        <v>6.3506175975613628E-4</v>
      </c>
      <c r="BZ135" s="100">
        <f t="shared" si="187"/>
        <v>4.8043009089790564E-4</v>
      </c>
      <c r="CA135" s="100">
        <f t="shared" si="188"/>
        <v>8.1943301790625032E-4</v>
      </c>
      <c r="CB135" s="100">
        <f t="shared" si="189"/>
        <v>5.8999138611717696E-4</v>
      </c>
      <c r="CC135" s="100">
        <f t="shared" si="190"/>
        <v>6.3506175976593725E-4</v>
      </c>
      <c r="CD135" s="100">
        <f t="shared" si="191"/>
        <v>6.3506175975677141E-4</v>
      </c>
      <c r="CE135" s="102">
        <f t="shared" si="192"/>
        <v>1.0280027961686337E-3</v>
      </c>
    </row>
    <row r="137" spans="1:83" x14ac:dyDescent="0.25">
      <c r="A137" s="145" t="s">
        <v>2</v>
      </c>
      <c r="B137" t="s">
        <v>3</v>
      </c>
    </row>
    <row r="138" spans="1:83" x14ac:dyDescent="0.25">
      <c r="A138" s="145" t="s">
        <v>44</v>
      </c>
      <c r="B138" s="507">
        <v>40826</v>
      </c>
    </row>
    <row r="140" spans="1:83" ht="15.75" thickBot="1" x14ac:dyDescent="0.3"/>
    <row r="141" spans="1:83" ht="21.75" thickBot="1" x14ac:dyDescent="0.3">
      <c r="A141" s="894" t="s">
        <v>139</v>
      </c>
      <c r="B141" s="895"/>
      <c r="C141" s="895"/>
      <c r="D141" s="895"/>
      <c r="E141" s="895"/>
      <c r="F141" s="895"/>
      <c r="G141" s="895"/>
      <c r="H141" s="895"/>
      <c r="I141" s="895"/>
      <c r="J141" s="895"/>
      <c r="K141" s="895"/>
      <c r="L141" s="895"/>
      <c r="M141" s="895"/>
      <c r="N141" s="895"/>
      <c r="O141" s="895"/>
      <c r="P141" s="895"/>
      <c r="Q141" s="895"/>
      <c r="R141" s="895"/>
      <c r="S141" s="895"/>
      <c r="T141" s="895"/>
      <c r="U141" s="895"/>
      <c r="V141" s="895"/>
      <c r="W141" s="895"/>
      <c r="X141" s="895"/>
      <c r="Y141" s="896"/>
    </row>
    <row r="142" spans="1:83" x14ac:dyDescent="0.25">
      <c r="A142" t="s">
        <v>133</v>
      </c>
      <c r="I142" t="s">
        <v>118</v>
      </c>
    </row>
    <row r="144" spans="1:83" x14ac:dyDescent="0.25">
      <c r="A144" s="884" t="s">
        <v>119</v>
      </c>
    </row>
    <row r="170" spans="1:1" x14ac:dyDescent="0.25">
      <c r="A170" s="884" t="s">
        <v>120</v>
      </c>
    </row>
    <row r="195" spans="1:1" x14ac:dyDescent="0.25">
      <c r="A195" s="884" t="s">
        <v>121</v>
      </c>
    </row>
    <row r="221" spans="1:1" x14ac:dyDescent="0.25">
      <c r="A221" s="884" t="s">
        <v>122</v>
      </c>
    </row>
    <row r="245" spans="1:1" x14ac:dyDescent="0.25">
      <c r="A245" s="884" t="s">
        <v>123</v>
      </c>
    </row>
    <row r="274" spans="1:1" x14ac:dyDescent="0.25">
      <c r="A274" s="884" t="s">
        <v>124</v>
      </c>
    </row>
    <row r="300" spans="1:1" x14ac:dyDescent="0.25">
      <c r="A300" s="884" t="s">
        <v>125</v>
      </c>
    </row>
    <row r="329" spans="1:1" x14ac:dyDescent="0.25">
      <c r="A329" s="884" t="s">
        <v>126</v>
      </c>
    </row>
    <row r="354" spans="1:1" x14ac:dyDescent="0.25">
      <c r="A354" s="884" t="s">
        <v>127</v>
      </c>
    </row>
    <row r="386" spans="1:1" x14ac:dyDescent="0.25">
      <c r="A386" s="884" t="s">
        <v>128</v>
      </c>
    </row>
    <row r="411" spans="1:1" x14ac:dyDescent="0.25">
      <c r="A411" s="884" t="s">
        <v>140</v>
      </c>
    </row>
    <row r="436" spans="1:1" x14ac:dyDescent="0.25">
      <c r="A436" s="884" t="s">
        <v>141</v>
      </c>
    </row>
    <row r="461" spans="1:1" x14ac:dyDescent="0.25">
      <c r="A461" s="884" t="s">
        <v>142</v>
      </c>
    </row>
    <row r="486" spans="1:1" x14ac:dyDescent="0.25">
      <c r="A486" s="884" t="s">
        <v>143</v>
      </c>
    </row>
    <row r="508" spans="1:2" x14ac:dyDescent="0.25">
      <c r="A508" s="145" t="s">
        <v>2</v>
      </c>
      <c r="B508" t="s">
        <v>135</v>
      </c>
    </row>
    <row r="509" spans="1:2" x14ac:dyDescent="0.25">
      <c r="A509" s="145" t="s">
        <v>44</v>
      </c>
      <c r="B509" s="507">
        <v>41872</v>
      </c>
    </row>
  </sheetData>
  <mergeCells count="86">
    <mergeCell ref="BO25:BV26"/>
    <mergeCell ref="BW25:CE26"/>
    <mergeCell ref="D26:D27"/>
    <mergeCell ref="A26:A27"/>
    <mergeCell ref="K26:K27"/>
    <mergeCell ref="AH26:AH27"/>
    <mergeCell ref="B26:B27"/>
    <mergeCell ref="C26:C27"/>
    <mergeCell ref="G26:G27"/>
    <mergeCell ref="J26:J27"/>
    <mergeCell ref="BN26:BN27"/>
    <mergeCell ref="BM26:BM27"/>
    <mergeCell ref="AO26:AO27"/>
    <mergeCell ref="BL26:BL27"/>
    <mergeCell ref="E26:E27"/>
    <mergeCell ref="F26:F27"/>
    <mergeCell ref="AY25:BG26"/>
    <mergeCell ref="BH25:BN25"/>
    <mergeCell ref="BH26:BH27"/>
    <mergeCell ref="BI26:BI27"/>
    <mergeCell ref="A25:L25"/>
    <mergeCell ref="M25:T26"/>
    <mergeCell ref="U25:AC26"/>
    <mergeCell ref="AD25:AP25"/>
    <mergeCell ref="AQ25:AX26"/>
    <mergeCell ref="AM26:AM27"/>
    <mergeCell ref="AN26:AN27"/>
    <mergeCell ref="AP26:AP27"/>
    <mergeCell ref="AD26:AD27"/>
    <mergeCell ref="H26:H27"/>
    <mergeCell ref="I26:I27"/>
    <mergeCell ref="L26:L27"/>
    <mergeCell ref="AE26:AE27"/>
    <mergeCell ref="AF26:AF27"/>
    <mergeCell ref="AG26:AG27"/>
    <mergeCell ref="AK26:AK27"/>
    <mergeCell ref="AL26:AL27"/>
    <mergeCell ref="AI26:AI27"/>
    <mergeCell ref="AJ26:AJ27"/>
    <mergeCell ref="BJ26:BJ27"/>
    <mergeCell ref="BO91:BV92"/>
    <mergeCell ref="AG92:AG93"/>
    <mergeCell ref="AH92:AH93"/>
    <mergeCell ref="AI92:AI93"/>
    <mergeCell ref="AJ92:AJ93"/>
    <mergeCell ref="AK92:AK93"/>
    <mergeCell ref="AL92:AL93"/>
    <mergeCell ref="AM92:AM93"/>
    <mergeCell ref="BL92:BL93"/>
    <mergeCell ref="BM92:BM93"/>
    <mergeCell ref="BN92:BN93"/>
    <mergeCell ref="AO92:AO93"/>
    <mergeCell ref="AY91:BG92"/>
    <mergeCell ref="AN92:AN93"/>
    <mergeCell ref="BK26:BK27"/>
    <mergeCell ref="G92:G93"/>
    <mergeCell ref="AF92:AF93"/>
    <mergeCell ref="BH91:BN91"/>
    <mergeCell ref="L92:L93"/>
    <mergeCell ref="AD92:AD93"/>
    <mergeCell ref="AE92:AE93"/>
    <mergeCell ref="A91:L91"/>
    <mergeCell ref="M91:T92"/>
    <mergeCell ref="U91:AC92"/>
    <mergeCell ref="AD91:AP91"/>
    <mergeCell ref="AQ91:AX92"/>
    <mergeCell ref="H92:H93"/>
    <mergeCell ref="I92:I93"/>
    <mergeCell ref="J92:J93"/>
    <mergeCell ref="K92:K93"/>
    <mergeCell ref="A141:Y141"/>
    <mergeCell ref="A1:AC1"/>
    <mergeCell ref="AD1:BG1"/>
    <mergeCell ref="BH1:CE1"/>
    <mergeCell ref="AP92:AP93"/>
    <mergeCell ref="BH92:BH93"/>
    <mergeCell ref="BI92:BI93"/>
    <mergeCell ref="BJ92:BJ93"/>
    <mergeCell ref="BK92:BK93"/>
    <mergeCell ref="BW91:CE92"/>
    <mergeCell ref="A92:A93"/>
    <mergeCell ref="B92:B93"/>
    <mergeCell ref="C92:C93"/>
    <mergeCell ref="D92:D93"/>
    <mergeCell ref="E92:E93"/>
    <mergeCell ref="F92:F93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69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2.140625" bestFit="1" customWidth="1"/>
    <col min="2" max="2" width="10.7109375" customWidth="1"/>
    <col min="3" max="3" width="11.7109375" customWidth="1"/>
    <col min="5" max="5" width="22" bestFit="1" customWidth="1"/>
    <col min="6" max="6" width="11.42578125" bestFit="1" customWidth="1"/>
    <col min="7" max="7" width="14.7109375" bestFit="1" customWidth="1"/>
    <col min="8" max="8" width="26.140625" bestFit="1" customWidth="1"/>
    <col min="9" max="9" width="10" bestFit="1" customWidth="1"/>
    <col min="10" max="10" width="22" bestFit="1" customWidth="1"/>
    <col min="11" max="11" width="13.140625" bestFit="1" customWidth="1"/>
    <col min="12" max="12" width="23" bestFit="1" customWidth="1"/>
    <col min="13" max="13" width="25" bestFit="1" customWidth="1"/>
    <col min="14" max="14" width="27.140625" bestFit="1" customWidth="1"/>
    <col min="15" max="15" width="29.140625" bestFit="1" customWidth="1"/>
    <col min="16" max="16" width="25" bestFit="1" customWidth="1"/>
    <col min="17" max="17" width="27.140625" bestFit="1" customWidth="1"/>
    <col min="18" max="18" width="31.28515625" bestFit="1" customWidth="1"/>
    <col min="19" max="20" width="28.140625" bestFit="1" customWidth="1"/>
    <col min="22" max="22" width="11" bestFit="1" customWidth="1"/>
    <col min="23" max="23" width="17.85546875" bestFit="1" customWidth="1"/>
    <col min="24" max="24" width="11.42578125" bestFit="1" customWidth="1"/>
    <col min="25" max="26" width="12" bestFit="1" customWidth="1"/>
    <col min="28" max="28" width="12.5703125" bestFit="1" customWidth="1"/>
    <col min="29" max="29" width="23" bestFit="1" customWidth="1"/>
    <col min="30" max="31" width="12" bestFit="1" customWidth="1"/>
    <col min="32" max="32" width="13.140625" bestFit="1" customWidth="1"/>
    <col min="33" max="33" width="17.28515625" bestFit="1" customWidth="1"/>
    <col min="34" max="34" width="16.42578125" customWidth="1"/>
    <col min="35" max="35" width="13.140625" bestFit="1" customWidth="1"/>
    <col min="36" max="36" width="21.28515625" customWidth="1"/>
    <col min="37" max="37" width="20.5703125" bestFit="1" customWidth="1"/>
    <col min="38" max="39" width="16.7109375" bestFit="1" customWidth="1"/>
    <col min="40" max="40" width="18.85546875" bestFit="1" customWidth="1"/>
    <col min="41" max="41" width="28.140625" bestFit="1" customWidth="1"/>
    <col min="42" max="42" width="14.42578125" bestFit="1" customWidth="1"/>
    <col min="43" max="43" width="23" bestFit="1" customWidth="1"/>
    <col min="44" max="46" width="23.7109375" bestFit="1" customWidth="1"/>
    <col min="47" max="48" width="23" bestFit="1" customWidth="1"/>
    <col min="49" max="49" width="23.7109375" bestFit="1" customWidth="1"/>
    <col min="50" max="51" width="23" bestFit="1" customWidth="1"/>
    <col min="52" max="54" width="23.7109375" bestFit="1" customWidth="1"/>
    <col min="55" max="55" width="23" bestFit="1" customWidth="1"/>
    <col min="56" max="56" width="24" bestFit="1" customWidth="1"/>
    <col min="57" max="60" width="23.7109375" bestFit="1" customWidth="1"/>
  </cols>
  <sheetData>
    <row r="1" spans="1:60" ht="21.75" thickBot="1" x14ac:dyDescent="0.3">
      <c r="A1" s="894" t="s">
        <v>33</v>
      </c>
      <c r="B1" s="895"/>
      <c r="C1" s="895"/>
      <c r="D1" s="895"/>
      <c r="E1" s="895"/>
      <c r="F1" s="895"/>
      <c r="G1" s="895"/>
      <c r="H1" s="895"/>
      <c r="I1" s="895"/>
      <c r="J1" s="895"/>
      <c r="K1" s="895"/>
      <c r="L1" s="895"/>
      <c r="M1" s="895"/>
      <c r="N1" s="895"/>
      <c r="O1" s="895"/>
      <c r="P1" s="895"/>
      <c r="Q1" s="895"/>
      <c r="R1" s="895"/>
      <c r="S1" s="895"/>
      <c r="T1" s="896"/>
      <c r="U1" s="894" t="s">
        <v>34</v>
      </c>
      <c r="V1" s="895"/>
      <c r="W1" s="895"/>
      <c r="X1" s="895"/>
      <c r="Y1" s="895"/>
      <c r="Z1" s="895"/>
      <c r="AA1" s="895"/>
      <c r="AB1" s="895"/>
      <c r="AC1" s="895"/>
      <c r="AD1" s="895"/>
      <c r="AE1" s="895"/>
      <c r="AF1" s="895"/>
      <c r="AG1" s="895"/>
      <c r="AH1" s="895"/>
      <c r="AI1" s="895"/>
      <c r="AJ1" s="895"/>
      <c r="AK1" s="895"/>
      <c r="AL1" s="895"/>
      <c r="AM1" s="895"/>
      <c r="AN1" s="895"/>
      <c r="AO1" s="896"/>
      <c r="AP1" s="894" t="s">
        <v>35</v>
      </c>
      <c r="AQ1" s="895"/>
      <c r="AR1" s="895"/>
      <c r="AS1" s="895"/>
      <c r="AT1" s="895"/>
      <c r="AU1" s="895"/>
      <c r="AV1" s="895"/>
      <c r="AW1" s="895"/>
      <c r="AX1" s="895"/>
      <c r="AY1" s="895"/>
      <c r="AZ1" s="895"/>
      <c r="BA1" s="895"/>
      <c r="BB1" s="895"/>
      <c r="BC1" s="895"/>
      <c r="BD1" s="895"/>
      <c r="BE1" s="895"/>
      <c r="BF1" s="895"/>
      <c r="BG1" s="895"/>
      <c r="BH1" s="896"/>
    </row>
    <row r="2" spans="1:60" ht="18.75" x14ac:dyDescent="0.3">
      <c r="A2" s="145"/>
      <c r="B2" s="507"/>
      <c r="X2" s="660"/>
      <c r="Y2" s="4"/>
      <c r="Z2" s="4"/>
    </row>
    <row r="3" spans="1:60" ht="18.75" x14ac:dyDescent="0.3">
      <c r="A3" s="636"/>
      <c r="B3" s="637"/>
      <c r="C3" s="625"/>
      <c r="D3" s="625"/>
      <c r="E3" s="625"/>
      <c r="F3" s="625"/>
      <c r="G3" s="625"/>
      <c r="H3" s="625"/>
      <c r="I3" s="625"/>
      <c r="J3" s="625"/>
      <c r="K3" s="625"/>
      <c r="L3" s="625"/>
      <c r="M3" s="625"/>
      <c r="N3" s="625"/>
      <c r="O3" s="625"/>
      <c r="P3" s="625"/>
      <c r="Q3" s="625"/>
      <c r="R3" s="625"/>
      <c r="S3" s="625"/>
      <c r="T3" s="625"/>
      <c r="U3" s="625"/>
      <c r="V3" s="625"/>
      <c r="W3" s="625"/>
      <c r="X3" s="660"/>
      <c r="Y3" s="4"/>
      <c r="Z3" s="4"/>
    </row>
    <row r="4" spans="1:60" ht="18.75" x14ac:dyDescent="0.3">
      <c r="A4" s="636"/>
      <c r="B4" s="625"/>
      <c r="C4" s="633">
        <v>1</v>
      </c>
      <c r="D4" s="625"/>
      <c r="E4" s="625"/>
      <c r="F4" s="625"/>
      <c r="G4" s="634">
        <v>2</v>
      </c>
      <c r="H4" s="625"/>
      <c r="I4" s="625"/>
      <c r="J4" s="634">
        <v>3</v>
      </c>
      <c r="K4" s="625"/>
      <c r="L4" s="633">
        <v>4</v>
      </c>
      <c r="M4" s="633"/>
      <c r="N4" s="633">
        <v>5</v>
      </c>
      <c r="O4" s="633"/>
      <c r="P4" s="633">
        <v>6</v>
      </c>
      <c r="Q4" s="633"/>
      <c r="R4" s="652">
        <v>7</v>
      </c>
      <c r="S4" s="625"/>
      <c r="T4" s="633"/>
      <c r="U4" s="633">
        <v>8</v>
      </c>
      <c r="V4" s="625"/>
      <c r="W4" s="625"/>
      <c r="X4" s="660"/>
      <c r="Y4" s="4"/>
      <c r="Z4" s="4"/>
    </row>
    <row r="5" spans="1:60" ht="18.75" x14ac:dyDescent="0.3">
      <c r="A5" s="625"/>
      <c r="B5" s="625"/>
      <c r="C5" s="633"/>
      <c r="D5" s="625"/>
      <c r="E5" s="625"/>
      <c r="F5" s="625"/>
      <c r="G5" s="634"/>
      <c r="H5" s="625"/>
      <c r="I5" s="625"/>
      <c r="J5" s="633"/>
      <c r="K5" s="625"/>
      <c r="L5" s="625"/>
      <c r="M5" s="633"/>
      <c r="N5" s="625"/>
      <c r="O5" s="625"/>
      <c r="P5" s="625"/>
      <c r="Q5" s="625"/>
      <c r="R5" s="625"/>
      <c r="S5" s="625"/>
      <c r="T5" s="625"/>
      <c r="U5" s="625"/>
      <c r="V5" s="625"/>
      <c r="W5" s="625"/>
      <c r="X5" s="4"/>
      <c r="Y5" s="4"/>
      <c r="Z5" s="4"/>
    </row>
    <row r="6" spans="1:60" x14ac:dyDescent="0.25">
      <c r="A6" s="625"/>
      <c r="B6" s="625"/>
      <c r="C6" s="625"/>
      <c r="D6" s="625"/>
      <c r="E6" s="625"/>
      <c r="F6" s="625"/>
      <c r="G6" s="625"/>
      <c r="H6" s="625"/>
      <c r="I6" s="625"/>
      <c r="J6" s="625"/>
      <c r="K6" s="625"/>
      <c r="L6" s="625"/>
      <c r="M6" s="625"/>
      <c r="N6" s="625"/>
      <c r="O6" s="625"/>
      <c r="P6" s="625"/>
      <c r="Q6" s="625"/>
      <c r="R6" s="625"/>
      <c r="S6" s="625"/>
      <c r="T6" s="625"/>
      <c r="U6" s="625"/>
      <c r="V6" s="625"/>
      <c r="W6" s="625"/>
      <c r="X6" s="4"/>
      <c r="Y6" s="4"/>
      <c r="Z6" s="4"/>
    </row>
    <row r="7" spans="1:60" x14ac:dyDescent="0.25">
      <c r="A7" s="625"/>
      <c r="B7" s="625"/>
      <c r="C7" s="625"/>
      <c r="D7" s="625"/>
      <c r="E7" s="625"/>
      <c r="F7" s="625"/>
      <c r="G7" s="625"/>
      <c r="H7" s="625"/>
      <c r="I7" s="625"/>
      <c r="J7" s="625"/>
      <c r="K7" s="625"/>
      <c r="L7" s="625"/>
      <c r="M7" s="625"/>
      <c r="N7" s="625"/>
      <c r="O7" s="625"/>
      <c r="P7" s="625"/>
      <c r="Q7" s="625"/>
      <c r="R7" s="625"/>
      <c r="S7" s="625"/>
      <c r="T7" s="625"/>
      <c r="U7" s="625"/>
      <c r="V7" s="625"/>
      <c r="W7" s="625"/>
      <c r="X7" s="4"/>
      <c r="Y7" s="4"/>
      <c r="Z7" s="4"/>
    </row>
    <row r="8" spans="1:60" x14ac:dyDescent="0.25">
      <c r="A8" s="625"/>
      <c r="B8" s="625"/>
      <c r="C8" s="625"/>
      <c r="D8" s="625"/>
      <c r="E8" s="625"/>
      <c r="F8" s="625"/>
      <c r="G8" s="625"/>
      <c r="H8" s="625"/>
      <c r="I8" s="625"/>
      <c r="J8" s="625"/>
      <c r="K8" s="625"/>
      <c r="L8" s="625"/>
      <c r="M8" s="625"/>
      <c r="N8" s="625"/>
      <c r="O8" s="625"/>
      <c r="P8" s="625"/>
      <c r="Q8" s="625"/>
      <c r="R8" s="625"/>
      <c r="S8" s="625"/>
      <c r="T8" s="625"/>
      <c r="U8" s="625"/>
      <c r="V8" s="625"/>
      <c r="W8" s="625"/>
      <c r="X8" s="4"/>
      <c r="Y8" s="4"/>
      <c r="Z8" s="4"/>
    </row>
    <row r="9" spans="1:60" x14ac:dyDescent="0.25">
      <c r="A9" s="625"/>
      <c r="B9" s="625"/>
      <c r="C9" s="625"/>
      <c r="D9" s="625"/>
      <c r="E9" s="625"/>
      <c r="F9" s="625"/>
      <c r="G9" s="625"/>
      <c r="H9" s="625"/>
      <c r="I9" s="625"/>
      <c r="J9" s="625"/>
      <c r="K9" s="625"/>
      <c r="L9" s="625"/>
      <c r="M9" s="625"/>
      <c r="N9" s="625"/>
      <c r="O9" s="625"/>
      <c r="P9" s="625"/>
      <c r="Q9" s="625"/>
      <c r="R9" s="625"/>
      <c r="S9" s="625"/>
      <c r="T9" s="625"/>
      <c r="U9" s="625"/>
      <c r="V9" s="625"/>
      <c r="W9" s="625"/>
      <c r="X9" s="4"/>
      <c r="Y9" s="4"/>
      <c r="Z9" s="4"/>
    </row>
    <row r="10" spans="1:60" x14ac:dyDescent="0.25">
      <c r="A10" s="625"/>
      <c r="B10" s="625"/>
      <c r="C10" s="625"/>
      <c r="D10" s="625"/>
      <c r="E10" s="625"/>
      <c r="F10" s="625"/>
      <c r="G10" s="625"/>
      <c r="H10" s="625"/>
      <c r="I10" s="625"/>
      <c r="J10" s="625"/>
      <c r="K10" s="625"/>
      <c r="L10" s="625"/>
      <c r="M10" s="625"/>
      <c r="N10" s="625"/>
      <c r="O10" s="625"/>
      <c r="P10" s="625"/>
      <c r="Q10" s="625"/>
      <c r="R10" s="625"/>
      <c r="S10" s="625"/>
      <c r="T10" s="625"/>
      <c r="U10" s="625"/>
      <c r="V10" s="625"/>
      <c r="W10" s="625"/>
      <c r="X10" s="4"/>
      <c r="Y10" s="4"/>
      <c r="Z10" s="4"/>
    </row>
    <row r="11" spans="1:60" x14ac:dyDescent="0.25">
      <c r="A11" s="625"/>
      <c r="B11" s="625"/>
      <c r="C11" s="625"/>
      <c r="D11" s="625"/>
      <c r="E11" s="625"/>
      <c r="F11" s="625"/>
      <c r="G11" s="625"/>
      <c r="H11" s="625"/>
      <c r="I11" s="625"/>
      <c r="J11" s="625"/>
      <c r="K11" s="625"/>
      <c r="L11" s="625"/>
      <c r="M11" s="625"/>
      <c r="N11" s="625"/>
      <c r="O11" s="625"/>
      <c r="P11" s="625"/>
      <c r="Q11" s="625"/>
      <c r="R11" s="625"/>
      <c r="S11" s="625"/>
      <c r="T11" s="625"/>
      <c r="U11" s="625"/>
      <c r="V11" s="625"/>
      <c r="W11" s="625"/>
      <c r="X11" s="4"/>
      <c r="Y11" s="4"/>
      <c r="Z11" s="4"/>
    </row>
    <row r="12" spans="1:60" x14ac:dyDescent="0.25">
      <c r="A12" s="625"/>
      <c r="B12" s="625"/>
      <c r="C12" s="625"/>
      <c r="D12" s="625"/>
      <c r="E12" s="625"/>
      <c r="F12" s="625"/>
      <c r="G12" s="625"/>
      <c r="H12" s="625"/>
      <c r="I12" s="625"/>
      <c r="J12" s="625"/>
      <c r="K12" s="625"/>
      <c r="L12" s="625"/>
      <c r="M12" s="625"/>
      <c r="N12" s="625"/>
      <c r="O12" s="625"/>
      <c r="P12" s="625"/>
      <c r="Q12" s="625"/>
      <c r="R12" s="625"/>
      <c r="S12" s="625"/>
      <c r="T12" s="625"/>
      <c r="U12" s="625"/>
      <c r="V12" s="625"/>
      <c r="W12" s="625"/>
      <c r="X12" s="4"/>
      <c r="Y12" s="4"/>
      <c r="Z12" s="4"/>
    </row>
    <row r="13" spans="1:60" x14ac:dyDescent="0.25">
      <c r="A13" s="625"/>
      <c r="B13" s="625"/>
      <c r="C13" s="625"/>
      <c r="D13" s="625"/>
      <c r="E13" s="625"/>
      <c r="F13" s="625"/>
      <c r="G13" s="625"/>
      <c r="H13" s="625"/>
      <c r="I13" s="625"/>
      <c r="J13" s="625"/>
      <c r="K13" s="625"/>
      <c r="L13" s="625"/>
      <c r="M13" s="625"/>
      <c r="N13" s="625"/>
      <c r="O13" s="625"/>
      <c r="P13" s="625"/>
      <c r="Q13" s="625"/>
      <c r="R13" s="625"/>
      <c r="S13" s="625"/>
      <c r="T13" s="625"/>
      <c r="U13" s="625"/>
      <c r="V13" s="625"/>
      <c r="W13" s="625"/>
      <c r="X13" s="4"/>
      <c r="Y13" s="4"/>
      <c r="Z13" s="4"/>
    </row>
    <row r="14" spans="1:60" x14ac:dyDescent="0.25">
      <c r="A14" s="625"/>
      <c r="B14" s="625"/>
      <c r="C14" s="625"/>
      <c r="D14" s="625"/>
      <c r="E14" s="625"/>
      <c r="F14" s="625"/>
      <c r="G14" s="625"/>
      <c r="H14" s="625"/>
      <c r="I14" s="625"/>
      <c r="J14" s="625"/>
      <c r="K14" s="625"/>
      <c r="L14" s="625"/>
      <c r="M14" s="625"/>
      <c r="N14" s="625"/>
      <c r="O14" s="625"/>
      <c r="P14" s="625"/>
      <c r="Q14" s="625"/>
      <c r="R14" s="625"/>
      <c r="S14" s="625"/>
      <c r="T14" s="625"/>
      <c r="U14" s="625"/>
      <c r="V14" s="625"/>
      <c r="W14" s="625"/>
      <c r="X14" s="4"/>
      <c r="Y14" s="4"/>
      <c r="Z14" s="4"/>
    </row>
    <row r="15" spans="1:60" x14ac:dyDescent="0.25">
      <c r="A15" s="625"/>
      <c r="B15" s="625"/>
      <c r="C15" s="625"/>
      <c r="D15" s="625"/>
      <c r="E15" s="625"/>
      <c r="F15" s="625"/>
      <c r="G15" s="625"/>
      <c r="H15" s="625"/>
      <c r="I15" s="625"/>
      <c r="J15" s="625"/>
      <c r="K15" s="625"/>
      <c r="L15" s="625"/>
      <c r="M15" s="625"/>
      <c r="N15" s="625"/>
      <c r="O15" s="625"/>
      <c r="P15" s="625"/>
      <c r="Q15" s="625"/>
      <c r="R15" s="625"/>
      <c r="S15" s="625"/>
      <c r="T15" s="625"/>
      <c r="U15" s="625"/>
      <c r="V15" s="625"/>
      <c r="W15" s="625"/>
      <c r="X15" s="4"/>
      <c r="Y15" s="4"/>
      <c r="Z15" s="4"/>
    </row>
    <row r="16" spans="1:60" x14ac:dyDescent="0.25">
      <c r="A16" s="625"/>
      <c r="B16" s="625"/>
      <c r="C16" s="625"/>
      <c r="D16" s="625"/>
      <c r="E16" s="625"/>
      <c r="F16" s="625"/>
      <c r="G16" s="625"/>
      <c r="H16" s="625"/>
      <c r="I16" s="625"/>
      <c r="J16" s="625"/>
      <c r="K16" s="625"/>
      <c r="L16" s="625"/>
      <c r="M16" s="625"/>
      <c r="N16" s="625"/>
      <c r="O16" s="625"/>
      <c r="P16" s="625"/>
      <c r="Q16" s="625"/>
      <c r="R16" s="625"/>
      <c r="S16" s="625"/>
      <c r="T16" s="625"/>
      <c r="U16" s="625"/>
      <c r="V16" s="625"/>
      <c r="W16" s="625"/>
      <c r="X16" s="4"/>
      <c r="Y16" s="4"/>
      <c r="Z16" s="4"/>
    </row>
    <row r="17" spans="1:60" x14ac:dyDescent="0.25">
      <c r="A17" s="625"/>
      <c r="B17" s="625"/>
      <c r="C17" s="625"/>
      <c r="D17" s="625"/>
      <c r="E17" s="625"/>
      <c r="F17" s="625"/>
      <c r="G17" s="625"/>
      <c r="H17" s="625"/>
      <c r="I17" s="625"/>
      <c r="J17" s="625"/>
      <c r="K17" s="625"/>
      <c r="L17" s="625"/>
      <c r="M17" s="625"/>
      <c r="N17" s="625"/>
      <c r="O17" s="625"/>
      <c r="P17" s="625"/>
      <c r="Q17" s="625"/>
      <c r="R17" s="625"/>
      <c r="S17" s="625"/>
      <c r="T17" s="625"/>
      <c r="U17" s="625"/>
      <c r="V17" s="625"/>
      <c r="W17" s="625"/>
      <c r="X17" s="4"/>
      <c r="Y17" s="4"/>
      <c r="Z17" s="4"/>
    </row>
    <row r="18" spans="1:60" x14ac:dyDescent="0.25">
      <c r="A18" s="625"/>
      <c r="B18" s="625"/>
      <c r="C18" s="625"/>
      <c r="D18" s="625"/>
      <c r="E18" s="625"/>
      <c r="F18" s="625"/>
      <c r="G18" s="625"/>
      <c r="H18" s="625"/>
      <c r="I18" s="625"/>
      <c r="J18" s="625"/>
      <c r="K18" s="625"/>
      <c r="L18" s="625"/>
      <c r="M18" s="625"/>
      <c r="N18" s="625"/>
      <c r="O18" s="625"/>
      <c r="P18" s="625"/>
      <c r="Q18" s="625"/>
      <c r="R18" s="625"/>
      <c r="S18" s="625"/>
      <c r="T18" s="625"/>
      <c r="U18" s="625"/>
      <c r="V18" s="625"/>
      <c r="W18" s="625"/>
      <c r="X18" s="4"/>
      <c r="Y18" s="4"/>
      <c r="Z18" s="4"/>
    </row>
    <row r="19" spans="1:60" x14ac:dyDescent="0.25">
      <c r="A19" s="625"/>
      <c r="B19" s="625"/>
      <c r="C19" s="625"/>
      <c r="D19" s="625"/>
      <c r="E19" s="625"/>
      <c r="F19" s="625"/>
      <c r="G19" s="625"/>
      <c r="H19" s="625"/>
      <c r="I19" s="625"/>
      <c r="J19" s="625"/>
      <c r="K19" s="625"/>
      <c r="L19" s="625"/>
      <c r="M19" s="625"/>
      <c r="N19" s="625"/>
      <c r="O19" s="625"/>
      <c r="P19" s="625"/>
      <c r="Q19" s="625"/>
      <c r="R19" s="625"/>
      <c r="S19" s="625"/>
      <c r="T19" s="625"/>
      <c r="U19" s="625"/>
      <c r="V19" s="625"/>
      <c r="W19" s="625"/>
      <c r="X19" s="4"/>
      <c r="Y19" s="4"/>
      <c r="Z19" s="4"/>
    </row>
    <row r="20" spans="1:60" x14ac:dyDescent="0.25">
      <c r="A20" s="625"/>
      <c r="B20" s="625"/>
      <c r="C20" s="625"/>
      <c r="D20" s="625"/>
      <c r="E20" s="625"/>
      <c r="F20" s="625"/>
      <c r="G20" s="625"/>
      <c r="H20" s="625"/>
      <c r="I20" s="625"/>
      <c r="J20" s="625"/>
      <c r="K20" s="625"/>
      <c r="L20" s="625"/>
      <c r="M20" s="625"/>
      <c r="N20" s="625"/>
      <c r="O20" s="625"/>
      <c r="P20" s="625"/>
      <c r="Q20" s="625"/>
      <c r="R20" s="625"/>
      <c r="S20" s="625"/>
      <c r="T20" s="625"/>
      <c r="U20" s="625"/>
      <c r="V20" s="625"/>
      <c r="W20" s="625"/>
      <c r="X20" s="4"/>
      <c r="Y20" s="4"/>
      <c r="Z20" s="4"/>
    </row>
    <row r="21" spans="1:60" x14ac:dyDescent="0.25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25"/>
      <c r="S21" s="625"/>
      <c r="T21" s="625"/>
      <c r="U21" s="625"/>
      <c r="V21" s="625"/>
      <c r="W21" s="625"/>
    </row>
    <row r="22" spans="1:60" s="4" customFormat="1" ht="15.75" thickBot="1" x14ac:dyDescent="0.3"/>
    <row r="23" spans="1:60" ht="14.25" customHeight="1" thickBot="1" x14ac:dyDescent="0.3">
      <c r="A23" s="915" t="s">
        <v>54</v>
      </c>
      <c r="B23" s="916"/>
      <c r="C23" s="916"/>
      <c r="D23" s="917" t="s">
        <v>1</v>
      </c>
      <c r="E23" s="902"/>
      <c r="F23" s="902"/>
      <c r="G23" s="902"/>
      <c r="H23" s="902"/>
      <c r="I23" s="902"/>
      <c r="J23" s="902"/>
      <c r="K23" s="903"/>
      <c r="L23" s="917" t="s">
        <v>0</v>
      </c>
      <c r="M23" s="902"/>
      <c r="N23" s="902"/>
      <c r="O23" s="902"/>
      <c r="P23" s="902"/>
      <c r="Q23" s="902"/>
      <c r="R23" s="902"/>
      <c r="S23" s="902"/>
      <c r="T23" s="903"/>
      <c r="U23" s="918"/>
      <c r="V23" s="919"/>
      <c r="W23" s="919"/>
      <c r="X23" s="919"/>
      <c r="Y23" s="888" t="s">
        <v>60</v>
      </c>
      <c r="Z23" s="889"/>
      <c r="AA23" s="889"/>
      <c r="AB23" s="889"/>
      <c r="AC23" s="889"/>
      <c r="AD23" s="889"/>
      <c r="AE23" s="889"/>
      <c r="AF23" s="890"/>
      <c r="AG23" s="888" t="s">
        <v>59</v>
      </c>
      <c r="AH23" s="902"/>
      <c r="AI23" s="902"/>
      <c r="AJ23" s="902"/>
      <c r="AK23" s="902"/>
      <c r="AL23" s="902"/>
      <c r="AM23" s="902"/>
      <c r="AN23" s="902"/>
      <c r="AO23" s="903"/>
      <c r="AP23" s="900"/>
      <c r="AQ23" s="900"/>
      <c r="AR23" s="901" t="s">
        <v>1</v>
      </c>
      <c r="AS23" s="902"/>
      <c r="AT23" s="902"/>
      <c r="AU23" s="902"/>
      <c r="AV23" s="902"/>
      <c r="AW23" s="902"/>
      <c r="AX23" s="902"/>
      <c r="AY23" s="903"/>
      <c r="AZ23" s="901" t="s">
        <v>0</v>
      </c>
      <c r="BA23" s="902"/>
      <c r="BB23" s="902"/>
      <c r="BC23" s="902"/>
      <c r="BD23" s="902"/>
      <c r="BE23" s="902"/>
      <c r="BF23" s="902"/>
      <c r="BG23" s="902"/>
      <c r="BH23" s="903"/>
    </row>
    <row r="24" spans="1:60" ht="15" customHeight="1" thickBot="1" x14ac:dyDescent="0.3">
      <c r="A24" s="907" t="s">
        <v>56</v>
      </c>
      <c r="B24" s="909" t="s">
        <v>57</v>
      </c>
      <c r="C24" s="911" t="s">
        <v>15</v>
      </c>
      <c r="D24" s="906"/>
      <c r="E24" s="904"/>
      <c r="F24" s="904"/>
      <c r="G24" s="904"/>
      <c r="H24" s="904"/>
      <c r="I24" s="904"/>
      <c r="J24" s="904"/>
      <c r="K24" s="905"/>
      <c r="L24" s="906"/>
      <c r="M24" s="904"/>
      <c r="N24" s="904"/>
      <c r="O24" s="904"/>
      <c r="P24" s="904"/>
      <c r="Q24" s="904"/>
      <c r="R24" s="904"/>
      <c r="S24" s="904"/>
      <c r="T24" s="905"/>
      <c r="U24" s="912" t="s">
        <v>40</v>
      </c>
      <c r="V24" s="914" t="s">
        <v>56</v>
      </c>
      <c r="W24" s="914" t="s">
        <v>57</v>
      </c>
      <c r="X24" s="912" t="s">
        <v>41</v>
      </c>
      <c r="Y24" s="891"/>
      <c r="Z24" s="892"/>
      <c r="AA24" s="892"/>
      <c r="AB24" s="892"/>
      <c r="AC24" s="892"/>
      <c r="AD24" s="892"/>
      <c r="AE24" s="892"/>
      <c r="AF24" s="893"/>
      <c r="AG24" s="906"/>
      <c r="AH24" s="904"/>
      <c r="AI24" s="904"/>
      <c r="AJ24" s="904"/>
      <c r="AK24" s="904"/>
      <c r="AL24" s="904"/>
      <c r="AM24" s="904"/>
      <c r="AN24" s="904"/>
      <c r="AO24" s="905"/>
      <c r="AP24" s="897" t="s">
        <v>15</v>
      </c>
      <c r="AQ24" s="899" t="s">
        <v>58</v>
      </c>
      <c r="AR24" s="904"/>
      <c r="AS24" s="904"/>
      <c r="AT24" s="904"/>
      <c r="AU24" s="904"/>
      <c r="AV24" s="904"/>
      <c r="AW24" s="904"/>
      <c r="AX24" s="904"/>
      <c r="AY24" s="905"/>
      <c r="AZ24" s="906"/>
      <c r="BA24" s="904"/>
      <c r="BB24" s="904"/>
      <c r="BC24" s="904"/>
      <c r="BD24" s="904"/>
      <c r="BE24" s="904"/>
      <c r="BF24" s="904"/>
      <c r="BG24" s="904"/>
      <c r="BH24" s="905"/>
    </row>
    <row r="25" spans="1:60" ht="15.75" thickBot="1" x14ac:dyDescent="0.3">
      <c r="A25" s="922"/>
      <c r="B25" s="923"/>
      <c r="C25" s="910"/>
      <c r="D25" s="103" t="s">
        <v>9</v>
      </c>
      <c r="E25" s="104" t="s">
        <v>5</v>
      </c>
      <c r="F25" s="104" t="s">
        <v>8</v>
      </c>
      <c r="G25" s="104" t="s">
        <v>4</v>
      </c>
      <c r="H25" s="104" t="s">
        <v>10</v>
      </c>
      <c r="I25" s="104" t="s">
        <v>6</v>
      </c>
      <c r="J25" s="104" t="s">
        <v>7</v>
      </c>
      <c r="K25" s="105" t="s">
        <v>20</v>
      </c>
      <c r="L25" s="103" t="s">
        <v>22</v>
      </c>
      <c r="M25" s="104" t="s">
        <v>23</v>
      </c>
      <c r="N25" s="104" t="s">
        <v>24</v>
      </c>
      <c r="O25" s="104" t="s">
        <v>25</v>
      </c>
      <c r="P25" s="104" t="s">
        <v>26</v>
      </c>
      <c r="Q25" s="104" t="s">
        <v>27</v>
      </c>
      <c r="R25" s="104" t="s">
        <v>28</v>
      </c>
      <c r="S25" s="104" t="s">
        <v>29</v>
      </c>
      <c r="T25" s="105" t="s">
        <v>30</v>
      </c>
      <c r="U25" s="913"/>
      <c r="V25" s="913"/>
      <c r="W25" s="913"/>
      <c r="X25" s="913"/>
      <c r="Y25" s="109" t="s">
        <v>9</v>
      </c>
      <c r="Z25" s="110" t="s">
        <v>5</v>
      </c>
      <c r="AA25" s="110" t="s">
        <v>8</v>
      </c>
      <c r="AB25" s="110" t="s">
        <v>4</v>
      </c>
      <c r="AC25" s="110" t="s">
        <v>10</v>
      </c>
      <c r="AD25" s="110" t="s">
        <v>6</v>
      </c>
      <c r="AE25" s="110" t="s">
        <v>7</v>
      </c>
      <c r="AF25" s="111" t="s">
        <v>20</v>
      </c>
      <c r="AG25" s="106" t="s">
        <v>22</v>
      </c>
      <c r="AH25" s="107" t="s">
        <v>23</v>
      </c>
      <c r="AI25" s="107" t="s">
        <v>24</v>
      </c>
      <c r="AJ25" s="107" t="s">
        <v>25</v>
      </c>
      <c r="AK25" s="107" t="s">
        <v>26</v>
      </c>
      <c r="AL25" s="107" t="s">
        <v>27</v>
      </c>
      <c r="AM25" s="107" t="s">
        <v>28</v>
      </c>
      <c r="AN25" s="107" t="s">
        <v>29</v>
      </c>
      <c r="AO25" s="108" t="s">
        <v>30</v>
      </c>
      <c r="AP25" s="898"/>
      <c r="AQ25" s="920"/>
      <c r="AR25" s="132" t="s">
        <v>9</v>
      </c>
      <c r="AS25" s="132" t="s">
        <v>5</v>
      </c>
      <c r="AT25" s="132" t="s">
        <v>8</v>
      </c>
      <c r="AU25" s="132" t="s">
        <v>4</v>
      </c>
      <c r="AV25" s="132" t="s">
        <v>10</v>
      </c>
      <c r="AW25" s="132" t="s">
        <v>6</v>
      </c>
      <c r="AX25" s="132" t="s">
        <v>7</v>
      </c>
      <c r="AY25" s="132" t="s">
        <v>20</v>
      </c>
      <c r="AZ25" s="131" t="s">
        <v>22</v>
      </c>
      <c r="BA25" s="131" t="s">
        <v>23</v>
      </c>
      <c r="BB25" s="131" t="s">
        <v>24</v>
      </c>
      <c r="BC25" s="131" t="s">
        <v>25</v>
      </c>
      <c r="BD25" s="131" t="s">
        <v>26</v>
      </c>
      <c r="BE25" s="131" t="s">
        <v>27</v>
      </c>
      <c r="BF25" s="131" t="s">
        <v>28</v>
      </c>
      <c r="BG25" s="131" t="s">
        <v>29</v>
      </c>
      <c r="BH25" s="132" t="s">
        <v>30</v>
      </c>
    </row>
    <row r="26" spans="1:60" x14ac:dyDescent="0.25">
      <c r="A26" s="114">
        <v>100</v>
      </c>
      <c r="B26" s="381">
        <v>50</v>
      </c>
      <c r="C26" s="378" t="s">
        <v>9</v>
      </c>
      <c r="D26" s="114">
        <v>314.15899999999999</v>
      </c>
      <c r="E26" s="115">
        <v>10.3071</v>
      </c>
      <c r="F26" s="115">
        <v>123.685</v>
      </c>
      <c r="G26" s="115">
        <v>3.1415899999999999</v>
      </c>
      <c r="H26" s="392">
        <v>1.9521E-3</v>
      </c>
      <c r="I26" s="115">
        <v>3141.59</v>
      </c>
      <c r="J26" s="115">
        <v>3.4356900000000001</v>
      </c>
      <c r="K26" s="223">
        <v>3141593</v>
      </c>
      <c r="L26" s="114">
        <v>785398</v>
      </c>
      <c r="M26" s="115">
        <v>7853.98</v>
      </c>
      <c r="N26" s="115">
        <v>78.5398</v>
      </c>
      <c r="O26" s="115">
        <v>0.78539800000000004</v>
      </c>
      <c r="P26" s="115">
        <v>1217.3699999999999</v>
      </c>
      <c r="Q26" s="115">
        <v>8.4539600000000004</v>
      </c>
      <c r="R26" s="115">
        <v>7.85398E-3</v>
      </c>
      <c r="S26" s="116">
        <v>7.85398163397448E-5</v>
      </c>
      <c r="T26" s="117">
        <v>1.94076E-4</v>
      </c>
      <c r="U26" s="225">
        <v>1</v>
      </c>
      <c r="V26" s="8">
        <v>100</v>
      </c>
      <c r="W26" s="382">
        <v>50</v>
      </c>
      <c r="X26" s="18" t="s">
        <v>9</v>
      </c>
      <c r="Y26" s="13">
        <f>2*PI()*W26</f>
        <v>314.15926535897933</v>
      </c>
      <c r="Z26" s="7">
        <v>10.3071</v>
      </c>
      <c r="AA26" s="7">
        <v>123.685</v>
      </c>
      <c r="AB26" s="7">
        <v>3.1415899999999999</v>
      </c>
      <c r="AC26" s="301">
        <v>1.9520900000000001E-3</v>
      </c>
      <c r="AD26" s="7">
        <v>3141.59</v>
      </c>
      <c r="AE26" s="7">
        <v>3.4356800000000001</v>
      </c>
      <c r="AF26" s="14">
        <v>3141590</v>
      </c>
      <c r="AG26" s="8">
        <v>785398</v>
      </c>
      <c r="AH26" s="12">
        <f>PI()*W26^2</f>
        <v>7853.981633974483</v>
      </c>
      <c r="AI26" s="7">
        <v>78.5398</v>
      </c>
      <c r="AJ26" s="7">
        <v>0.78539800000000004</v>
      </c>
      <c r="AK26" s="7">
        <v>1217.3699999999999</v>
      </c>
      <c r="AL26" s="7">
        <v>8.4539500000000007</v>
      </c>
      <c r="AM26" s="301">
        <v>7.85398E-3</v>
      </c>
      <c r="AN26" s="384">
        <v>7.8539800000000003E-5</v>
      </c>
      <c r="AO26" s="361">
        <v>1.94076E-4</v>
      </c>
      <c r="AP26" s="237" t="s">
        <v>9</v>
      </c>
      <c r="AQ26" s="657">
        <f>(100*(B26-W26))/W26</f>
        <v>0</v>
      </c>
      <c r="AR26" s="216">
        <f>(100*(D26-Y26))/Y26</f>
        <v>-8.4466386509651162E-5</v>
      </c>
      <c r="AS26" s="90">
        <f t="shared" ref="AS26:AY33" si="0">(100*(E26-Z26))/Z26</f>
        <v>0</v>
      </c>
      <c r="AT26" s="90">
        <f t="shared" si="0"/>
        <v>0</v>
      </c>
      <c r="AU26" s="90">
        <f t="shared" si="0"/>
        <v>0</v>
      </c>
      <c r="AV26" s="90">
        <f t="shared" si="0"/>
        <v>5.122714628905743E-4</v>
      </c>
      <c r="AW26" s="90">
        <f t="shared" si="0"/>
        <v>0</v>
      </c>
      <c r="AX26" s="90">
        <f t="shared" si="0"/>
        <v>2.9106319564294438E-4</v>
      </c>
      <c r="AY26" s="233">
        <f t="shared" si="0"/>
        <v>9.5493046514662959E-5</v>
      </c>
      <c r="AZ26" s="216">
        <f>(100*(L26-AG26))/AG26</f>
        <v>0</v>
      </c>
      <c r="BA26" s="90">
        <f>(100*(M26-AH26))/AH26</f>
        <v>-2.080440927367468E-5</v>
      </c>
      <c r="BB26" s="90">
        <f t="shared" ref="BB26:BG33" si="1">(100*(N26-AI26))/AI26</f>
        <v>0</v>
      </c>
      <c r="BC26" s="90">
        <f t="shared" si="1"/>
        <v>0</v>
      </c>
      <c r="BD26" s="90">
        <f t="shared" si="1"/>
        <v>0</v>
      </c>
      <c r="BE26" s="90">
        <f t="shared" si="1"/>
        <v>1.1828790091757607E-4</v>
      </c>
      <c r="BF26" s="90">
        <f t="shared" si="1"/>
        <v>0</v>
      </c>
      <c r="BG26" s="90">
        <f t="shared" si="1"/>
        <v>2.0804413554657315E-5</v>
      </c>
      <c r="BH26" s="229">
        <f>(100*(T26-AO26))/AO26</f>
        <v>0</v>
      </c>
    </row>
    <row r="27" spans="1:60" x14ac:dyDescent="0.25">
      <c r="A27" s="118">
        <v>154</v>
      </c>
      <c r="B27" s="119">
        <v>77</v>
      </c>
      <c r="C27" s="379" t="s">
        <v>5</v>
      </c>
      <c r="D27" s="118">
        <v>14746.4</v>
      </c>
      <c r="E27" s="1">
        <v>483.80500000000001</v>
      </c>
      <c r="F27" s="1">
        <v>5805.66</v>
      </c>
      <c r="G27" s="1">
        <v>147.464</v>
      </c>
      <c r="H27" s="1">
        <v>9.1629799999999997E-2</v>
      </c>
      <c r="I27" s="1">
        <v>147464</v>
      </c>
      <c r="J27" s="1">
        <v>161.268</v>
      </c>
      <c r="K27" s="119">
        <v>147463846</v>
      </c>
      <c r="L27" s="310">
        <v>1730458739</v>
      </c>
      <c r="M27" s="246">
        <v>17304587</v>
      </c>
      <c r="N27" s="57">
        <v>173046</v>
      </c>
      <c r="O27" s="57">
        <v>1730.46</v>
      </c>
      <c r="P27" s="57">
        <v>2682216</v>
      </c>
      <c r="Q27" s="57">
        <v>18626.5</v>
      </c>
      <c r="R27" s="391">
        <v>17.304600000000001</v>
      </c>
      <c r="S27" s="390">
        <v>0.17304600000000001</v>
      </c>
      <c r="T27" s="386">
        <v>0.42760599999999999</v>
      </c>
      <c r="U27" s="143">
        <v>2</v>
      </c>
      <c r="V27" s="15">
        <v>154</v>
      </c>
      <c r="W27" s="16">
        <v>77</v>
      </c>
      <c r="X27" s="19" t="s">
        <v>5</v>
      </c>
      <c r="Y27" s="15">
        <v>14746.4</v>
      </c>
      <c r="Z27" s="2">
        <f>2*PI()*W27</f>
        <v>483.80526865282815</v>
      </c>
      <c r="AA27" s="2">
        <v>5805.66</v>
      </c>
      <c r="AB27" s="2">
        <v>147.464</v>
      </c>
      <c r="AC27" s="2">
        <v>9.1629699999999994E-2</v>
      </c>
      <c r="AD27" s="2">
        <v>147464</v>
      </c>
      <c r="AE27" s="2">
        <v>161.268</v>
      </c>
      <c r="AF27" s="16">
        <v>147463764</v>
      </c>
      <c r="AG27" s="15">
        <v>1730458475</v>
      </c>
      <c r="AH27" s="2">
        <v>17304585</v>
      </c>
      <c r="AI27" s="2">
        <v>173046</v>
      </c>
      <c r="AJ27" s="2">
        <v>1730.46</v>
      </c>
      <c r="AK27" s="2">
        <v>2682216</v>
      </c>
      <c r="AL27" s="2">
        <f>PI()*W27^2</f>
        <v>18626.502843133883</v>
      </c>
      <c r="AM27" s="2">
        <v>17.304600000000001</v>
      </c>
      <c r="AN27" s="342">
        <v>0.17304600000000001</v>
      </c>
      <c r="AO27" s="42">
        <v>0.42760599999999999</v>
      </c>
      <c r="AP27" s="238" t="s">
        <v>5</v>
      </c>
      <c r="AQ27" s="658">
        <f t="shared" ref="AQ27:AQ33" si="2">(100*(B27-W27))/W27</f>
        <v>0</v>
      </c>
      <c r="AR27" s="217">
        <f t="shared" ref="AR27:AR33" si="3">(100*(D27-Y27))/Y27</f>
        <v>0</v>
      </c>
      <c r="AS27" s="73">
        <f t="shared" si="0"/>
        <v>-5.5529124122236337E-5</v>
      </c>
      <c r="AT27" s="73">
        <f t="shared" si="0"/>
        <v>0</v>
      </c>
      <c r="AU27" s="73">
        <f t="shared" si="0"/>
        <v>0</v>
      </c>
      <c r="AV27" s="73">
        <f t="shared" si="0"/>
        <v>1.0913492023096832E-4</v>
      </c>
      <c r="AW27" s="73">
        <f t="shared" si="0"/>
        <v>0</v>
      </c>
      <c r="AX27" s="73">
        <f t="shared" si="0"/>
        <v>0</v>
      </c>
      <c r="AY27" s="234">
        <f t="shared" si="0"/>
        <v>5.5606881158953734E-5</v>
      </c>
      <c r="AZ27" s="217">
        <f t="shared" ref="AZ27:AZ33" si="4">(100*(L27-AG27))/AG27</f>
        <v>1.5256072527253218E-5</v>
      </c>
      <c r="BA27" s="73">
        <f t="shared" ref="BA27:BA33" si="5">(100*(M27-AH27))/AH27</f>
        <v>1.1557630535491027E-5</v>
      </c>
      <c r="BB27" s="73">
        <f t="shared" si="1"/>
        <v>0</v>
      </c>
      <c r="BC27" s="73">
        <f t="shared" si="1"/>
        <v>0</v>
      </c>
      <c r="BD27" s="73">
        <f t="shared" si="1"/>
        <v>0</v>
      </c>
      <c r="BE27" s="73">
        <f t="shared" si="1"/>
        <v>-1.5263916727862132E-5</v>
      </c>
      <c r="BF27" s="73">
        <f t="shared" si="1"/>
        <v>0</v>
      </c>
      <c r="BG27" s="73">
        <f t="shared" si="1"/>
        <v>0</v>
      </c>
      <c r="BH27" s="230">
        <f t="shared" ref="BH27:BH33" si="6">(100*(T27-AO27))/AO27</f>
        <v>0</v>
      </c>
    </row>
    <row r="28" spans="1:60" x14ac:dyDescent="0.25">
      <c r="A28" s="118">
        <v>84</v>
      </c>
      <c r="B28" s="119">
        <v>42</v>
      </c>
      <c r="C28" s="379" t="s">
        <v>8</v>
      </c>
      <c r="D28" s="118">
        <v>670.29</v>
      </c>
      <c r="E28" s="1">
        <v>21.991099999999999</v>
      </c>
      <c r="F28" s="1">
        <v>263.89400000000001</v>
      </c>
      <c r="G28" s="1">
        <v>6.7028999999999996</v>
      </c>
      <c r="H28" s="1">
        <v>4.1649900000000004E-3</v>
      </c>
      <c r="I28" s="1">
        <v>6702.9</v>
      </c>
      <c r="J28" s="1">
        <v>7.3303799999999999</v>
      </c>
      <c r="K28" s="119">
        <v>6702902</v>
      </c>
      <c r="L28" s="118">
        <v>3575328</v>
      </c>
      <c r="M28" s="1">
        <v>35753.300000000003</v>
      </c>
      <c r="N28" s="1">
        <v>357.53300000000002</v>
      </c>
      <c r="O28" s="1">
        <v>3.5753300000000001</v>
      </c>
      <c r="P28" s="1">
        <v>5541.77</v>
      </c>
      <c r="Q28" s="1">
        <v>38.484499999999997</v>
      </c>
      <c r="R28" s="78">
        <v>3.5753300000000002E-2</v>
      </c>
      <c r="S28" s="316">
        <v>3.5753299999999999E-4</v>
      </c>
      <c r="T28" s="387">
        <v>8.8348300000000001E-4</v>
      </c>
      <c r="U28" s="143">
        <v>3</v>
      </c>
      <c r="V28" s="15">
        <v>84</v>
      </c>
      <c r="W28" s="16">
        <v>42</v>
      </c>
      <c r="X28" s="19" t="s">
        <v>8</v>
      </c>
      <c r="Y28" s="15">
        <v>670.29100000000005</v>
      </c>
      <c r="Z28" s="2">
        <v>21.991199999999999</v>
      </c>
      <c r="AA28" s="2">
        <f>2*PI()*W28</f>
        <v>263.89378290154264</v>
      </c>
      <c r="AB28" s="2">
        <v>6.7029100000000001</v>
      </c>
      <c r="AC28" s="2">
        <v>4.1649900000000004E-3</v>
      </c>
      <c r="AD28" s="2">
        <v>6702.91</v>
      </c>
      <c r="AE28" s="2">
        <v>7.3303900000000004</v>
      </c>
      <c r="AF28" s="16">
        <v>6702908</v>
      </c>
      <c r="AG28" s="27">
        <v>3575328</v>
      </c>
      <c r="AH28" s="26">
        <v>35753.300000000003</v>
      </c>
      <c r="AI28" s="2">
        <v>357.53300000000002</v>
      </c>
      <c r="AJ28" s="2">
        <v>3.5753300000000001</v>
      </c>
      <c r="AK28" s="2">
        <f>PI()*W28^2</f>
        <v>5541.7694409323949</v>
      </c>
      <c r="AL28" s="2">
        <v>38.484499999999997</v>
      </c>
      <c r="AM28" s="342">
        <v>3.5753300000000002E-2</v>
      </c>
      <c r="AN28" s="302">
        <v>3.5753299999999999E-4</v>
      </c>
      <c r="AO28" s="188">
        <v>8.8348300000000001E-4</v>
      </c>
      <c r="AP28" s="238" t="s">
        <v>8</v>
      </c>
      <c r="AQ28" s="658">
        <f t="shared" si="2"/>
        <v>0</v>
      </c>
      <c r="AR28" s="217">
        <f t="shared" si="3"/>
        <v>-1.4918893437179372E-4</v>
      </c>
      <c r="AS28" s="73">
        <f t="shared" si="0"/>
        <v>-4.5472734548258827E-4</v>
      </c>
      <c r="AT28" s="73">
        <f t="shared" si="0"/>
        <v>8.226736339995572E-5</v>
      </c>
      <c r="AU28" s="73">
        <f t="shared" si="0"/>
        <v>-1.4918893436596345E-4</v>
      </c>
      <c r="AV28" s="73">
        <f t="shared" si="0"/>
        <v>0</v>
      </c>
      <c r="AW28" s="73">
        <f t="shared" si="0"/>
        <v>-1.4918893436161726E-4</v>
      </c>
      <c r="AX28" s="73">
        <f t="shared" si="0"/>
        <v>-1.3641838975156302E-4</v>
      </c>
      <c r="AY28" s="234">
        <f t="shared" si="0"/>
        <v>-8.951338732383019E-5</v>
      </c>
      <c r="AZ28" s="217">
        <f t="shared" si="4"/>
        <v>0</v>
      </c>
      <c r="BA28" s="73">
        <f t="shared" si="5"/>
        <v>0</v>
      </c>
      <c r="BB28" s="73">
        <f t="shared" si="1"/>
        <v>0</v>
      </c>
      <c r="BC28" s="73">
        <f t="shared" si="1"/>
        <v>0</v>
      </c>
      <c r="BD28" s="73">
        <f t="shared" si="1"/>
        <v>1.0088250900640032E-5</v>
      </c>
      <c r="BE28" s="73">
        <f t="shared" si="1"/>
        <v>0</v>
      </c>
      <c r="BF28" s="73">
        <f t="shared" si="1"/>
        <v>0</v>
      </c>
      <c r="BG28" s="73">
        <f t="shared" si="1"/>
        <v>0</v>
      </c>
      <c r="BH28" s="230">
        <f t="shared" si="6"/>
        <v>0</v>
      </c>
    </row>
    <row r="29" spans="1:60" x14ac:dyDescent="0.25">
      <c r="A29" s="118">
        <v>110.879997</v>
      </c>
      <c r="B29" s="119">
        <v>55.439999</v>
      </c>
      <c r="C29" s="379" t="s">
        <v>4</v>
      </c>
      <c r="D29" s="118">
        <v>34834</v>
      </c>
      <c r="E29" s="1">
        <v>1142.8499999999999</v>
      </c>
      <c r="F29" s="1">
        <v>13714.2</v>
      </c>
      <c r="G29" s="1">
        <v>348.34</v>
      </c>
      <c r="H29" s="1">
        <v>0.216448</v>
      </c>
      <c r="I29" s="1">
        <v>348340</v>
      </c>
      <c r="J29" s="1">
        <v>380.94900000000001</v>
      </c>
      <c r="K29" s="119">
        <v>348339784</v>
      </c>
      <c r="L29" s="118">
        <v>9655978551</v>
      </c>
      <c r="M29" s="1">
        <v>96559786</v>
      </c>
      <c r="N29" s="1">
        <v>965598</v>
      </c>
      <c r="O29" s="1">
        <v>9655.98</v>
      </c>
      <c r="P29" s="1">
        <v>14966797</v>
      </c>
      <c r="Q29" s="1">
        <v>103936</v>
      </c>
      <c r="R29" s="1">
        <v>96.559799999999996</v>
      </c>
      <c r="S29" s="1">
        <v>0.96559799999999996</v>
      </c>
      <c r="T29" s="119">
        <v>2.3860399999999999</v>
      </c>
      <c r="U29" s="143">
        <v>4</v>
      </c>
      <c r="V29" s="15">
        <v>110.879997</v>
      </c>
      <c r="W29" s="16">
        <v>55.439999</v>
      </c>
      <c r="X29" s="19" t="s">
        <v>4</v>
      </c>
      <c r="Y29" s="15">
        <v>34834</v>
      </c>
      <c r="Z29" s="2">
        <v>1142.8499999999999</v>
      </c>
      <c r="AA29" s="2">
        <v>13714.2</v>
      </c>
      <c r="AB29" s="2">
        <f>2*PI()*W29</f>
        <v>348.33978714685094</v>
      </c>
      <c r="AC29" s="2">
        <v>0.216448</v>
      </c>
      <c r="AD29" s="2">
        <v>348340</v>
      </c>
      <c r="AE29" s="2">
        <v>380.94900000000001</v>
      </c>
      <c r="AF29" s="16">
        <v>348340000</v>
      </c>
      <c r="AG29" s="15">
        <v>9655980000</v>
      </c>
      <c r="AH29" s="2">
        <v>96559800</v>
      </c>
      <c r="AI29" s="2">
        <v>965598</v>
      </c>
      <c r="AJ29" s="2">
        <f>PI()*W29^2</f>
        <v>9655.9787255408137</v>
      </c>
      <c r="AK29" s="2">
        <v>14966799</v>
      </c>
      <c r="AL29" s="2">
        <v>103936</v>
      </c>
      <c r="AM29" s="2">
        <v>96.559799999999996</v>
      </c>
      <c r="AN29" s="2">
        <v>0.96559799999999996</v>
      </c>
      <c r="AO29" s="42">
        <v>2.3860399999999999</v>
      </c>
      <c r="AP29" s="238" t="s">
        <v>4</v>
      </c>
      <c r="AQ29" s="658">
        <f t="shared" si="2"/>
        <v>0</v>
      </c>
      <c r="AR29" s="217">
        <f t="shared" si="3"/>
        <v>0</v>
      </c>
      <c r="AS29" s="73">
        <f t="shared" si="0"/>
        <v>0</v>
      </c>
      <c r="AT29" s="73">
        <f t="shared" si="0"/>
        <v>0</v>
      </c>
      <c r="AU29" s="73">
        <f t="shared" si="0"/>
        <v>6.1105035052266366E-5</v>
      </c>
      <c r="AV29" s="73">
        <f t="shared" si="0"/>
        <v>0</v>
      </c>
      <c r="AW29" s="73">
        <f t="shared" si="0"/>
        <v>0</v>
      </c>
      <c r="AX29" s="73">
        <f t="shared" si="0"/>
        <v>0</v>
      </c>
      <c r="AY29" s="234">
        <f t="shared" si="0"/>
        <v>-6.2008382614686794E-5</v>
      </c>
      <c r="AZ29" s="217">
        <f t="shared" si="4"/>
        <v>-1.5006244834807032E-5</v>
      </c>
      <c r="BA29" s="73">
        <f t="shared" si="5"/>
        <v>-1.4498787280006794E-5</v>
      </c>
      <c r="BB29" s="73">
        <f t="shared" si="1"/>
        <v>0</v>
      </c>
      <c r="BC29" s="73">
        <f t="shared" si="1"/>
        <v>1.3198653622838375E-5</v>
      </c>
      <c r="BD29" s="73">
        <f t="shared" si="1"/>
        <v>-1.336291080009827E-5</v>
      </c>
      <c r="BE29" s="73">
        <f t="shared" si="1"/>
        <v>0</v>
      </c>
      <c r="BF29" s="73">
        <f t="shared" si="1"/>
        <v>0</v>
      </c>
      <c r="BG29" s="73">
        <f t="shared" si="1"/>
        <v>0</v>
      </c>
      <c r="BH29" s="230">
        <f t="shared" si="6"/>
        <v>0</v>
      </c>
    </row>
    <row r="30" spans="1:60" x14ac:dyDescent="0.25">
      <c r="A30" s="118">
        <v>55.439999</v>
      </c>
      <c r="B30" s="119">
        <v>27.719999000000001</v>
      </c>
      <c r="C30" s="379" t="s">
        <v>10</v>
      </c>
      <c r="D30" s="120">
        <v>28029927</v>
      </c>
      <c r="E30" s="1">
        <v>919617</v>
      </c>
      <c r="F30" s="1">
        <v>11035404</v>
      </c>
      <c r="G30" s="1">
        <v>280299</v>
      </c>
      <c r="H30" s="1">
        <v>174.17</v>
      </c>
      <c r="I30" s="1">
        <v>280299273</v>
      </c>
      <c r="J30" s="1">
        <v>306539</v>
      </c>
      <c r="K30" s="164">
        <v>280299273203</v>
      </c>
      <c r="L30" s="120">
        <v>6252217523202020</v>
      </c>
      <c r="M30" s="59">
        <v>62522175232020</v>
      </c>
      <c r="N30" s="59">
        <v>625221752320</v>
      </c>
      <c r="O30" s="1">
        <v>6252217523</v>
      </c>
      <c r="P30" s="59">
        <v>9690956542876</v>
      </c>
      <c r="Q30" s="1">
        <v>67298309326</v>
      </c>
      <c r="R30" s="1">
        <v>62522175</v>
      </c>
      <c r="S30" s="1">
        <v>625222</v>
      </c>
      <c r="T30" s="119">
        <v>1544957</v>
      </c>
      <c r="U30" s="143">
        <v>5</v>
      </c>
      <c r="V30" s="15">
        <v>55.439999</v>
      </c>
      <c r="W30" s="16">
        <v>27.719999000000001</v>
      </c>
      <c r="X30" s="19" t="s">
        <v>10</v>
      </c>
      <c r="Y30" s="15">
        <v>28029944</v>
      </c>
      <c r="Z30" s="2">
        <v>919618</v>
      </c>
      <c r="AA30" s="2">
        <v>11035411</v>
      </c>
      <c r="AB30" s="2">
        <v>280299</v>
      </c>
      <c r="AC30" s="2">
        <f>2*PI()*W30</f>
        <v>174.16989043183284</v>
      </c>
      <c r="AD30" s="2">
        <v>280299444</v>
      </c>
      <c r="AE30" s="2">
        <v>306539</v>
      </c>
      <c r="AF30" s="185">
        <v>280299444480</v>
      </c>
      <c r="AG30" s="28">
        <v>6252217298000000</v>
      </c>
      <c r="AH30" s="29">
        <v>62522172980000</v>
      </c>
      <c r="AI30" s="29">
        <v>625221729800</v>
      </c>
      <c r="AJ30" s="2">
        <f>PI()*W30^2*1609.344*1609.344</f>
        <v>6252217297.6530447</v>
      </c>
      <c r="AK30" s="29">
        <v>9690956193812</v>
      </c>
      <c r="AL30" s="2">
        <v>67298306901</v>
      </c>
      <c r="AM30" s="2">
        <v>62522173</v>
      </c>
      <c r="AN30" s="2">
        <v>625222</v>
      </c>
      <c r="AO30" s="42">
        <v>1544957</v>
      </c>
      <c r="AP30" s="238" t="s">
        <v>10</v>
      </c>
      <c r="AQ30" s="658">
        <f t="shared" si="2"/>
        <v>0</v>
      </c>
      <c r="AR30" s="217">
        <f t="shared" si="3"/>
        <v>-6.0649425485830442E-5</v>
      </c>
      <c r="AS30" s="73">
        <f t="shared" si="0"/>
        <v>-1.0874080324656542E-4</v>
      </c>
      <c r="AT30" s="73">
        <f t="shared" si="0"/>
        <v>-6.3432163967431753E-5</v>
      </c>
      <c r="AU30" s="73">
        <f t="shared" si="0"/>
        <v>0</v>
      </c>
      <c r="AV30" s="73">
        <f t="shared" si="0"/>
        <v>6.2908788008985946E-5</v>
      </c>
      <c r="AW30" s="73">
        <f t="shared" si="0"/>
        <v>-6.1006185941631766E-5</v>
      </c>
      <c r="AX30" s="73">
        <f t="shared" si="0"/>
        <v>0</v>
      </c>
      <c r="AY30" s="234">
        <f t="shared" si="0"/>
        <v>-6.1105008722991247E-5</v>
      </c>
      <c r="AZ30" s="217">
        <f t="shared" si="4"/>
        <v>3.6019544629717058E-6</v>
      </c>
      <c r="BA30" s="73">
        <f t="shared" si="5"/>
        <v>3.6019541430851914E-6</v>
      </c>
      <c r="BB30" s="73">
        <f t="shared" si="1"/>
        <v>3.6019221544337311E-6</v>
      </c>
      <c r="BC30" s="73">
        <f t="shared" si="1"/>
        <v>3.6042726055597604E-6</v>
      </c>
      <c r="BD30" s="73">
        <f t="shared" si="1"/>
        <v>3.6019562261863183E-6</v>
      </c>
      <c r="BE30" s="73">
        <f t="shared" si="1"/>
        <v>3.603359596501181E-6</v>
      </c>
      <c r="BF30" s="73">
        <f t="shared" si="1"/>
        <v>3.1988651450102352E-6</v>
      </c>
      <c r="BG30" s="73">
        <f t="shared" si="1"/>
        <v>0</v>
      </c>
      <c r="BH30" s="230">
        <f t="shared" si="6"/>
        <v>0</v>
      </c>
    </row>
    <row r="31" spans="1:60" x14ac:dyDescent="0.25">
      <c r="A31" s="118">
        <v>38.807999000000002</v>
      </c>
      <c r="B31" s="119">
        <v>19.403998999999999</v>
      </c>
      <c r="C31" s="379" t="s">
        <v>6</v>
      </c>
      <c r="D31" s="118">
        <v>12.1919</v>
      </c>
      <c r="E31" s="1">
        <v>0.39999600000000002</v>
      </c>
      <c r="F31" s="1">
        <v>4.7999599999999996</v>
      </c>
      <c r="G31" s="1">
        <v>0.121919</v>
      </c>
      <c r="H31" s="49">
        <v>7.5756907509469696E-5</v>
      </c>
      <c r="I31" s="1">
        <v>121.919</v>
      </c>
      <c r="J31" s="1">
        <v>0.13333200000000001</v>
      </c>
      <c r="K31" s="119">
        <v>121919</v>
      </c>
      <c r="L31" s="127">
        <v>1182.8599999999999</v>
      </c>
      <c r="M31" s="347">
        <v>11.8286</v>
      </c>
      <c r="N31" s="315">
        <v>0.118286</v>
      </c>
      <c r="O31" s="50">
        <v>1.18286E-3</v>
      </c>
      <c r="P31" s="348">
        <v>1.8334299999999999</v>
      </c>
      <c r="Q31" s="78">
        <v>1.2732200000000001E-2</v>
      </c>
      <c r="R31" s="49">
        <v>1.18285737559091E-5</v>
      </c>
      <c r="S31" s="58">
        <v>1.18285737559091E-7</v>
      </c>
      <c r="T31" s="388">
        <v>2.9229042301664201E-7</v>
      </c>
      <c r="U31" s="143">
        <v>6</v>
      </c>
      <c r="V31" s="15">
        <v>38.807999000000002</v>
      </c>
      <c r="W31" s="16">
        <v>19.403998999999999</v>
      </c>
      <c r="X31" s="19" t="s">
        <v>6</v>
      </c>
      <c r="Y31" s="15">
        <v>12.1919</v>
      </c>
      <c r="Z31" s="2">
        <v>0.39999699999999999</v>
      </c>
      <c r="AA31" s="2">
        <v>4.7999599999999996</v>
      </c>
      <c r="AB31" s="2">
        <v>0.121919</v>
      </c>
      <c r="AC31" s="33">
        <v>7.5756954386383505E-5</v>
      </c>
      <c r="AD31" s="2">
        <f>2*PI()*W31</f>
        <v>121.91892141732738</v>
      </c>
      <c r="AE31" s="2">
        <v>0.13333200000000001</v>
      </c>
      <c r="AF31" s="16">
        <v>121919</v>
      </c>
      <c r="AG31" s="15">
        <f>PI()*W31^2</f>
        <v>1182.8573146314495</v>
      </c>
      <c r="AH31" s="2">
        <v>11.8286</v>
      </c>
      <c r="AI31" s="2">
        <v>0.118286</v>
      </c>
      <c r="AJ31" s="23">
        <v>1.18286E-3</v>
      </c>
      <c r="AK31" s="2">
        <v>1.83344</v>
      </c>
      <c r="AL31" s="342">
        <v>1.2732200000000001E-2</v>
      </c>
      <c r="AM31" s="323">
        <v>1.1828600000000001E-5</v>
      </c>
      <c r="AN31" s="360">
        <v>1.18286E-7</v>
      </c>
      <c r="AO31" s="385">
        <v>2.9229107152225097E-7</v>
      </c>
      <c r="AP31" s="238" t="s">
        <v>6</v>
      </c>
      <c r="AQ31" s="658">
        <f t="shared" si="2"/>
        <v>0</v>
      </c>
      <c r="AR31" s="217">
        <f t="shared" si="3"/>
        <v>0</v>
      </c>
      <c r="AS31" s="73">
        <f t="shared" si="0"/>
        <v>-2.5000187500737371E-4</v>
      </c>
      <c r="AT31" s="73">
        <f t="shared" si="0"/>
        <v>0</v>
      </c>
      <c r="AU31" s="73">
        <f t="shared" si="0"/>
        <v>0</v>
      </c>
      <c r="AV31" s="73">
        <f t="shared" si="0"/>
        <v>-6.1878033757687014E-5</v>
      </c>
      <c r="AW31" s="73">
        <f t="shared" si="0"/>
        <v>6.4454862051653602E-5</v>
      </c>
      <c r="AX31" s="73">
        <f t="shared" si="0"/>
        <v>0</v>
      </c>
      <c r="AY31" s="234">
        <f t="shared" si="0"/>
        <v>0</v>
      </c>
      <c r="AZ31" s="217">
        <f t="shared" si="4"/>
        <v>2.2702387829511974E-4</v>
      </c>
      <c r="BA31" s="73">
        <f t="shared" si="5"/>
        <v>0</v>
      </c>
      <c r="BB31" s="73">
        <f t="shared" si="1"/>
        <v>0</v>
      </c>
      <c r="BC31" s="73">
        <f t="shared" si="1"/>
        <v>0</v>
      </c>
      <c r="BD31" s="73">
        <f t="shared" si="1"/>
        <v>-5.4542281176725243E-4</v>
      </c>
      <c r="BE31" s="73">
        <f t="shared" si="1"/>
        <v>0</v>
      </c>
      <c r="BF31" s="73">
        <f t="shared" si="1"/>
        <v>-2.2186979777908211E-4</v>
      </c>
      <c r="BG31" s="73">
        <f t="shared" si="1"/>
        <v>-2.2186979778579543E-4</v>
      </c>
      <c r="BH31" s="230">
        <f t="shared" si="6"/>
        <v>-2.2186979766161571E-4</v>
      </c>
    </row>
    <row r="32" spans="1:60" x14ac:dyDescent="0.25">
      <c r="A32" s="118">
        <v>24.837118</v>
      </c>
      <c r="B32" s="119">
        <v>12.418559</v>
      </c>
      <c r="C32" s="379" t="s">
        <v>7</v>
      </c>
      <c r="D32" s="118">
        <v>7134.89</v>
      </c>
      <c r="E32" s="1">
        <v>234.084</v>
      </c>
      <c r="F32" s="1">
        <v>2809.01</v>
      </c>
      <c r="G32" s="1">
        <v>71.3489</v>
      </c>
      <c r="H32" s="1">
        <v>4.4334199999999997E-2</v>
      </c>
      <c r="I32" s="1">
        <v>71348.899999999994</v>
      </c>
      <c r="J32" s="1">
        <v>78.028099999999995</v>
      </c>
      <c r="K32" s="119">
        <v>71348901</v>
      </c>
      <c r="L32" s="118">
        <v>405102308</v>
      </c>
      <c r="M32" s="1">
        <v>4051023</v>
      </c>
      <c r="N32" s="1">
        <v>40510.199999999997</v>
      </c>
      <c r="O32" s="1">
        <v>405.10199999999998</v>
      </c>
      <c r="P32" s="1">
        <v>627910</v>
      </c>
      <c r="Q32" s="1">
        <v>4360.4799999999996</v>
      </c>
      <c r="R32" s="1">
        <v>4.0510200000000003</v>
      </c>
      <c r="S32" s="1">
        <v>4.0510200000000003E-2</v>
      </c>
      <c r="T32" s="119">
        <v>0.100103</v>
      </c>
      <c r="U32" s="143">
        <v>7</v>
      </c>
      <c r="V32" s="15">
        <v>24.837118</v>
      </c>
      <c r="W32" s="16">
        <v>12.418559</v>
      </c>
      <c r="X32" s="19" t="s">
        <v>7</v>
      </c>
      <c r="Y32" s="15">
        <v>7134.89</v>
      </c>
      <c r="Z32" s="2">
        <v>234.084</v>
      </c>
      <c r="AA32" s="2">
        <v>2809.01</v>
      </c>
      <c r="AB32" s="2">
        <v>71.3489</v>
      </c>
      <c r="AC32" s="2">
        <v>4.4334100000000001E-2</v>
      </c>
      <c r="AD32" s="2">
        <v>71348.899999999994</v>
      </c>
      <c r="AE32" s="2">
        <f>2*PI()*W32</f>
        <v>78.028107445142822</v>
      </c>
      <c r="AF32" s="16">
        <v>71348895</v>
      </c>
      <c r="AG32" s="15">
        <v>405102000</v>
      </c>
      <c r="AH32" s="2">
        <v>4051020</v>
      </c>
      <c r="AI32" s="2">
        <v>40510.199999999997</v>
      </c>
      <c r="AJ32" s="2">
        <f>PI()*W32^2*0.9144*0.9144</f>
        <v>405.1023079007752</v>
      </c>
      <c r="AK32" s="2">
        <v>627909</v>
      </c>
      <c r="AL32" s="2">
        <v>4360.4799999999996</v>
      </c>
      <c r="AM32" s="2">
        <v>4.0510200000000003</v>
      </c>
      <c r="AN32" s="2">
        <v>4.0510200000000003E-2</v>
      </c>
      <c r="AO32" s="42">
        <v>0.100103</v>
      </c>
      <c r="AP32" s="238" t="s">
        <v>7</v>
      </c>
      <c r="AQ32" s="658">
        <f t="shared" si="2"/>
        <v>0</v>
      </c>
      <c r="AR32" s="217">
        <f t="shared" si="3"/>
        <v>0</v>
      </c>
      <c r="AS32" s="73">
        <f t="shared" si="0"/>
        <v>0</v>
      </c>
      <c r="AT32" s="73">
        <f t="shared" si="0"/>
        <v>0</v>
      </c>
      <c r="AU32" s="73">
        <f t="shared" si="0"/>
        <v>0</v>
      </c>
      <c r="AV32" s="73">
        <f t="shared" si="0"/>
        <v>2.2556000910345912E-4</v>
      </c>
      <c r="AW32" s="73">
        <f t="shared" si="0"/>
        <v>0</v>
      </c>
      <c r="AX32" s="73">
        <f t="shared" si="0"/>
        <v>-9.5416165678658454E-6</v>
      </c>
      <c r="AY32" s="234">
        <f t="shared" si="0"/>
        <v>8.4093804115676913E-6</v>
      </c>
      <c r="AZ32" s="217">
        <f t="shared" si="4"/>
        <v>7.6030234360728905E-5</v>
      </c>
      <c r="BA32" s="73">
        <f t="shared" si="5"/>
        <v>7.4055423078632046E-5</v>
      </c>
      <c r="BB32" s="73">
        <f t="shared" si="1"/>
        <v>0</v>
      </c>
      <c r="BC32" s="73">
        <f t="shared" si="1"/>
        <v>-7.6005682816712231E-5</v>
      </c>
      <c r="BD32" s="73">
        <f t="shared" si="1"/>
        <v>1.5925874609218853E-4</v>
      </c>
      <c r="BE32" s="73">
        <f t="shared" si="1"/>
        <v>0</v>
      </c>
      <c r="BF32" s="73">
        <f t="shared" si="1"/>
        <v>0</v>
      </c>
      <c r="BG32" s="73">
        <f t="shared" si="1"/>
        <v>0</v>
      </c>
      <c r="BH32" s="230">
        <f t="shared" si="6"/>
        <v>0</v>
      </c>
    </row>
    <row r="33" spans="1:60" ht="15.75" thickBot="1" x14ac:dyDescent="0.3">
      <c r="A33" s="121">
        <v>620.92999999999995</v>
      </c>
      <c r="B33" s="122">
        <v>310.45999999999998</v>
      </c>
      <c r="C33" s="380" t="s">
        <v>20</v>
      </c>
      <c r="D33" s="121">
        <v>0.19507099999999999</v>
      </c>
      <c r="E33" s="335">
        <v>6.3999599999999997E-3</v>
      </c>
      <c r="F33" s="55">
        <v>7.6799599999999996E-2</v>
      </c>
      <c r="G33" s="335">
        <v>1.95071E-3</v>
      </c>
      <c r="H33" s="333">
        <v>1.21211445557538E-6</v>
      </c>
      <c r="I33" s="366">
        <v>1.9507099999999999</v>
      </c>
      <c r="J33" s="335">
        <v>2.1333200000000002E-3</v>
      </c>
      <c r="K33" s="122">
        <v>1950.71</v>
      </c>
      <c r="L33" s="334">
        <v>0.302813</v>
      </c>
      <c r="M33" s="335">
        <v>3.02813E-3</v>
      </c>
      <c r="N33" s="64">
        <v>3.0281345446288101E-5</v>
      </c>
      <c r="O33" s="69">
        <v>3.0281345446288099E-7</v>
      </c>
      <c r="P33" s="329">
        <v>4.6936200000000002E-4</v>
      </c>
      <c r="Q33" s="333">
        <v>3.25945689681286E-6</v>
      </c>
      <c r="R33" s="65">
        <v>3.02813454462881E-9</v>
      </c>
      <c r="S33" s="71">
        <v>3.0281345446288102E-11</v>
      </c>
      <c r="T33" s="389">
        <v>7.4826834178440199E-11</v>
      </c>
      <c r="U33" s="144">
        <v>8</v>
      </c>
      <c r="V33" s="17">
        <v>620.92999999999995</v>
      </c>
      <c r="W33" s="10">
        <v>310.45999999999998</v>
      </c>
      <c r="X33" s="20" t="s">
        <v>20</v>
      </c>
      <c r="Y33" s="17">
        <v>0.19506799999999999</v>
      </c>
      <c r="Z33" s="357">
        <v>6.3998700000000002E-3</v>
      </c>
      <c r="AA33" s="9">
        <v>7.6798400000000003E-2</v>
      </c>
      <c r="AB33" s="357">
        <v>1.95068E-3</v>
      </c>
      <c r="AC33" s="203">
        <v>1.2120963572735201E-6</v>
      </c>
      <c r="AD33" s="9">
        <v>1.95068</v>
      </c>
      <c r="AE33" s="357">
        <v>2.1332899999999999E-3</v>
      </c>
      <c r="AF33" s="10">
        <f>2*PI()*W33</f>
        <v>1950.6777104669743</v>
      </c>
      <c r="AG33" s="17">
        <f>PI()*W33^2/1000/1000</f>
        <v>0.30280370099578841</v>
      </c>
      <c r="AH33" s="357">
        <v>3.0280400000000001E-3</v>
      </c>
      <c r="AI33" s="357">
        <v>3.0280399999999999E-5</v>
      </c>
      <c r="AJ33" s="189">
        <v>3.0280399999999999E-7</v>
      </c>
      <c r="AK33" s="318">
        <v>4.69347E-4</v>
      </c>
      <c r="AL33" s="190">
        <v>3.2593551298213698E-6</v>
      </c>
      <c r="AM33" s="190">
        <v>3.0280399999999998E-9</v>
      </c>
      <c r="AN33" s="191">
        <v>3.0280400000000003E-11</v>
      </c>
      <c r="AO33" s="383">
        <v>7.4824497929783499E-11</v>
      </c>
      <c r="AP33" s="239" t="s">
        <v>20</v>
      </c>
      <c r="AQ33" s="659">
        <f t="shared" si="2"/>
        <v>0</v>
      </c>
      <c r="AR33" s="218">
        <f t="shared" si="3"/>
        <v>1.5379252363293828E-3</v>
      </c>
      <c r="AS33" s="97">
        <f t="shared" si="0"/>
        <v>1.4062785650250005E-3</v>
      </c>
      <c r="AT33" s="97">
        <f t="shared" si="0"/>
        <v>1.5625325527522363E-3</v>
      </c>
      <c r="AU33" s="97">
        <f t="shared" si="0"/>
        <v>1.5379252363298273E-3</v>
      </c>
      <c r="AV33" s="97">
        <f t="shared" si="0"/>
        <v>1.4931405206595764E-3</v>
      </c>
      <c r="AW33" s="97">
        <f t="shared" si="0"/>
        <v>1.537925236326537E-3</v>
      </c>
      <c r="AX33" s="97">
        <f t="shared" si="0"/>
        <v>1.4062785650453299E-3</v>
      </c>
      <c r="AY33" s="235">
        <f t="shared" si="0"/>
        <v>1.6552981998242363E-3</v>
      </c>
      <c r="AZ33" s="218">
        <f t="shared" si="4"/>
        <v>3.0709678187595939E-3</v>
      </c>
      <c r="BA33" s="97">
        <f t="shared" si="5"/>
        <v>2.9722196536340071E-3</v>
      </c>
      <c r="BB33" s="97">
        <f t="shared" si="1"/>
        <v>3.122304487729152E-3</v>
      </c>
      <c r="BC33" s="97">
        <f t="shared" si="1"/>
        <v>3.1223044877200612E-3</v>
      </c>
      <c r="BD33" s="97">
        <f t="shared" si="1"/>
        <v>3.1959296639840753E-3</v>
      </c>
      <c r="BE33" s="97">
        <f t="shared" si="1"/>
        <v>3.1223044877536723E-3</v>
      </c>
      <c r="BF33" s="97">
        <f t="shared" si="1"/>
        <v>3.1223044877271636E-3</v>
      </c>
      <c r="BG33" s="97">
        <f t="shared" si="1"/>
        <v>3.12230448771948E-3</v>
      </c>
      <c r="BH33" s="231">
        <f t="shared" si="6"/>
        <v>3.1223044876193943E-3</v>
      </c>
    </row>
    <row r="34" spans="1:60" s="4" customFormat="1" x14ac:dyDescent="0.25"/>
    <row r="35" spans="1:60" x14ac:dyDescent="0.25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25"/>
      <c r="S35" s="625"/>
      <c r="T35" s="625"/>
      <c r="U35" s="625"/>
      <c r="V35" s="625"/>
      <c r="W35" s="625"/>
      <c r="X35" s="625"/>
    </row>
    <row r="36" spans="1:60" x14ac:dyDescent="0.25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25"/>
      <c r="S36" s="625"/>
      <c r="T36" s="625"/>
      <c r="U36" s="625"/>
      <c r="V36" s="625"/>
      <c r="W36" s="625"/>
      <c r="X36" s="625"/>
    </row>
    <row r="37" spans="1:60" ht="18.75" x14ac:dyDescent="0.3">
      <c r="A37" s="625"/>
      <c r="B37" s="625"/>
      <c r="C37" s="632">
        <v>1</v>
      </c>
      <c r="D37" s="625"/>
      <c r="E37" s="625"/>
      <c r="F37" s="625"/>
      <c r="G37" s="635">
        <v>2</v>
      </c>
      <c r="H37" s="625"/>
      <c r="I37" s="625"/>
      <c r="J37" s="635">
        <v>3</v>
      </c>
      <c r="K37" s="625"/>
      <c r="L37" s="632"/>
      <c r="M37" s="633">
        <v>4</v>
      </c>
      <c r="N37" s="633"/>
      <c r="O37" s="633">
        <v>5</v>
      </c>
      <c r="P37" s="632"/>
      <c r="Q37" s="633">
        <v>6</v>
      </c>
      <c r="R37" s="633"/>
      <c r="S37" s="633">
        <v>7</v>
      </c>
      <c r="T37" s="633"/>
      <c r="U37" s="625"/>
      <c r="V37" s="633">
        <v>8</v>
      </c>
      <c r="W37" s="625"/>
      <c r="X37" s="625"/>
    </row>
    <row r="38" spans="1:60" x14ac:dyDescent="0.25">
      <c r="A38" s="625"/>
      <c r="B38" s="625"/>
      <c r="C38" s="625"/>
      <c r="D38" s="625"/>
      <c r="E38" s="625"/>
      <c r="F38" s="625"/>
      <c r="G38" s="625"/>
      <c r="H38" s="625"/>
      <c r="I38" s="625"/>
      <c r="J38" s="625"/>
      <c r="K38" s="625"/>
      <c r="L38" s="625"/>
      <c r="M38" s="625"/>
      <c r="N38" s="625"/>
      <c r="O38" s="625"/>
      <c r="P38" s="625"/>
      <c r="Q38" s="625"/>
      <c r="R38" s="625"/>
      <c r="S38" s="625"/>
      <c r="T38" s="625"/>
      <c r="U38" s="625"/>
      <c r="V38" s="625"/>
      <c r="W38" s="625"/>
      <c r="X38" s="625"/>
    </row>
    <row r="39" spans="1:60" x14ac:dyDescent="0.25">
      <c r="A39" s="625"/>
      <c r="B39" s="625"/>
      <c r="C39" s="625"/>
      <c r="D39" s="625"/>
      <c r="E39" s="625"/>
      <c r="F39" s="625"/>
      <c r="G39" s="625"/>
      <c r="H39" s="625"/>
      <c r="I39" s="625"/>
      <c r="J39" s="625"/>
      <c r="K39" s="625"/>
      <c r="L39" s="625"/>
      <c r="M39" s="625"/>
      <c r="N39" s="625"/>
      <c r="O39" s="625"/>
      <c r="P39" s="625"/>
      <c r="Q39" s="625"/>
      <c r="R39" s="625"/>
      <c r="S39" s="625"/>
      <c r="T39" s="625"/>
      <c r="U39" s="625"/>
      <c r="V39" s="625"/>
      <c r="W39" s="625"/>
      <c r="X39" s="625"/>
    </row>
    <row r="40" spans="1:60" x14ac:dyDescent="0.25">
      <c r="A40" s="625"/>
      <c r="B40" s="625"/>
      <c r="C40" s="625"/>
      <c r="D40" s="625"/>
      <c r="E40" s="625"/>
      <c r="F40" s="625"/>
      <c r="G40" s="625"/>
      <c r="H40" s="625"/>
      <c r="I40" s="625"/>
      <c r="J40" s="625"/>
      <c r="K40" s="625"/>
      <c r="L40" s="625"/>
      <c r="M40" s="625"/>
      <c r="N40" s="625"/>
      <c r="O40" s="625"/>
      <c r="P40" s="625"/>
      <c r="Q40" s="625"/>
      <c r="R40" s="625"/>
      <c r="S40" s="625"/>
      <c r="T40" s="625"/>
      <c r="U40" s="625"/>
      <c r="V40" s="625"/>
      <c r="W40" s="625"/>
      <c r="X40" s="625"/>
    </row>
    <row r="41" spans="1:60" x14ac:dyDescent="0.25">
      <c r="A41" s="625"/>
      <c r="B41" s="625"/>
      <c r="C41" s="625"/>
      <c r="D41" s="625"/>
      <c r="E41" s="625"/>
      <c r="F41" s="625"/>
      <c r="G41" s="625"/>
      <c r="H41" s="625"/>
      <c r="I41" s="625"/>
      <c r="J41" s="625"/>
      <c r="K41" s="625"/>
      <c r="L41" s="625"/>
      <c r="M41" s="625"/>
      <c r="N41" s="625"/>
      <c r="O41" s="625"/>
      <c r="P41" s="625"/>
      <c r="Q41" s="625"/>
      <c r="R41" s="625"/>
      <c r="S41" s="625"/>
      <c r="T41" s="625"/>
      <c r="U41" s="625"/>
      <c r="V41" s="625"/>
      <c r="W41" s="625"/>
      <c r="X41" s="625"/>
    </row>
    <row r="42" spans="1:60" x14ac:dyDescent="0.25">
      <c r="A42" s="625"/>
      <c r="B42" s="625"/>
      <c r="C42" s="625"/>
      <c r="D42" s="625"/>
      <c r="E42" s="625"/>
      <c r="F42" s="625"/>
      <c r="G42" s="625"/>
      <c r="H42" s="625"/>
      <c r="I42" s="625"/>
      <c r="J42" s="625"/>
      <c r="K42" s="625"/>
      <c r="L42" s="625"/>
      <c r="M42" s="625"/>
      <c r="N42" s="625"/>
      <c r="O42" s="625"/>
      <c r="P42" s="625"/>
      <c r="Q42" s="625"/>
      <c r="R42" s="625"/>
      <c r="S42" s="625"/>
      <c r="T42" s="625"/>
      <c r="U42" s="625"/>
      <c r="V42" s="625"/>
      <c r="W42" s="625"/>
      <c r="X42" s="625"/>
    </row>
    <row r="43" spans="1:60" x14ac:dyDescent="0.25">
      <c r="A43" s="625"/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25"/>
      <c r="S43" s="625"/>
      <c r="T43" s="625"/>
      <c r="U43" s="625"/>
      <c r="V43" s="625"/>
      <c r="W43" s="625"/>
      <c r="X43" s="625"/>
    </row>
    <row r="44" spans="1:60" x14ac:dyDescent="0.25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25"/>
      <c r="S44" s="625"/>
      <c r="T44" s="625"/>
      <c r="U44" s="625"/>
      <c r="V44" s="625"/>
      <c r="W44" s="625"/>
      <c r="X44" s="625"/>
    </row>
    <row r="45" spans="1:60" x14ac:dyDescent="0.25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25"/>
      <c r="S45" s="625"/>
      <c r="T45" s="625"/>
      <c r="U45" s="625"/>
      <c r="V45" s="625"/>
      <c r="W45" s="625"/>
      <c r="X45" s="625"/>
    </row>
    <row r="46" spans="1:60" x14ac:dyDescent="0.25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25"/>
      <c r="S46" s="625"/>
      <c r="T46" s="625"/>
      <c r="U46" s="625"/>
      <c r="V46" s="625"/>
      <c r="W46" s="625"/>
      <c r="X46" s="625"/>
    </row>
    <row r="47" spans="1:60" x14ac:dyDescent="0.25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25"/>
      <c r="S47" s="625"/>
      <c r="T47" s="625"/>
      <c r="U47" s="625"/>
      <c r="V47" s="625"/>
      <c r="W47" s="625"/>
      <c r="X47" s="625"/>
    </row>
    <row r="48" spans="1:60" x14ac:dyDescent="0.25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25"/>
      <c r="S48" s="625"/>
      <c r="T48" s="625"/>
      <c r="U48" s="625"/>
      <c r="V48" s="625"/>
      <c r="W48" s="625"/>
      <c r="X48" s="625"/>
    </row>
    <row r="49" spans="1:60" x14ac:dyDescent="0.25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25"/>
      <c r="S49" s="625"/>
      <c r="T49" s="625"/>
      <c r="U49" s="625"/>
      <c r="V49" s="625"/>
      <c r="W49" s="625"/>
      <c r="X49" s="625"/>
    </row>
    <row r="50" spans="1:60" x14ac:dyDescent="0.25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25"/>
      <c r="S50" s="625"/>
      <c r="T50" s="625"/>
      <c r="U50" s="625"/>
      <c r="V50" s="625"/>
      <c r="W50" s="625"/>
      <c r="X50" s="625"/>
    </row>
    <row r="51" spans="1:60" x14ac:dyDescent="0.25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25"/>
      <c r="S51" s="625"/>
      <c r="T51" s="625"/>
      <c r="U51" s="625"/>
      <c r="V51" s="625"/>
      <c r="W51" s="625"/>
      <c r="X51" s="625"/>
    </row>
    <row r="52" spans="1:60" x14ac:dyDescent="0.25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25"/>
      <c r="S52" s="625"/>
      <c r="T52" s="625"/>
      <c r="U52" s="625"/>
      <c r="V52" s="625"/>
      <c r="W52" s="625"/>
      <c r="X52" s="625"/>
    </row>
    <row r="53" spans="1:60" x14ac:dyDescent="0.25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25"/>
      <c r="S53" s="625"/>
      <c r="T53" s="625"/>
      <c r="U53" s="625"/>
      <c r="V53" s="625"/>
      <c r="W53" s="625"/>
      <c r="X53" s="625"/>
    </row>
    <row r="54" spans="1:60" x14ac:dyDescent="0.25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25"/>
      <c r="S54" s="625"/>
      <c r="T54" s="625"/>
      <c r="U54" s="625"/>
      <c r="V54" s="625"/>
      <c r="W54" s="625"/>
      <c r="X54" s="625"/>
    </row>
    <row r="55" spans="1:60" s="4" customFormat="1" ht="15.75" thickBot="1" x14ac:dyDescent="0.3"/>
    <row r="56" spans="1:60" ht="14.25" customHeight="1" thickBot="1" x14ac:dyDescent="0.3">
      <c r="A56" s="915" t="s">
        <v>55</v>
      </c>
      <c r="B56" s="916"/>
      <c r="C56" s="916"/>
      <c r="D56" s="917" t="s">
        <v>1</v>
      </c>
      <c r="E56" s="902"/>
      <c r="F56" s="902"/>
      <c r="G56" s="902"/>
      <c r="H56" s="902"/>
      <c r="I56" s="902"/>
      <c r="J56" s="902"/>
      <c r="K56" s="903"/>
      <c r="L56" s="917" t="s">
        <v>0</v>
      </c>
      <c r="M56" s="902"/>
      <c r="N56" s="902"/>
      <c r="O56" s="902"/>
      <c r="P56" s="902"/>
      <c r="Q56" s="902"/>
      <c r="R56" s="902"/>
      <c r="S56" s="902"/>
      <c r="T56" s="903"/>
      <c r="U56" s="918"/>
      <c r="V56" s="919"/>
      <c r="W56" s="919"/>
      <c r="X56" s="919"/>
      <c r="Y56" s="888" t="s">
        <v>60</v>
      </c>
      <c r="Z56" s="889"/>
      <c r="AA56" s="889"/>
      <c r="AB56" s="889"/>
      <c r="AC56" s="889"/>
      <c r="AD56" s="889"/>
      <c r="AE56" s="889"/>
      <c r="AF56" s="890"/>
      <c r="AG56" s="888" t="s">
        <v>59</v>
      </c>
      <c r="AH56" s="902"/>
      <c r="AI56" s="902"/>
      <c r="AJ56" s="902"/>
      <c r="AK56" s="902"/>
      <c r="AL56" s="902"/>
      <c r="AM56" s="902"/>
      <c r="AN56" s="902"/>
      <c r="AO56" s="903"/>
      <c r="AP56" s="900"/>
      <c r="AQ56" s="900"/>
      <c r="AR56" s="901" t="s">
        <v>1</v>
      </c>
      <c r="AS56" s="902"/>
      <c r="AT56" s="902"/>
      <c r="AU56" s="902"/>
      <c r="AV56" s="902"/>
      <c r="AW56" s="902"/>
      <c r="AX56" s="902"/>
      <c r="AY56" s="903"/>
      <c r="AZ56" s="901" t="s">
        <v>0</v>
      </c>
      <c r="BA56" s="902"/>
      <c r="BB56" s="902"/>
      <c r="BC56" s="902"/>
      <c r="BD56" s="902"/>
      <c r="BE56" s="902"/>
      <c r="BF56" s="902"/>
      <c r="BG56" s="902"/>
      <c r="BH56" s="903"/>
    </row>
    <row r="57" spans="1:60" ht="15" customHeight="1" thickBot="1" x14ac:dyDescent="0.3">
      <c r="A57" s="907" t="s">
        <v>56</v>
      </c>
      <c r="B57" s="909" t="s">
        <v>57</v>
      </c>
      <c r="C57" s="911" t="s">
        <v>15</v>
      </c>
      <c r="D57" s="906"/>
      <c r="E57" s="904"/>
      <c r="F57" s="904"/>
      <c r="G57" s="904"/>
      <c r="H57" s="904"/>
      <c r="I57" s="904"/>
      <c r="J57" s="904"/>
      <c r="K57" s="905"/>
      <c r="L57" s="906"/>
      <c r="M57" s="904"/>
      <c r="N57" s="904"/>
      <c r="O57" s="904"/>
      <c r="P57" s="904"/>
      <c r="Q57" s="904"/>
      <c r="R57" s="904"/>
      <c r="S57" s="904"/>
      <c r="T57" s="905"/>
      <c r="U57" s="912" t="s">
        <v>40</v>
      </c>
      <c r="V57" s="914" t="s">
        <v>56</v>
      </c>
      <c r="W57" s="914" t="s">
        <v>57</v>
      </c>
      <c r="X57" s="912" t="s">
        <v>41</v>
      </c>
      <c r="Y57" s="891"/>
      <c r="Z57" s="892"/>
      <c r="AA57" s="892"/>
      <c r="AB57" s="892"/>
      <c r="AC57" s="892"/>
      <c r="AD57" s="892"/>
      <c r="AE57" s="892"/>
      <c r="AF57" s="893"/>
      <c r="AG57" s="906"/>
      <c r="AH57" s="904"/>
      <c r="AI57" s="904"/>
      <c r="AJ57" s="904"/>
      <c r="AK57" s="904"/>
      <c r="AL57" s="904"/>
      <c r="AM57" s="904"/>
      <c r="AN57" s="904"/>
      <c r="AO57" s="905"/>
      <c r="AP57" s="897" t="s">
        <v>15</v>
      </c>
      <c r="AQ57" s="899" t="s">
        <v>56</v>
      </c>
      <c r="AR57" s="904"/>
      <c r="AS57" s="904"/>
      <c r="AT57" s="904"/>
      <c r="AU57" s="904"/>
      <c r="AV57" s="904"/>
      <c r="AW57" s="904"/>
      <c r="AX57" s="904"/>
      <c r="AY57" s="905"/>
      <c r="AZ57" s="906"/>
      <c r="BA57" s="904"/>
      <c r="BB57" s="904"/>
      <c r="BC57" s="904"/>
      <c r="BD57" s="904"/>
      <c r="BE57" s="904"/>
      <c r="BF57" s="904"/>
      <c r="BG57" s="904"/>
      <c r="BH57" s="905"/>
    </row>
    <row r="58" spans="1:60" ht="15.75" thickBot="1" x14ac:dyDescent="0.3">
      <c r="A58" s="922"/>
      <c r="B58" s="923"/>
      <c r="C58" s="910"/>
      <c r="D58" s="103" t="s">
        <v>9</v>
      </c>
      <c r="E58" s="104" t="s">
        <v>5</v>
      </c>
      <c r="F58" s="104" t="s">
        <v>8</v>
      </c>
      <c r="G58" s="104" t="s">
        <v>4</v>
      </c>
      <c r="H58" s="104" t="s">
        <v>10</v>
      </c>
      <c r="I58" s="104" t="s">
        <v>6</v>
      </c>
      <c r="J58" s="104" t="s">
        <v>7</v>
      </c>
      <c r="K58" s="105" t="s">
        <v>20</v>
      </c>
      <c r="L58" s="103" t="s">
        <v>22</v>
      </c>
      <c r="M58" s="104" t="s">
        <v>23</v>
      </c>
      <c r="N58" s="104" t="s">
        <v>24</v>
      </c>
      <c r="O58" s="104" t="s">
        <v>25</v>
      </c>
      <c r="P58" s="104" t="s">
        <v>26</v>
      </c>
      <c r="Q58" s="104" t="s">
        <v>27</v>
      </c>
      <c r="R58" s="104" t="s">
        <v>28</v>
      </c>
      <c r="S58" s="104" t="s">
        <v>29</v>
      </c>
      <c r="T58" s="105" t="s">
        <v>30</v>
      </c>
      <c r="U58" s="913"/>
      <c r="V58" s="913"/>
      <c r="W58" s="913"/>
      <c r="X58" s="913"/>
      <c r="Y58" s="109" t="s">
        <v>9</v>
      </c>
      <c r="Z58" s="110" t="s">
        <v>5</v>
      </c>
      <c r="AA58" s="110" t="s">
        <v>8</v>
      </c>
      <c r="AB58" s="110" t="s">
        <v>4</v>
      </c>
      <c r="AC58" s="110" t="s">
        <v>10</v>
      </c>
      <c r="AD58" s="110" t="s">
        <v>6</v>
      </c>
      <c r="AE58" s="110" t="s">
        <v>7</v>
      </c>
      <c r="AF58" s="111" t="s">
        <v>20</v>
      </c>
      <c r="AG58" s="106" t="s">
        <v>22</v>
      </c>
      <c r="AH58" s="107" t="s">
        <v>23</v>
      </c>
      <c r="AI58" s="107" t="s">
        <v>24</v>
      </c>
      <c r="AJ58" s="107" t="s">
        <v>25</v>
      </c>
      <c r="AK58" s="107" t="s">
        <v>26</v>
      </c>
      <c r="AL58" s="107" t="s">
        <v>27</v>
      </c>
      <c r="AM58" s="107" t="s">
        <v>28</v>
      </c>
      <c r="AN58" s="107" t="s">
        <v>29</v>
      </c>
      <c r="AO58" s="108" t="s">
        <v>30</v>
      </c>
      <c r="AP58" s="898"/>
      <c r="AQ58" s="920"/>
      <c r="AR58" s="132" t="s">
        <v>9</v>
      </c>
      <c r="AS58" s="132" t="s">
        <v>5</v>
      </c>
      <c r="AT58" s="132" t="s">
        <v>8</v>
      </c>
      <c r="AU58" s="132" t="s">
        <v>4</v>
      </c>
      <c r="AV58" s="132" t="s">
        <v>10</v>
      </c>
      <c r="AW58" s="132" t="s">
        <v>6</v>
      </c>
      <c r="AX58" s="132" t="s">
        <v>7</v>
      </c>
      <c r="AY58" s="132" t="s">
        <v>20</v>
      </c>
      <c r="AZ58" s="131" t="s">
        <v>22</v>
      </c>
      <c r="BA58" s="131" t="s">
        <v>23</v>
      </c>
      <c r="BB58" s="131" t="s">
        <v>24</v>
      </c>
      <c r="BC58" s="131" t="s">
        <v>25</v>
      </c>
      <c r="BD58" s="131" t="s">
        <v>26</v>
      </c>
      <c r="BE58" s="131" t="s">
        <v>27</v>
      </c>
      <c r="BF58" s="131" t="s">
        <v>28</v>
      </c>
      <c r="BG58" s="131" t="s">
        <v>29</v>
      </c>
      <c r="BH58" s="132" t="s">
        <v>30</v>
      </c>
    </row>
    <row r="59" spans="1:60" x14ac:dyDescent="0.25">
      <c r="A59" s="114">
        <v>110</v>
      </c>
      <c r="B59" s="381">
        <v>55</v>
      </c>
      <c r="C59" s="378" t="s">
        <v>9</v>
      </c>
      <c r="D59" s="114">
        <v>345.57499999999999</v>
      </c>
      <c r="E59" s="115">
        <v>11.3378</v>
      </c>
      <c r="F59" s="115">
        <v>136.053</v>
      </c>
      <c r="G59" s="115">
        <v>3.4557500000000001</v>
      </c>
      <c r="H59" s="392">
        <v>2.1473E-3</v>
      </c>
      <c r="I59" s="115">
        <v>3455.75</v>
      </c>
      <c r="J59" s="115">
        <v>3.7792599999999998</v>
      </c>
      <c r="K59" s="117">
        <v>3455752</v>
      </c>
      <c r="L59" s="114">
        <v>950332</v>
      </c>
      <c r="M59" s="255">
        <v>9503.32</v>
      </c>
      <c r="N59" s="115">
        <v>95.033199999999994</v>
      </c>
      <c r="O59" s="115">
        <v>0.95033199999999995</v>
      </c>
      <c r="P59" s="115">
        <v>1473.02</v>
      </c>
      <c r="Q59" s="115">
        <v>10.2293</v>
      </c>
      <c r="R59" s="311">
        <v>9.5033200000000009E-3</v>
      </c>
      <c r="S59" s="116">
        <v>9.5033177771091301E-5</v>
      </c>
      <c r="T59" s="364">
        <v>2.34832E-4</v>
      </c>
      <c r="U59" s="142">
        <v>1</v>
      </c>
      <c r="V59" s="8">
        <v>110</v>
      </c>
      <c r="W59" s="382">
        <v>55</v>
      </c>
      <c r="X59" s="18" t="s">
        <v>9</v>
      </c>
      <c r="Y59" s="13">
        <f>2*PI()*W59</f>
        <v>345.57519189487726</v>
      </c>
      <c r="Z59" s="7">
        <v>11.3378</v>
      </c>
      <c r="AA59" s="7">
        <v>136.053</v>
      </c>
      <c r="AB59" s="7">
        <v>3.4557500000000001</v>
      </c>
      <c r="AC59" s="321">
        <v>2.1473E-3</v>
      </c>
      <c r="AD59" s="7">
        <v>3455.75</v>
      </c>
      <c r="AE59" s="7">
        <v>3.7792500000000002</v>
      </c>
      <c r="AF59" s="14">
        <v>3455750</v>
      </c>
      <c r="AG59" s="8">
        <v>950332</v>
      </c>
      <c r="AH59" s="12">
        <f>PI()*W59^2</f>
        <v>9503.317777109125</v>
      </c>
      <c r="AI59" s="7">
        <v>95.033199999999994</v>
      </c>
      <c r="AJ59" s="7">
        <v>0.95033199999999995</v>
      </c>
      <c r="AK59" s="7">
        <v>1473.02</v>
      </c>
      <c r="AL59" s="7">
        <v>10.2293</v>
      </c>
      <c r="AM59" s="301">
        <v>9.5033200000000009E-3</v>
      </c>
      <c r="AN59" s="384">
        <v>9.5033199999999997E-5</v>
      </c>
      <c r="AO59" s="361">
        <v>2.34832E-4</v>
      </c>
      <c r="AP59" s="237" t="s">
        <v>9</v>
      </c>
      <c r="AQ59" s="354">
        <f>(100*(A59-V59))/V59</f>
        <v>0</v>
      </c>
      <c r="AR59" s="283">
        <f>(100*(D59-Y59))/Y59</f>
        <v>-5.5529124131635719E-5</v>
      </c>
      <c r="AS59" s="90">
        <f t="shared" ref="AS59:AV59" si="7">(100*(E59-Z59))/Z59</f>
        <v>0</v>
      </c>
      <c r="AT59" s="90">
        <f t="shared" si="7"/>
        <v>0</v>
      </c>
      <c r="AU59" s="90">
        <f t="shared" si="7"/>
        <v>0</v>
      </c>
      <c r="AV59" s="90">
        <f t="shared" si="7"/>
        <v>0</v>
      </c>
      <c r="AW59" s="90">
        <f t="shared" ref="AW59" si="8">(100*(I59-AD59))/AD59</f>
        <v>0</v>
      </c>
      <c r="AX59" s="90">
        <f t="shared" ref="AX59" si="9">(100*(J59-AE59))/AE59</f>
        <v>2.6460276508887801E-4</v>
      </c>
      <c r="AY59" s="233">
        <f t="shared" ref="AY59" si="10">(100*(K59-AF59))/AF59</f>
        <v>5.7874556897923753E-5</v>
      </c>
      <c r="AZ59" s="216">
        <f>(100*(L59-AG59))/AG59</f>
        <v>0</v>
      </c>
      <c r="BA59" s="90">
        <f>(100*(M59-AH59))/AH59</f>
        <v>2.3390682357748855E-5</v>
      </c>
      <c r="BB59" s="90">
        <f t="shared" ref="BB59:BH66" si="11">(100*(N59-AI59))/AI59</f>
        <v>0</v>
      </c>
      <c r="BC59" s="90">
        <f t="shared" si="11"/>
        <v>0</v>
      </c>
      <c r="BD59" s="90">
        <f t="shared" si="11"/>
        <v>0</v>
      </c>
      <c r="BE59" s="90">
        <f t="shared" si="11"/>
        <v>0</v>
      </c>
      <c r="BF59" s="90">
        <f t="shared" si="11"/>
        <v>0</v>
      </c>
      <c r="BG59" s="90">
        <f t="shared" si="11"/>
        <v>-2.3390676832769038E-5</v>
      </c>
      <c r="BH59" s="229">
        <f t="shared" si="11"/>
        <v>0</v>
      </c>
    </row>
    <row r="60" spans="1:60" x14ac:dyDescent="0.25">
      <c r="A60" s="118">
        <v>84</v>
      </c>
      <c r="B60" s="119">
        <v>42</v>
      </c>
      <c r="C60" s="379" t="s">
        <v>5</v>
      </c>
      <c r="D60" s="118">
        <v>8043.48</v>
      </c>
      <c r="E60" s="1">
        <v>263.89400000000001</v>
      </c>
      <c r="F60" s="1">
        <v>3166.73</v>
      </c>
      <c r="G60" s="1">
        <v>80.434799999999996</v>
      </c>
      <c r="H60" s="1">
        <v>4.9979900000000001E-2</v>
      </c>
      <c r="I60" s="1">
        <v>80434.8</v>
      </c>
      <c r="J60" s="1">
        <v>87.964600000000004</v>
      </c>
      <c r="K60" s="119">
        <v>80434825</v>
      </c>
      <c r="L60" s="118">
        <v>514847228</v>
      </c>
      <c r="M60" s="1">
        <v>5148472</v>
      </c>
      <c r="N60" s="1">
        <v>51484.7</v>
      </c>
      <c r="O60" s="1">
        <v>514.84699999999998</v>
      </c>
      <c r="P60" s="1">
        <v>798015</v>
      </c>
      <c r="Q60" s="1">
        <v>5541.77</v>
      </c>
      <c r="R60" s="1">
        <v>5.1484699999999997</v>
      </c>
      <c r="S60" s="78">
        <v>5.1484700000000001E-2</v>
      </c>
      <c r="T60" s="119">
        <v>0.127222</v>
      </c>
      <c r="U60" s="143">
        <v>2</v>
      </c>
      <c r="V60" s="15">
        <v>84</v>
      </c>
      <c r="W60" s="16">
        <v>42</v>
      </c>
      <c r="X60" s="19" t="s">
        <v>5</v>
      </c>
      <c r="Y60" s="15">
        <v>8043.49</v>
      </c>
      <c r="Z60" s="2">
        <f>2*PI()*W60</f>
        <v>263.89378290154264</v>
      </c>
      <c r="AA60" s="2">
        <v>3166.73</v>
      </c>
      <c r="AB60" s="2">
        <v>80.434899999999999</v>
      </c>
      <c r="AC60" s="2">
        <v>4.9979900000000001E-2</v>
      </c>
      <c r="AD60" s="2">
        <v>80434.899999999994</v>
      </c>
      <c r="AE60" s="2">
        <v>87.964699999999993</v>
      </c>
      <c r="AF60" s="16">
        <v>80434891</v>
      </c>
      <c r="AG60" s="15">
        <v>514847280</v>
      </c>
      <c r="AH60" s="2">
        <v>5148473</v>
      </c>
      <c r="AI60" s="2">
        <v>51484.7</v>
      </c>
      <c r="AJ60" s="2">
        <v>514.84699999999998</v>
      </c>
      <c r="AK60" s="2">
        <v>798015</v>
      </c>
      <c r="AL60" s="2">
        <f>PI()*W60^2</f>
        <v>5541.7694409323949</v>
      </c>
      <c r="AM60" s="2">
        <v>5.1484699999999997</v>
      </c>
      <c r="AN60" s="342">
        <v>5.1484700000000001E-2</v>
      </c>
      <c r="AO60" s="42">
        <v>0.127222</v>
      </c>
      <c r="AP60" s="238" t="s">
        <v>5</v>
      </c>
      <c r="AQ60" s="355">
        <f t="shared" ref="AQ60:AQ66" si="12">(100*(A60-V60))/V60</f>
        <v>0</v>
      </c>
      <c r="AR60" s="251">
        <f t="shared" ref="AR60:AR66" si="13">(100*(D60-Y60))/Y60</f>
        <v>-1.2432414288099169E-4</v>
      </c>
      <c r="AS60" s="73">
        <f t="shared" ref="AS60:AS66" si="14">(100*(E60-Z60))/Z60</f>
        <v>8.226736339995572E-5</v>
      </c>
      <c r="AT60" s="73">
        <f t="shared" ref="AT60:AT66" si="15">(100*(F60-AA60))/AA60</f>
        <v>0</v>
      </c>
      <c r="AU60" s="73">
        <f t="shared" ref="AU60:AU66" si="16">(100*(G60-AB60))/AB60</f>
        <v>-1.2432414288240508E-4</v>
      </c>
      <c r="AV60" s="73">
        <f t="shared" ref="AV60:AV66" si="17">(100*(H60-AC60))/AC60</f>
        <v>0</v>
      </c>
      <c r="AW60" s="73">
        <f t="shared" ref="AW60:AW66" si="18">(100*(I60-AD60))/AD60</f>
        <v>-1.2432414286742304E-4</v>
      </c>
      <c r="AX60" s="73">
        <f t="shared" ref="AX60:AX66" si="19">(100*(J60-AE60))/AE60</f>
        <v>-1.136819655942768E-4</v>
      </c>
      <c r="AY60" s="234">
        <f t="shared" ref="AY60:AY66" si="20">(100*(K60-AF60))/AF60</f>
        <v>-8.2053943480821026E-5</v>
      </c>
      <c r="AZ60" s="217">
        <f t="shared" ref="AZ60:AZ66" si="21">(100*(L60-AG60))/AG60</f>
        <v>-1.0100082494366096E-5</v>
      </c>
      <c r="BA60" s="73">
        <f t="shared" ref="BA60:BA66" si="22">(100*(M60-AH60))/AH60</f>
        <v>-1.9423234811564517E-5</v>
      </c>
      <c r="BB60" s="73">
        <f t="shared" ref="BB60:BB66" si="23">(100*(N60-AI60))/AI60</f>
        <v>0</v>
      </c>
      <c r="BC60" s="73">
        <f t="shared" ref="BC60:BC66" si="24">(100*(O60-AJ60))/AJ60</f>
        <v>0</v>
      </c>
      <c r="BD60" s="73">
        <f t="shared" ref="BD60:BD66" si="25">(100*(P60-AK60))/AK60</f>
        <v>0</v>
      </c>
      <c r="BE60" s="73">
        <f t="shared" ref="BE60:BE66" si="26">(100*(Q60-AL60))/AL60</f>
        <v>1.0088250900640032E-5</v>
      </c>
      <c r="BF60" s="73">
        <f t="shared" ref="BF60:BF66" si="27">(100*(R60-AM60))/AM60</f>
        <v>0</v>
      </c>
      <c r="BG60" s="73">
        <f t="shared" ref="BG60:BG66" si="28">(100*(S60-AN60))/AN60</f>
        <v>0</v>
      </c>
      <c r="BH60" s="230">
        <f t="shared" si="11"/>
        <v>0</v>
      </c>
    </row>
    <row r="61" spans="1:60" x14ac:dyDescent="0.25">
      <c r="A61" s="118">
        <v>92.4</v>
      </c>
      <c r="B61" s="119">
        <v>46.2</v>
      </c>
      <c r="C61" s="379" t="s">
        <v>8</v>
      </c>
      <c r="D61" s="118">
        <v>737.31899999999996</v>
      </c>
      <c r="E61" s="1">
        <v>24.190300000000001</v>
      </c>
      <c r="F61" s="1">
        <v>290.28300000000002</v>
      </c>
      <c r="G61" s="1">
        <v>7.3731900000000001</v>
      </c>
      <c r="H61" s="1">
        <v>4.5814899999999997E-3</v>
      </c>
      <c r="I61" s="1">
        <v>7373.19</v>
      </c>
      <c r="J61" s="1">
        <v>8.0634200000000007</v>
      </c>
      <c r="K61" s="119">
        <v>7373192</v>
      </c>
      <c r="L61" s="118">
        <v>4326147</v>
      </c>
      <c r="M61" s="1">
        <v>43261.5</v>
      </c>
      <c r="N61" s="1">
        <v>432.61500000000001</v>
      </c>
      <c r="O61" s="1">
        <v>4.3261500000000002</v>
      </c>
      <c r="P61" s="1">
        <v>6705.54</v>
      </c>
      <c r="Q61" s="1">
        <v>46.566299999999998</v>
      </c>
      <c r="R61" s="78">
        <v>4.3261500000000001E-2</v>
      </c>
      <c r="S61" s="316">
        <v>4.3261500000000002E-4</v>
      </c>
      <c r="T61" s="393">
        <v>1.06901E-3</v>
      </c>
      <c r="U61" s="143">
        <v>3</v>
      </c>
      <c r="V61" s="15">
        <v>92.4</v>
      </c>
      <c r="W61" s="16">
        <v>46.2</v>
      </c>
      <c r="X61" s="19" t="s">
        <v>8</v>
      </c>
      <c r="Y61" s="15">
        <v>737.31899999999996</v>
      </c>
      <c r="Z61" s="2">
        <v>24.190200000000001</v>
      </c>
      <c r="AA61" s="2">
        <f>2*PI()*W61</f>
        <v>290.28316119169688</v>
      </c>
      <c r="AB61" s="2">
        <v>7.3731900000000001</v>
      </c>
      <c r="AC61" s="2">
        <v>4.5814899999999997E-3</v>
      </c>
      <c r="AD61" s="2">
        <v>7373.19</v>
      </c>
      <c r="AE61" s="2">
        <v>8.0634200000000007</v>
      </c>
      <c r="AF61" s="16">
        <v>7373188</v>
      </c>
      <c r="AG61" s="27">
        <v>4326146</v>
      </c>
      <c r="AH61" s="26">
        <v>43261.5</v>
      </c>
      <c r="AI61" s="2">
        <v>432.61500000000001</v>
      </c>
      <c r="AJ61" s="2">
        <v>4.3261500000000002</v>
      </c>
      <c r="AK61" s="2">
        <f>PI()*W61^2</f>
        <v>6705.5410235281979</v>
      </c>
      <c r="AL61" s="2">
        <v>46.566200000000002</v>
      </c>
      <c r="AM61" s="342">
        <v>4.3261500000000001E-2</v>
      </c>
      <c r="AN61" s="302">
        <v>4.3261500000000002E-4</v>
      </c>
      <c r="AO61" s="362">
        <v>1.06901E-3</v>
      </c>
      <c r="AP61" s="238" t="s">
        <v>8</v>
      </c>
      <c r="AQ61" s="355">
        <f t="shared" si="12"/>
        <v>0</v>
      </c>
      <c r="AR61" s="251">
        <f t="shared" si="13"/>
        <v>0</v>
      </c>
      <c r="AS61" s="73">
        <f t="shared" si="14"/>
        <v>4.1339054658401722E-4</v>
      </c>
      <c r="AT61" s="73">
        <f t="shared" si="15"/>
        <v>-5.5529124114403511E-5</v>
      </c>
      <c r="AU61" s="73">
        <f t="shared" si="16"/>
        <v>0</v>
      </c>
      <c r="AV61" s="73">
        <f t="shared" si="17"/>
        <v>0</v>
      </c>
      <c r="AW61" s="73">
        <f t="shared" si="18"/>
        <v>0</v>
      </c>
      <c r="AX61" s="73">
        <f t="shared" si="19"/>
        <v>0</v>
      </c>
      <c r="AY61" s="234">
        <f t="shared" si="20"/>
        <v>5.4250617236397604E-5</v>
      </c>
      <c r="AZ61" s="217">
        <f t="shared" si="21"/>
        <v>2.3115262406770369E-5</v>
      </c>
      <c r="BA61" s="73">
        <f t="shared" si="22"/>
        <v>0</v>
      </c>
      <c r="BB61" s="73">
        <f t="shared" si="23"/>
        <v>0</v>
      </c>
      <c r="BC61" s="73">
        <f t="shared" si="24"/>
        <v>0</v>
      </c>
      <c r="BD61" s="73">
        <f t="shared" si="25"/>
        <v>-1.5263916727319601E-5</v>
      </c>
      <c r="BE61" s="73">
        <f t="shared" si="26"/>
        <v>2.1474803612107972E-4</v>
      </c>
      <c r="BF61" s="73">
        <f t="shared" si="27"/>
        <v>0</v>
      </c>
      <c r="BG61" s="73">
        <f t="shared" si="28"/>
        <v>0</v>
      </c>
      <c r="BH61" s="230">
        <f t="shared" si="11"/>
        <v>0</v>
      </c>
    </row>
    <row r="62" spans="1:60" x14ac:dyDescent="0.25">
      <c r="A62" s="118">
        <v>121.967995</v>
      </c>
      <c r="B62" s="119">
        <v>60.983997000000002</v>
      </c>
      <c r="C62" s="379" t="s">
        <v>4</v>
      </c>
      <c r="D62" s="118">
        <v>38317.4</v>
      </c>
      <c r="E62" s="1">
        <v>1257.1300000000001</v>
      </c>
      <c r="F62" s="1">
        <v>15085.6</v>
      </c>
      <c r="G62" s="1">
        <v>383.17399999999998</v>
      </c>
      <c r="H62" s="1">
        <v>0.238093</v>
      </c>
      <c r="I62" s="1">
        <v>383174</v>
      </c>
      <c r="J62" s="1">
        <v>419.04399999999998</v>
      </c>
      <c r="K62" s="119">
        <v>383173754</v>
      </c>
      <c r="L62" s="118">
        <v>11683733530</v>
      </c>
      <c r="M62" s="1">
        <v>116837335</v>
      </c>
      <c r="N62" s="1">
        <v>1168373</v>
      </c>
      <c r="O62" s="1">
        <v>11683.7</v>
      </c>
      <c r="P62" s="1">
        <v>18109823</v>
      </c>
      <c r="Q62" s="1">
        <v>125763</v>
      </c>
      <c r="R62" s="1">
        <v>116.837</v>
      </c>
      <c r="S62" s="1">
        <v>1.1683699999999999</v>
      </c>
      <c r="T62" s="119">
        <v>2.8871099999999998</v>
      </c>
      <c r="U62" s="143">
        <v>4</v>
      </c>
      <c r="V62" s="15">
        <v>121.967995</v>
      </c>
      <c r="W62" s="16">
        <v>60.983997000000002</v>
      </c>
      <c r="X62" s="19" t="s">
        <v>4</v>
      </c>
      <c r="Y62" s="15">
        <v>38317.4</v>
      </c>
      <c r="Z62" s="2">
        <v>1257.1300000000001</v>
      </c>
      <c r="AA62" s="2">
        <v>15085.6</v>
      </c>
      <c r="AB62" s="2">
        <f>2*PI()*W62</f>
        <v>383.17375392348396</v>
      </c>
      <c r="AC62" s="2">
        <v>0.238093</v>
      </c>
      <c r="AD62" s="2">
        <v>383174</v>
      </c>
      <c r="AE62" s="2">
        <v>419.04399999999998</v>
      </c>
      <c r="AF62" s="16">
        <v>383174000</v>
      </c>
      <c r="AG62" s="15">
        <v>11683700000</v>
      </c>
      <c r="AH62" s="2">
        <v>116837000</v>
      </c>
      <c r="AI62" s="2">
        <v>1168370</v>
      </c>
      <c r="AJ62" s="2">
        <f>PI()*W62^2</f>
        <v>11683.733529874244</v>
      </c>
      <c r="AK62" s="2">
        <v>18109771</v>
      </c>
      <c r="AL62" s="2">
        <v>125762</v>
      </c>
      <c r="AM62" s="2">
        <v>116.837</v>
      </c>
      <c r="AN62" s="2">
        <v>1.1683699999999999</v>
      </c>
      <c r="AO62" s="42">
        <v>2.8871099999999998</v>
      </c>
      <c r="AP62" s="238" t="s">
        <v>4</v>
      </c>
      <c r="AQ62" s="355">
        <f t="shared" si="12"/>
        <v>0</v>
      </c>
      <c r="AR62" s="251">
        <f t="shared" si="13"/>
        <v>0</v>
      </c>
      <c r="AS62" s="73">
        <f t="shared" si="14"/>
        <v>0</v>
      </c>
      <c r="AT62" s="73">
        <f t="shared" si="15"/>
        <v>0</v>
      </c>
      <c r="AU62" s="73">
        <f t="shared" si="16"/>
        <v>6.4220608405752189E-5</v>
      </c>
      <c r="AV62" s="73">
        <f t="shared" si="17"/>
        <v>0</v>
      </c>
      <c r="AW62" s="73">
        <f t="shared" si="18"/>
        <v>0</v>
      </c>
      <c r="AX62" s="73">
        <f t="shared" si="19"/>
        <v>0</v>
      </c>
      <c r="AY62" s="234">
        <f t="shared" si="20"/>
        <v>-6.4200598161670683E-5</v>
      </c>
      <c r="AZ62" s="217">
        <f t="shared" si="21"/>
        <v>2.8698100772871606E-4</v>
      </c>
      <c r="BA62" s="73">
        <f t="shared" si="22"/>
        <v>2.8672423975281805E-4</v>
      </c>
      <c r="BB62" s="73">
        <f t="shared" si="23"/>
        <v>2.56767975898046E-4</v>
      </c>
      <c r="BC62" s="73">
        <f t="shared" si="24"/>
        <v>-2.8697910781023701E-4</v>
      </c>
      <c r="BD62" s="73">
        <f t="shared" si="25"/>
        <v>2.8713781085359941E-4</v>
      </c>
      <c r="BE62" s="73">
        <f t="shared" si="26"/>
        <v>7.951527488430527E-4</v>
      </c>
      <c r="BF62" s="73">
        <f t="shared" si="27"/>
        <v>0</v>
      </c>
      <c r="BG62" s="73">
        <f t="shared" si="28"/>
        <v>0</v>
      </c>
      <c r="BH62" s="230">
        <f t="shared" si="11"/>
        <v>0</v>
      </c>
    </row>
    <row r="63" spans="1:60" x14ac:dyDescent="0.25">
      <c r="A63" s="118">
        <v>60.983997000000002</v>
      </c>
      <c r="B63" s="119">
        <v>30.491999</v>
      </c>
      <c r="C63" s="379" t="s">
        <v>10</v>
      </c>
      <c r="D63" s="120">
        <v>30832920</v>
      </c>
      <c r="E63" s="1">
        <v>1011579</v>
      </c>
      <c r="F63" s="1">
        <v>12138945</v>
      </c>
      <c r="G63" s="1">
        <v>308329</v>
      </c>
      <c r="H63" s="1">
        <v>191.58699999999999</v>
      </c>
      <c r="I63" s="1">
        <v>308329196</v>
      </c>
      <c r="J63" s="1">
        <v>337193</v>
      </c>
      <c r="K63" s="164">
        <v>308329195973</v>
      </c>
      <c r="L63" s="120">
        <v>7565182979780960</v>
      </c>
      <c r="M63" s="59">
        <v>75651829797810</v>
      </c>
      <c r="N63" s="59">
        <v>756518297978</v>
      </c>
      <c r="O63" s="1">
        <v>7565182980</v>
      </c>
      <c r="P63" s="59">
        <v>11726057070775</v>
      </c>
      <c r="Q63" s="1">
        <v>81430951880</v>
      </c>
      <c r="R63" s="1">
        <v>75651830</v>
      </c>
      <c r="S63" s="1">
        <v>756518</v>
      </c>
      <c r="T63" s="119">
        <v>1869397</v>
      </c>
      <c r="U63" s="143">
        <v>5</v>
      </c>
      <c r="V63" s="15">
        <v>60.983997000000002</v>
      </c>
      <c r="W63" s="16">
        <v>30.491999</v>
      </c>
      <c r="X63" s="19" t="s">
        <v>10</v>
      </c>
      <c r="Y63" s="15">
        <v>30832939</v>
      </c>
      <c r="Z63" s="2">
        <v>1011579</v>
      </c>
      <c r="AA63" s="2">
        <v>12138952</v>
      </c>
      <c r="AB63" s="2">
        <v>308329</v>
      </c>
      <c r="AC63" s="2">
        <f>2*PI()*W63</f>
        <v>191.58688010333464</v>
      </c>
      <c r="AD63" s="2">
        <v>308329389</v>
      </c>
      <c r="AE63" s="2">
        <v>337193</v>
      </c>
      <c r="AF63" s="185">
        <v>308329388928</v>
      </c>
      <c r="AG63" s="28">
        <v>7565182980000000</v>
      </c>
      <c r="AH63" s="29">
        <v>75651829800000</v>
      </c>
      <c r="AI63" s="29">
        <v>756518298000</v>
      </c>
      <c r="AJ63" s="2">
        <f>PI()*W63^2*1609.344*1609.344</f>
        <v>7565182979.7809572</v>
      </c>
      <c r="AK63" s="29">
        <v>11726057071114</v>
      </c>
      <c r="AL63" s="2">
        <v>81430951883</v>
      </c>
      <c r="AM63" s="2">
        <v>75651830</v>
      </c>
      <c r="AN63" s="2">
        <v>756518</v>
      </c>
      <c r="AO63" s="42">
        <v>1869397</v>
      </c>
      <c r="AP63" s="238" t="s">
        <v>10</v>
      </c>
      <c r="AQ63" s="355">
        <f t="shared" si="12"/>
        <v>0</v>
      </c>
      <c r="AR63" s="251">
        <f t="shared" si="13"/>
        <v>-6.1622409722277848E-5</v>
      </c>
      <c r="AS63" s="73">
        <f t="shared" si="14"/>
        <v>0</v>
      </c>
      <c r="AT63" s="73">
        <f t="shared" si="15"/>
        <v>-5.7665604081802122E-5</v>
      </c>
      <c r="AU63" s="73">
        <f t="shared" si="16"/>
        <v>0</v>
      </c>
      <c r="AV63" s="73">
        <f t="shared" si="17"/>
        <v>6.2580832930007017E-5</v>
      </c>
      <c r="AW63" s="73">
        <f t="shared" si="18"/>
        <v>-6.2595395341960089E-5</v>
      </c>
      <c r="AX63" s="73">
        <f t="shared" si="19"/>
        <v>0</v>
      </c>
      <c r="AY63" s="234">
        <f t="shared" si="20"/>
        <v>-6.2580800575276388E-5</v>
      </c>
      <c r="AZ63" s="217">
        <f t="shared" si="21"/>
        <v>-2.895369491776655E-9</v>
      </c>
      <c r="BA63" s="73">
        <f t="shared" si="22"/>
        <v>-2.8948407537394422E-9</v>
      </c>
      <c r="BB63" s="73">
        <f t="shared" si="23"/>
        <v>-2.9080592046697594E-9</v>
      </c>
      <c r="BC63" s="73">
        <f t="shared" si="24"/>
        <v>2.8954062129172571E-9</v>
      </c>
      <c r="BD63" s="73">
        <f t="shared" si="25"/>
        <v>-2.8909973569469784E-9</v>
      </c>
      <c r="BE63" s="73">
        <f t="shared" si="26"/>
        <v>-3.6841028265399628E-9</v>
      </c>
      <c r="BF63" s="73">
        <f t="shared" si="27"/>
        <v>0</v>
      </c>
      <c r="BG63" s="73">
        <f t="shared" si="28"/>
        <v>0</v>
      </c>
      <c r="BH63" s="230">
        <f t="shared" si="11"/>
        <v>0</v>
      </c>
    </row>
    <row r="64" spans="1:60" x14ac:dyDescent="0.25">
      <c r="A64" s="118">
        <v>42.688797000000001</v>
      </c>
      <c r="B64" s="119">
        <v>21.344398000000002</v>
      </c>
      <c r="C64" s="379" t="s">
        <v>6</v>
      </c>
      <c r="D64" s="118">
        <v>13.411099999999999</v>
      </c>
      <c r="E64" s="1">
        <v>0.439996</v>
      </c>
      <c r="F64" s="1">
        <v>5.2799500000000004</v>
      </c>
      <c r="G64" s="1">
        <v>0.13411100000000001</v>
      </c>
      <c r="H64" s="77">
        <v>8.33325925993407E-5</v>
      </c>
      <c r="I64" s="1">
        <v>134.11099999999999</v>
      </c>
      <c r="J64" s="1">
        <v>0.14666499999999999</v>
      </c>
      <c r="K64" s="119">
        <v>134111</v>
      </c>
      <c r="L64" s="127">
        <v>1431.26</v>
      </c>
      <c r="M64" s="78">
        <v>14.3126</v>
      </c>
      <c r="N64" s="78">
        <v>0.143126</v>
      </c>
      <c r="O64" s="326">
        <v>1.43126E-3</v>
      </c>
      <c r="P64" s="78">
        <v>2.2184499999999998</v>
      </c>
      <c r="Q64" s="78">
        <v>1.54059E-2</v>
      </c>
      <c r="R64" s="49">
        <v>1.4312572300043199E-5</v>
      </c>
      <c r="S64" s="58">
        <v>1.43125723000432E-7</v>
      </c>
      <c r="T64" s="388">
        <v>3.53671363797857E-7</v>
      </c>
      <c r="U64" s="143">
        <v>6</v>
      </c>
      <c r="V64" s="15">
        <v>42.688797000000001</v>
      </c>
      <c r="W64" s="16">
        <v>21.344398000000002</v>
      </c>
      <c r="X64" s="19" t="s">
        <v>6</v>
      </c>
      <c r="Y64" s="15">
        <v>13.411099999999999</v>
      </c>
      <c r="Z64" s="2">
        <v>0.43999700000000003</v>
      </c>
      <c r="AA64" s="2">
        <v>5.27996</v>
      </c>
      <c r="AB64" s="2">
        <v>0.13411100000000001</v>
      </c>
      <c r="AC64" s="30">
        <v>8.3332711962141106E-5</v>
      </c>
      <c r="AD64" s="2">
        <f>2*PI()*W64</f>
        <v>134.11080790419336</v>
      </c>
      <c r="AE64" s="2">
        <v>0.14666599999999999</v>
      </c>
      <c r="AF64" s="16">
        <v>134111</v>
      </c>
      <c r="AG64" s="15">
        <f>PI()*W64^2</f>
        <v>1431.2572300043246</v>
      </c>
      <c r="AH64" s="2">
        <v>14.3126</v>
      </c>
      <c r="AI64" s="2">
        <v>0.143126</v>
      </c>
      <c r="AJ64" s="309">
        <v>1.43126E-3</v>
      </c>
      <c r="AK64" s="2">
        <v>2.2184599999999999</v>
      </c>
      <c r="AL64" s="76">
        <v>1.5406E-2</v>
      </c>
      <c r="AM64" s="323">
        <v>1.4312600000000001E-5</v>
      </c>
      <c r="AN64" s="360">
        <v>1.4312600000000001E-7</v>
      </c>
      <c r="AO64" s="385">
        <v>3.53672048278695E-7</v>
      </c>
      <c r="AP64" s="238" t="s">
        <v>6</v>
      </c>
      <c r="AQ64" s="355">
        <f t="shared" si="12"/>
        <v>0</v>
      </c>
      <c r="AR64" s="251">
        <f t="shared" si="13"/>
        <v>0</v>
      </c>
      <c r="AS64" s="73">
        <f t="shared" si="14"/>
        <v>-2.2727427687660497E-4</v>
      </c>
      <c r="AT64" s="73">
        <f t="shared" si="15"/>
        <v>-1.8939537420021029E-4</v>
      </c>
      <c r="AU64" s="73">
        <f t="shared" si="16"/>
        <v>0</v>
      </c>
      <c r="AV64" s="73">
        <f t="shared" si="17"/>
        <v>-1.4323642852238461E-4</v>
      </c>
      <c r="AW64" s="73">
        <f t="shared" si="18"/>
        <v>1.4323663366660051E-4</v>
      </c>
      <c r="AX64" s="73">
        <f t="shared" si="19"/>
        <v>-6.8182128100650473E-4</v>
      </c>
      <c r="AY64" s="234">
        <f t="shared" si="20"/>
        <v>0</v>
      </c>
      <c r="AZ64" s="217">
        <f t="shared" si="21"/>
        <v>1.9353583809664525E-4</v>
      </c>
      <c r="BA64" s="73">
        <f t="shared" si="22"/>
        <v>0</v>
      </c>
      <c r="BB64" s="73">
        <f t="shared" si="23"/>
        <v>0</v>
      </c>
      <c r="BC64" s="73">
        <f t="shared" si="24"/>
        <v>0</v>
      </c>
      <c r="BD64" s="73">
        <f t="shared" si="25"/>
        <v>-4.5076314200235808E-4</v>
      </c>
      <c r="BE64" s="73">
        <f t="shared" si="26"/>
        <v>-6.4909775411791585E-4</v>
      </c>
      <c r="BF64" s="73">
        <f t="shared" si="27"/>
        <v>-1.9353546386699733E-4</v>
      </c>
      <c r="BG64" s="73">
        <f t="shared" si="28"/>
        <v>-1.9353546386551782E-4</v>
      </c>
      <c r="BH64" s="230">
        <f t="shared" si="11"/>
        <v>-1.9353546352428655E-4</v>
      </c>
    </row>
    <row r="65" spans="1:60" x14ac:dyDescent="0.25">
      <c r="A65" s="118">
        <v>27.320829</v>
      </c>
      <c r="B65" s="119">
        <v>13.660415</v>
      </c>
      <c r="C65" s="379" t="s">
        <v>7</v>
      </c>
      <c r="D65" s="118">
        <v>7848.38</v>
      </c>
      <c r="E65" s="1">
        <v>257.49299999999999</v>
      </c>
      <c r="F65" s="1">
        <v>3089.91</v>
      </c>
      <c r="G65" s="1">
        <v>78.483800000000002</v>
      </c>
      <c r="H65" s="1">
        <v>4.8767600000000001E-2</v>
      </c>
      <c r="I65" s="1">
        <v>78483.8</v>
      </c>
      <c r="J65" s="1">
        <v>85.8309</v>
      </c>
      <c r="K65" s="119">
        <v>78483792</v>
      </c>
      <c r="L65" s="118">
        <v>490173800</v>
      </c>
      <c r="M65" s="1">
        <v>4901738</v>
      </c>
      <c r="N65" s="1">
        <v>49017.4</v>
      </c>
      <c r="O65" s="1">
        <v>490.17399999999998</v>
      </c>
      <c r="P65" s="1">
        <v>759771</v>
      </c>
      <c r="Q65" s="325">
        <v>5276.19</v>
      </c>
      <c r="R65" s="1">
        <v>4.9017400000000002</v>
      </c>
      <c r="S65" s="1">
        <v>4.9017400000000003E-2</v>
      </c>
      <c r="T65" s="119">
        <v>0.121125</v>
      </c>
      <c r="U65" s="143">
        <v>7</v>
      </c>
      <c r="V65" s="15">
        <v>27.320829</v>
      </c>
      <c r="W65" s="16">
        <v>13.660415</v>
      </c>
      <c r="X65" s="19" t="s">
        <v>7</v>
      </c>
      <c r="Y65" s="15">
        <v>7848.38</v>
      </c>
      <c r="Z65" s="2">
        <v>257.49299999999999</v>
      </c>
      <c r="AA65" s="2">
        <v>3089.91</v>
      </c>
      <c r="AB65" s="2">
        <v>78.483800000000002</v>
      </c>
      <c r="AC65" s="2">
        <v>4.8767600000000001E-2</v>
      </c>
      <c r="AD65" s="2">
        <v>78483.8</v>
      </c>
      <c r="AE65" s="2">
        <f>2*PI()*W65</f>
        <v>85.830918817975629</v>
      </c>
      <c r="AF65" s="16">
        <v>78483775</v>
      </c>
      <c r="AG65" s="15">
        <v>490174000</v>
      </c>
      <c r="AH65" s="2">
        <v>4901740</v>
      </c>
      <c r="AI65" s="2">
        <v>49017.4</v>
      </c>
      <c r="AJ65" s="2">
        <f>PI()*W65^2*0.9144*0.9144</f>
        <v>490.17379973649605</v>
      </c>
      <c r="AK65" s="2">
        <v>759771</v>
      </c>
      <c r="AL65" s="2">
        <v>5276.19</v>
      </c>
      <c r="AM65" s="2">
        <v>4.9017400000000002</v>
      </c>
      <c r="AN65" s="2">
        <v>4.9017400000000003E-2</v>
      </c>
      <c r="AO65" s="42">
        <v>0.121125</v>
      </c>
      <c r="AP65" s="238" t="s">
        <v>7</v>
      </c>
      <c r="AQ65" s="355">
        <f t="shared" si="12"/>
        <v>0</v>
      </c>
      <c r="AR65" s="251">
        <f t="shared" si="13"/>
        <v>0</v>
      </c>
      <c r="AS65" s="73">
        <f t="shared" si="14"/>
        <v>0</v>
      </c>
      <c r="AT65" s="73">
        <f t="shared" si="15"/>
        <v>0</v>
      </c>
      <c r="AU65" s="73">
        <f t="shared" si="16"/>
        <v>0</v>
      </c>
      <c r="AV65" s="73">
        <f t="shared" si="17"/>
        <v>0</v>
      </c>
      <c r="AW65" s="73">
        <f t="shared" si="18"/>
        <v>0</v>
      </c>
      <c r="AX65" s="73">
        <f t="shared" si="19"/>
        <v>-2.1924471843545977E-5</v>
      </c>
      <c r="AY65" s="234">
        <f t="shared" si="20"/>
        <v>2.1660527924402208E-5</v>
      </c>
      <c r="AZ65" s="217">
        <f t="shared" si="21"/>
        <v>-4.0801837714770671E-5</v>
      </c>
      <c r="BA65" s="73">
        <f t="shared" si="22"/>
        <v>-4.0801837714770671E-5</v>
      </c>
      <c r="BB65" s="73">
        <f t="shared" si="23"/>
        <v>0</v>
      </c>
      <c r="BC65" s="73">
        <f t="shared" si="24"/>
        <v>4.085561162901828E-5</v>
      </c>
      <c r="BD65" s="73">
        <f t="shared" si="25"/>
        <v>0</v>
      </c>
      <c r="BE65" s="73">
        <f t="shared" si="26"/>
        <v>0</v>
      </c>
      <c r="BF65" s="73">
        <f t="shared" si="27"/>
        <v>0</v>
      </c>
      <c r="BG65" s="73">
        <f t="shared" si="28"/>
        <v>0</v>
      </c>
      <c r="BH65" s="230">
        <f t="shared" si="11"/>
        <v>0</v>
      </c>
    </row>
    <row r="66" spans="1:60" ht="15.75" thickBot="1" x14ac:dyDescent="0.3">
      <c r="A66" s="121">
        <v>683.02</v>
      </c>
      <c r="B66" s="122">
        <v>341.51</v>
      </c>
      <c r="C66" s="380" t="s">
        <v>20</v>
      </c>
      <c r="D66" s="121">
        <v>0.21457699999999999</v>
      </c>
      <c r="E66" s="335">
        <v>7.0399299999999998E-3</v>
      </c>
      <c r="F66" s="55">
        <v>8.4479200000000004E-2</v>
      </c>
      <c r="G66" s="335">
        <v>2.14577E-3</v>
      </c>
      <c r="H66" s="64">
        <v>1.3333200448474E-6</v>
      </c>
      <c r="I66" s="366">
        <v>2.1457700000000002</v>
      </c>
      <c r="J66" s="335">
        <v>2.3466400000000001E-3</v>
      </c>
      <c r="K66" s="122">
        <v>2145.77</v>
      </c>
      <c r="L66" s="334">
        <v>0.36640099999999998</v>
      </c>
      <c r="M66" s="335">
        <v>3.66401061237096E-3</v>
      </c>
      <c r="N66" s="64">
        <v>3.6640106123709601E-5</v>
      </c>
      <c r="O66" s="353">
        <v>3.6640106123709599E-7</v>
      </c>
      <c r="P66" s="329">
        <v>5.6792300000000002E-4</v>
      </c>
      <c r="Q66" s="333">
        <v>3.9439081997434699E-6</v>
      </c>
      <c r="R66" s="65">
        <v>3.6640106123709599E-9</v>
      </c>
      <c r="S66" s="71">
        <v>3.6640106123709603E-11</v>
      </c>
      <c r="T66" s="389">
        <v>9.0539674006966694E-11</v>
      </c>
      <c r="U66" s="144">
        <v>8</v>
      </c>
      <c r="V66" s="17">
        <v>683.02</v>
      </c>
      <c r="W66" s="10">
        <v>341.51</v>
      </c>
      <c r="X66" s="20" t="s">
        <v>20</v>
      </c>
      <c r="Y66" s="17">
        <v>0.21457699999999999</v>
      </c>
      <c r="Z66" s="357">
        <v>7.0399299999999998E-3</v>
      </c>
      <c r="AA66" s="9">
        <v>8.4479200000000004E-2</v>
      </c>
      <c r="AB66" s="357">
        <v>2.14577E-3</v>
      </c>
      <c r="AC66" s="36">
        <v>1.3333196631671E-6</v>
      </c>
      <c r="AD66" s="9">
        <v>2.1457700000000002</v>
      </c>
      <c r="AE66" s="357">
        <v>2.3466400000000001E-3</v>
      </c>
      <c r="AF66" s="10">
        <f>2*PI()*W66</f>
        <v>2145.7706142549005</v>
      </c>
      <c r="AG66" s="17">
        <f>PI()*W66^2/1000/1000</f>
        <v>0.36640106123709554</v>
      </c>
      <c r="AH66" s="357">
        <v>3.6640100000000001E-3</v>
      </c>
      <c r="AI66" s="37">
        <v>3.6640106123709601E-5</v>
      </c>
      <c r="AJ66" s="189">
        <v>3.6640106123709599E-7</v>
      </c>
      <c r="AK66" s="318">
        <v>5.6792300000000002E-4</v>
      </c>
      <c r="AL66" s="190">
        <v>3.9439081997434699E-6</v>
      </c>
      <c r="AM66" s="190">
        <v>3.6640106123709599E-9</v>
      </c>
      <c r="AN66" s="191">
        <v>3.6640106123709603E-11</v>
      </c>
      <c r="AO66" s="383">
        <v>9.0539674006966797E-11</v>
      </c>
      <c r="AP66" s="239" t="s">
        <v>20</v>
      </c>
      <c r="AQ66" s="356">
        <f t="shared" si="12"/>
        <v>0</v>
      </c>
      <c r="AR66" s="252">
        <f t="shared" si="13"/>
        <v>0</v>
      </c>
      <c r="AS66" s="97">
        <f t="shared" si="14"/>
        <v>0</v>
      </c>
      <c r="AT66" s="97">
        <f t="shared" si="15"/>
        <v>0</v>
      </c>
      <c r="AU66" s="97">
        <f t="shared" si="16"/>
        <v>0</v>
      </c>
      <c r="AV66" s="97">
        <f t="shared" si="17"/>
        <v>2.8626315996594844E-5</v>
      </c>
      <c r="AW66" s="97">
        <f t="shared" si="18"/>
        <v>0</v>
      </c>
      <c r="AX66" s="97">
        <f t="shared" si="19"/>
        <v>0</v>
      </c>
      <c r="AY66" s="235">
        <f t="shared" si="20"/>
        <v>-2.8626307789045583E-5</v>
      </c>
      <c r="AZ66" s="218">
        <f t="shared" si="21"/>
        <v>-1.6713132695165624E-5</v>
      </c>
      <c r="BA66" s="97">
        <f t="shared" si="22"/>
        <v>1.6713135606343047E-5</v>
      </c>
      <c r="BB66" s="97">
        <f t="shared" si="23"/>
        <v>0</v>
      </c>
      <c r="BC66" s="97">
        <f t="shared" si="24"/>
        <v>0</v>
      </c>
      <c r="BD66" s="97">
        <f t="shared" si="25"/>
        <v>0</v>
      </c>
      <c r="BE66" s="97">
        <f t="shared" si="26"/>
        <v>0</v>
      </c>
      <c r="BF66" s="97">
        <f t="shared" si="27"/>
        <v>0</v>
      </c>
      <c r="BG66" s="97">
        <f t="shared" si="28"/>
        <v>0</v>
      </c>
      <c r="BH66" s="231">
        <f t="shared" si="11"/>
        <v>-1.1420140143333437E-13</v>
      </c>
    </row>
    <row r="68" spans="1:60" x14ac:dyDescent="0.25">
      <c r="A68" s="145" t="s">
        <v>2</v>
      </c>
      <c r="B68" t="s">
        <v>3</v>
      </c>
    </row>
    <row r="69" spans="1:60" x14ac:dyDescent="0.25">
      <c r="A69" s="145" t="s">
        <v>44</v>
      </c>
      <c r="B69" s="507">
        <v>40801</v>
      </c>
    </row>
  </sheetData>
  <mergeCells count="39">
    <mergeCell ref="Y23:AF24"/>
    <mergeCell ref="AG23:AO24"/>
    <mergeCell ref="AP23:AQ23"/>
    <mergeCell ref="AR23:AY24"/>
    <mergeCell ref="AZ23:BH24"/>
    <mergeCell ref="AP24:AP25"/>
    <mergeCell ref="AQ24:AQ25"/>
    <mergeCell ref="U24:U25"/>
    <mergeCell ref="A23:C23"/>
    <mergeCell ref="D23:K24"/>
    <mergeCell ref="L23:T24"/>
    <mergeCell ref="U23:X23"/>
    <mergeCell ref="A24:A25"/>
    <mergeCell ref="B24:B25"/>
    <mergeCell ref="C24:C25"/>
    <mergeCell ref="V24:V25"/>
    <mergeCell ref="W24:W25"/>
    <mergeCell ref="X24:X25"/>
    <mergeCell ref="AZ56:BH57"/>
    <mergeCell ref="A57:A58"/>
    <mergeCell ref="B57:B58"/>
    <mergeCell ref="AP57:AP58"/>
    <mergeCell ref="AQ57:AQ58"/>
    <mergeCell ref="A1:T1"/>
    <mergeCell ref="U1:AO1"/>
    <mergeCell ref="AP1:BH1"/>
    <mergeCell ref="C57:C58"/>
    <mergeCell ref="U57:U58"/>
    <mergeCell ref="V57:V58"/>
    <mergeCell ref="W57:W58"/>
    <mergeCell ref="X57:X58"/>
    <mergeCell ref="A56:C56"/>
    <mergeCell ref="D56:K57"/>
    <mergeCell ref="L56:T57"/>
    <mergeCell ref="U56:X56"/>
    <mergeCell ref="Y56:AF57"/>
    <mergeCell ref="AG56:AO57"/>
    <mergeCell ref="AP56:AQ56"/>
    <mergeCell ref="AR56:AY57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S462"/>
  <sheetViews>
    <sheetView workbookViewId="0">
      <pane ySplit="1" topLeftCell="A432" activePane="bottomLeft" state="frozen"/>
      <selection pane="bottomLeft" activeCell="B462" sqref="A461:B462"/>
    </sheetView>
  </sheetViews>
  <sheetFormatPr defaultRowHeight="15" x14ac:dyDescent="0.25"/>
  <cols>
    <col min="1" max="1" width="12.140625" bestFit="1" customWidth="1"/>
    <col min="2" max="2" width="12" bestFit="1" customWidth="1"/>
    <col min="3" max="3" width="11" bestFit="1" customWidth="1"/>
    <col min="4" max="4" width="16.7109375" bestFit="1" customWidth="1"/>
    <col min="5" max="5" width="11.85546875" customWidth="1"/>
    <col min="6" max="6" width="17.85546875" bestFit="1" customWidth="1"/>
    <col min="8" max="8" width="10" bestFit="1" customWidth="1"/>
    <col min="9" max="9" width="22" bestFit="1" customWidth="1"/>
    <col min="10" max="10" width="10" bestFit="1" customWidth="1"/>
    <col min="11" max="11" width="14.7109375" bestFit="1" customWidth="1"/>
    <col min="12" max="12" width="26.140625" bestFit="1" customWidth="1"/>
    <col min="13" max="13" width="11" bestFit="1" customWidth="1"/>
    <col min="14" max="14" width="22" bestFit="1" customWidth="1"/>
    <col min="15" max="15" width="14.140625" bestFit="1" customWidth="1"/>
    <col min="16" max="16" width="24.140625" customWidth="1"/>
    <col min="17" max="17" width="25.28515625" customWidth="1"/>
    <col min="18" max="18" width="27.140625" bestFit="1" customWidth="1"/>
    <col min="19" max="19" width="26.28515625" customWidth="1"/>
    <col min="20" max="20" width="25.42578125" customWidth="1"/>
    <col min="21" max="21" width="26.42578125" customWidth="1"/>
    <col min="22" max="22" width="29.42578125" customWidth="1"/>
    <col min="23" max="24" width="31.42578125" bestFit="1" customWidth="1"/>
    <col min="26" max="26" width="13.7109375" customWidth="1"/>
    <col min="27" max="27" width="11.5703125" customWidth="1"/>
    <col min="28" max="28" width="11" bestFit="1" customWidth="1"/>
    <col min="29" max="29" width="18.85546875" bestFit="1" customWidth="1"/>
    <col min="30" max="30" width="12.85546875" customWidth="1"/>
    <col min="31" max="31" width="17.85546875" bestFit="1" customWidth="1"/>
    <col min="32" max="32" width="13.5703125" bestFit="1" customWidth="1"/>
    <col min="33" max="33" width="10" bestFit="1" customWidth="1"/>
    <col min="34" max="34" width="22" bestFit="1" customWidth="1"/>
    <col min="35" max="35" width="11" bestFit="1" customWidth="1"/>
    <col min="36" max="36" width="12.5703125" bestFit="1" customWidth="1"/>
    <col min="37" max="37" width="26.140625" bestFit="1" customWidth="1"/>
    <col min="38" max="38" width="11" bestFit="1" customWidth="1"/>
    <col min="39" max="39" width="22" bestFit="1" customWidth="1"/>
    <col min="40" max="40" width="14.140625" bestFit="1" customWidth="1"/>
    <col min="41" max="41" width="20.28515625" bestFit="1" customWidth="1"/>
    <col min="42" max="42" width="17.28515625" bestFit="1" customWidth="1"/>
    <col min="43" max="43" width="15.85546875" bestFit="1" customWidth="1"/>
    <col min="44" max="44" width="17.85546875" bestFit="1" customWidth="1"/>
    <col min="45" max="45" width="24" bestFit="1" customWidth="1"/>
    <col min="46" max="46" width="26.140625" bestFit="1" customWidth="1"/>
    <col min="47" max="47" width="20.85546875" bestFit="1" customWidth="1"/>
    <col min="48" max="48" width="22" bestFit="1" customWidth="1"/>
    <col min="49" max="49" width="31.28515625" bestFit="1" customWidth="1"/>
    <col min="50" max="50" width="14.42578125" bestFit="1" customWidth="1"/>
    <col min="51" max="52" width="24.7109375" bestFit="1" customWidth="1"/>
    <col min="53" max="53" width="31.28515625" customWidth="1"/>
    <col min="55" max="55" width="23" bestFit="1" customWidth="1"/>
    <col min="56" max="56" width="21.7109375" bestFit="1" customWidth="1"/>
    <col min="57" max="58" width="23" bestFit="1" customWidth="1"/>
    <col min="59" max="62" width="21.7109375" bestFit="1" customWidth="1"/>
    <col min="63" max="71" width="23.7109375" bestFit="1" customWidth="1"/>
  </cols>
  <sheetData>
    <row r="1" spans="1:71" ht="21.75" thickBot="1" x14ac:dyDescent="0.3">
      <c r="A1" s="894" t="s">
        <v>33</v>
      </c>
      <c r="B1" s="895"/>
      <c r="C1" s="895"/>
      <c r="D1" s="895"/>
      <c r="E1" s="895"/>
      <c r="F1" s="895"/>
      <c r="G1" s="895"/>
      <c r="H1" s="895"/>
      <c r="I1" s="895"/>
      <c r="J1" s="895"/>
      <c r="K1" s="895"/>
      <c r="L1" s="895"/>
      <c r="M1" s="895"/>
      <c r="N1" s="895"/>
      <c r="O1" s="895"/>
      <c r="P1" s="895"/>
      <c r="Q1" s="895"/>
      <c r="R1" s="895"/>
      <c r="S1" s="895"/>
      <c r="T1" s="895"/>
      <c r="U1" s="895"/>
      <c r="V1" s="895"/>
      <c r="W1" s="895"/>
      <c r="X1" s="896"/>
      <c r="Y1" s="894" t="s">
        <v>34</v>
      </c>
      <c r="Z1" s="895"/>
      <c r="AA1" s="895"/>
      <c r="AB1" s="895"/>
      <c r="AC1" s="895"/>
      <c r="AD1" s="895"/>
      <c r="AE1" s="895"/>
      <c r="AF1" s="895"/>
      <c r="AG1" s="895"/>
      <c r="AH1" s="895"/>
      <c r="AI1" s="895"/>
      <c r="AJ1" s="895"/>
      <c r="AK1" s="895"/>
      <c r="AL1" s="895"/>
      <c r="AM1" s="895"/>
      <c r="AN1" s="895"/>
      <c r="AO1" s="895"/>
      <c r="AP1" s="895"/>
      <c r="AQ1" s="895"/>
      <c r="AR1" s="895"/>
      <c r="AS1" s="895"/>
      <c r="AT1" s="895"/>
      <c r="AU1" s="895"/>
      <c r="AV1" s="895"/>
      <c r="AW1" s="896"/>
      <c r="AX1" s="894" t="s">
        <v>35</v>
      </c>
      <c r="AY1" s="895"/>
      <c r="AZ1" s="895"/>
      <c r="BA1" s="895"/>
      <c r="BB1" s="895"/>
      <c r="BC1" s="895"/>
      <c r="BD1" s="895"/>
      <c r="BE1" s="895"/>
      <c r="BF1" s="895"/>
      <c r="BG1" s="895"/>
      <c r="BH1" s="895"/>
      <c r="BI1" s="895"/>
      <c r="BJ1" s="895"/>
      <c r="BK1" s="895"/>
      <c r="BL1" s="895"/>
      <c r="BM1" s="895"/>
      <c r="BN1" s="895"/>
      <c r="BO1" s="895"/>
      <c r="BP1" s="895"/>
      <c r="BQ1" s="895"/>
      <c r="BR1" s="895"/>
      <c r="BS1" s="896"/>
    </row>
    <row r="2" spans="1:71" x14ac:dyDescent="0.25">
      <c r="A2" s="145"/>
      <c r="B2" s="507"/>
    </row>
    <row r="3" spans="1:71" x14ac:dyDescent="0.25">
      <c r="A3" s="636"/>
      <c r="B3" s="656"/>
      <c r="C3" s="625"/>
      <c r="D3" s="625"/>
      <c r="E3" s="625"/>
      <c r="F3" s="625"/>
      <c r="G3" s="625"/>
      <c r="H3" s="625"/>
      <c r="I3" s="625"/>
      <c r="J3" s="625"/>
      <c r="K3" s="625"/>
      <c r="L3" s="625"/>
      <c r="M3" s="625"/>
      <c r="N3" s="625"/>
      <c r="O3" s="625"/>
      <c r="P3" s="625"/>
      <c r="Q3" s="625"/>
      <c r="R3" s="625"/>
      <c r="S3" s="625"/>
      <c r="T3" s="625"/>
      <c r="U3" s="625"/>
      <c r="V3" s="625"/>
      <c r="W3" s="625"/>
      <c r="X3" s="625"/>
      <c r="Y3" s="625"/>
      <c r="Z3" s="625"/>
      <c r="AA3" s="625"/>
      <c r="AB3" s="625"/>
      <c r="AC3" s="625"/>
      <c r="AD3" s="625"/>
      <c r="AE3" s="625"/>
    </row>
    <row r="4" spans="1:71" ht="18.75" x14ac:dyDescent="0.3">
      <c r="A4" s="636"/>
      <c r="B4" s="656"/>
      <c r="C4" s="632">
        <v>1</v>
      </c>
      <c r="D4" s="625"/>
      <c r="E4" s="625"/>
      <c r="F4" s="625"/>
      <c r="G4" s="625"/>
      <c r="H4" s="633">
        <v>2</v>
      </c>
      <c r="I4" s="625"/>
      <c r="J4" s="625"/>
      <c r="K4" s="625"/>
      <c r="L4" s="625"/>
      <c r="M4" s="633">
        <v>3</v>
      </c>
      <c r="N4" s="625"/>
      <c r="O4" s="625"/>
      <c r="P4" s="625"/>
      <c r="Q4" s="633">
        <v>4</v>
      </c>
      <c r="R4" s="625"/>
      <c r="S4" s="632">
        <v>5</v>
      </c>
      <c r="T4" s="625"/>
      <c r="U4" s="625"/>
      <c r="V4" s="633">
        <v>6</v>
      </c>
      <c r="W4" s="625"/>
      <c r="X4" s="633">
        <v>7</v>
      </c>
      <c r="Y4" s="625"/>
      <c r="Z4" s="625"/>
      <c r="AA4" s="625"/>
      <c r="AB4" s="625"/>
      <c r="AC4" s="633">
        <v>8</v>
      </c>
      <c r="AD4" s="625"/>
      <c r="AE4" s="625"/>
    </row>
    <row r="5" spans="1:71" x14ac:dyDescent="0.25">
      <c r="A5" s="625"/>
      <c r="B5" s="625"/>
      <c r="C5" s="625"/>
      <c r="D5" s="625"/>
      <c r="E5" s="625"/>
      <c r="F5" s="625"/>
      <c r="G5" s="625"/>
      <c r="H5" s="625"/>
      <c r="I5" s="625"/>
      <c r="J5" s="625"/>
      <c r="K5" s="625"/>
      <c r="L5" s="625"/>
      <c r="M5" s="625"/>
      <c r="N5" s="625"/>
      <c r="O5" s="625"/>
      <c r="P5" s="625"/>
      <c r="Q5" s="625"/>
      <c r="R5" s="625"/>
      <c r="S5" s="625"/>
      <c r="T5" s="625"/>
      <c r="U5" s="625"/>
      <c r="V5" s="625"/>
      <c r="W5" s="625"/>
      <c r="X5" s="625"/>
      <c r="Y5" s="625"/>
      <c r="Z5" s="625"/>
      <c r="AA5" s="625"/>
      <c r="AB5" s="625"/>
      <c r="AC5" s="625"/>
      <c r="AD5" s="625"/>
      <c r="AE5" s="625"/>
    </row>
    <row r="6" spans="1:71" x14ac:dyDescent="0.25">
      <c r="A6" s="625"/>
      <c r="B6" s="625"/>
      <c r="C6" s="625"/>
      <c r="D6" s="625"/>
      <c r="E6" s="625"/>
      <c r="F6" s="625"/>
      <c r="G6" s="625"/>
      <c r="H6" s="625"/>
      <c r="I6" s="625"/>
      <c r="J6" s="625"/>
      <c r="K6" s="625"/>
      <c r="L6" s="625"/>
      <c r="M6" s="625"/>
      <c r="N6" s="625"/>
      <c r="O6" s="625"/>
      <c r="P6" s="625"/>
      <c r="Q6" s="625"/>
      <c r="R6" s="625"/>
      <c r="S6" s="625"/>
      <c r="T6" s="625"/>
      <c r="U6" s="625"/>
      <c r="V6" s="625"/>
      <c r="W6" s="625"/>
      <c r="X6" s="625"/>
      <c r="Y6" s="625"/>
      <c r="Z6" s="625"/>
      <c r="AA6" s="625"/>
      <c r="AB6" s="625"/>
      <c r="AC6" s="625"/>
      <c r="AD6" s="625"/>
      <c r="AE6" s="625"/>
    </row>
    <row r="7" spans="1:71" x14ac:dyDescent="0.25">
      <c r="A7" s="625"/>
      <c r="B7" s="625"/>
      <c r="C7" s="625"/>
      <c r="D7" s="625"/>
      <c r="E7" s="625"/>
      <c r="F7" s="625"/>
      <c r="G7" s="625"/>
      <c r="H7" s="625"/>
      <c r="I7" s="625"/>
      <c r="J7" s="625"/>
      <c r="K7" s="625"/>
      <c r="L7" s="625"/>
      <c r="M7" s="625"/>
      <c r="N7" s="625"/>
      <c r="O7" s="625"/>
      <c r="P7" s="625"/>
      <c r="Q7" s="625"/>
      <c r="R7" s="625"/>
      <c r="S7" s="625"/>
      <c r="T7" s="625"/>
      <c r="U7" s="625"/>
      <c r="V7" s="625"/>
      <c r="W7" s="625"/>
      <c r="X7" s="625"/>
      <c r="Y7" s="625"/>
      <c r="Z7" s="625"/>
      <c r="AA7" s="625"/>
      <c r="AB7" s="625"/>
      <c r="AC7" s="625"/>
      <c r="AD7" s="625"/>
      <c r="AE7" s="625"/>
    </row>
    <row r="8" spans="1:71" x14ac:dyDescent="0.25">
      <c r="A8" s="625"/>
      <c r="B8" s="625"/>
      <c r="C8" s="625"/>
      <c r="D8" s="625"/>
      <c r="E8" s="625"/>
      <c r="F8" s="625"/>
      <c r="G8" s="625"/>
      <c r="H8" s="625"/>
      <c r="I8" s="625"/>
      <c r="J8" s="625"/>
      <c r="K8" s="625"/>
      <c r="L8" s="625"/>
      <c r="M8" s="625"/>
      <c r="N8" s="625"/>
      <c r="O8" s="625"/>
      <c r="P8" s="625"/>
      <c r="Q8" s="625"/>
      <c r="R8" s="625"/>
      <c r="S8" s="625"/>
      <c r="T8" s="625"/>
      <c r="U8" s="625"/>
      <c r="V8" s="625"/>
      <c r="W8" s="625"/>
      <c r="X8" s="625"/>
      <c r="Y8" s="625"/>
      <c r="Z8" s="625"/>
      <c r="AA8" s="625"/>
      <c r="AB8" s="625"/>
      <c r="AC8" s="625"/>
      <c r="AD8" s="625"/>
      <c r="AE8" s="625"/>
    </row>
    <row r="9" spans="1:71" x14ac:dyDescent="0.25">
      <c r="A9" s="625"/>
      <c r="B9" s="625"/>
      <c r="C9" s="625"/>
      <c r="D9" s="625"/>
      <c r="E9" s="625"/>
      <c r="F9" s="625"/>
      <c r="G9" s="625"/>
      <c r="H9" s="625"/>
      <c r="I9" s="625"/>
      <c r="J9" s="625"/>
      <c r="K9" s="625"/>
      <c r="L9" s="625"/>
      <c r="M9" s="625"/>
      <c r="N9" s="625"/>
      <c r="O9" s="625"/>
      <c r="P9" s="625"/>
      <c r="Q9" s="625"/>
      <c r="R9" s="625"/>
      <c r="S9" s="625"/>
      <c r="T9" s="625"/>
      <c r="U9" s="625"/>
      <c r="V9" s="625"/>
      <c r="W9" s="625"/>
      <c r="X9" s="625"/>
      <c r="Y9" s="625"/>
      <c r="Z9" s="625"/>
      <c r="AA9" s="625"/>
      <c r="AB9" s="625"/>
      <c r="AC9" s="625"/>
      <c r="AD9" s="625"/>
      <c r="AE9" s="625"/>
    </row>
    <row r="10" spans="1:71" x14ac:dyDescent="0.25">
      <c r="A10" s="625"/>
      <c r="B10" s="625"/>
      <c r="C10" s="625"/>
      <c r="D10" s="625"/>
      <c r="E10" s="625"/>
      <c r="F10" s="625"/>
      <c r="G10" s="625"/>
      <c r="H10" s="625"/>
      <c r="I10" s="625"/>
      <c r="J10" s="625"/>
      <c r="K10" s="625"/>
      <c r="L10" s="625"/>
      <c r="M10" s="625"/>
      <c r="N10" s="625"/>
      <c r="O10" s="625"/>
      <c r="P10" s="625"/>
      <c r="Q10" s="625"/>
      <c r="R10" s="625"/>
      <c r="S10" s="625"/>
      <c r="T10" s="625"/>
      <c r="U10" s="625"/>
      <c r="V10" s="625"/>
      <c r="W10" s="625"/>
      <c r="X10" s="625"/>
      <c r="Y10" s="625"/>
      <c r="Z10" s="625"/>
      <c r="AA10" s="625"/>
      <c r="AB10" s="625"/>
      <c r="AC10" s="625"/>
      <c r="AD10" s="625"/>
      <c r="AE10" s="625"/>
    </row>
    <row r="11" spans="1:71" x14ac:dyDescent="0.25">
      <c r="A11" s="625"/>
      <c r="B11" s="625"/>
      <c r="C11" s="625"/>
      <c r="D11" s="625"/>
      <c r="E11" s="625"/>
      <c r="F11" s="625"/>
      <c r="G11" s="625"/>
      <c r="H11" s="625"/>
      <c r="I11" s="625"/>
      <c r="J11" s="625"/>
      <c r="K11" s="625"/>
      <c r="L11" s="625"/>
      <c r="M11" s="625"/>
      <c r="N11" s="625"/>
      <c r="O11" s="625"/>
      <c r="P11" s="625"/>
      <c r="Q11" s="625"/>
      <c r="R11" s="625"/>
      <c r="S11" s="625"/>
      <c r="T11" s="625"/>
      <c r="U11" s="625"/>
      <c r="V11" s="625"/>
      <c r="W11" s="625"/>
      <c r="X11" s="625"/>
      <c r="Y11" s="625"/>
      <c r="Z11" s="625"/>
      <c r="AA11" s="625"/>
      <c r="AB11" s="625"/>
      <c r="AC11" s="625"/>
      <c r="AD11" s="625"/>
      <c r="AE11" s="625"/>
    </row>
    <row r="12" spans="1:71" x14ac:dyDescent="0.25">
      <c r="A12" s="625"/>
      <c r="B12" s="625"/>
      <c r="C12" s="625"/>
      <c r="D12" s="625"/>
      <c r="E12" s="625"/>
      <c r="F12" s="625"/>
      <c r="G12" s="625"/>
      <c r="H12" s="625"/>
      <c r="I12" s="625"/>
      <c r="J12" s="625"/>
      <c r="K12" s="625"/>
      <c r="L12" s="625"/>
      <c r="M12" s="625"/>
      <c r="N12" s="625"/>
      <c r="O12" s="625"/>
      <c r="P12" s="625"/>
      <c r="Q12" s="625"/>
      <c r="R12" s="625"/>
      <c r="S12" s="625"/>
      <c r="T12" s="625"/>
      <c r="U12" s="625"/>
      <c r="V12" s="625"/>
      <c r="W12" s="625"/>
      <c r="X12" s="625"/>
      <c r="Y12" s="625"/>
      <c r="Z12" s="625"/>
      <c r="AA12" s="625"/>
      <c r="AB12" s="625"/>
      <c r="AC12" s="625"/>
      <c r="AD12" s="625"/>
      <c r="AE12" s="625"/>
    </row>
    <row r="13" spans="1:71" x14ac:dyDescent="0.25">
      <c r="A13" s="625"/>
      <c r="B13" s="625"/>
      <c r="C13" s="625"/>
      <c r="D13" s="625"/>
      <c r="E13" s="625"/>
      <c r="F13" s="625"/>
      <c r="G13" s="625"/>
      <c r="H13" s="625"/>
      <c r="I13" s="625"/>
      <c r="J13" s="625"/>
      <c r="K13" s="625"/>
      <c r="L13" s="625"/>
      <c r="M13" s="625"/>
      <c r="N13" s="625"/>
      <c r="O13" s="625"/>
      <c r="P13" s="625"/>
      <c r="Q13" s="625"/>
      <c r="R13" s="625"/>
      <c r="S13" s="625"/>
      <c r="T13" s="625"/>
      <c r="U13" s="625"/>
      <c r="V13" s="625"/>
      <c r="W13" s="625"/>
      <c r="X13" s="625"/>
      <c r="Y13" s="625"/>
      <c r="Z13" s="625"/>
      <c r="AA13" s="625"/>
      <c r="AB13" s="625"/>
      <c r="AC13" s="625"/>
      <c r="AD13" s="625"/>
      <c r="AE13" s="625"/>
    </row>
    <row r="14" spans="1:71" x14ac:dyDescent="0.25">
      <c r="A14" s="625"/>
      <c r="B14" s="625"/>
      <c r="C14" s="625"/>
      <c r="D14" s="625"/>
      <c r="E14" s="625"/>
      <c r="F14" s="625"/>
      <c r="G14" s="625"/>
      <c r="H14" s="625"/>
      <c r="I14" s="625"/>
      <c r="J14" s="625"/>
      <c r="K14" s="625"/>
      <c r="L14" s="625"/>
      <c r="M14" s="625"/>
      <c r="N14" s="625"/>
      <c r="O14" s="625"/>
      <c r="P14" s="625"/>
      <c r="Q14" s="625"/>
      <c r="R14" s="625"/>
      <c r="S14" s="625"/>
      <c r="T14" s="625"/>
      <c r="U14" s="625"/>
      <c r="V14" s="625"/>
      <c r="W14" s="625"/>
      <c r="X14" s="625"/>
      <c r="Y14" s="625"/>
      <c r="Z14" s="625"/>
      <c r="AA14" s="625"/>
      <c r="AB14" s="625"/>
      <c r="AC14" s="625"/>
      <c r="AD14" s="625"/>
      <c r="AE14" s="625"/>
    </row>
    <row r="15" spans="1:71" x14ac:dyDescent="0.25">
      <c r="A15" s="625"/>
      <c r="B15" s="625"/>
      <c r="C15" s="625"/>
      <c r="D15" s="625"/>
      <c r="E15" s="625"/>
      <c r="F15" s="625"/>
      <c r="G15" s="625"/>
      <c r="H15" s="625"/>
      <c r="I15" s="625"/>
      <c r="J15" s="625"/>
      <c r="K15" s="625"/>
      <c r="L15" s="625"/>
      <c r="M15" s="625"/>
      <c r="N15" s="625"/>
      <c r="O15" s="625"/>
      <c r="P15" s="625"/>
      <c r="Q15" s="625"/>
      <c r="R15" s="625"/>
      <c r="S15" s="625"/>
      <c r="T15" s="625"/>
      <c r="U15" s="625"/>
      <c r="V15" s="625"/>
      <c r="W15" s="625"/>
      <c r="X15" s="625"/>
      <c r="Y15" s="625"/>
      <c r="Z15" s="625"/>
      <c r="AA15" s="625"/>
      <c r="AB15" s="625"/>
      <c r="AC15" s="625"/>
      <c r="AD15" s="625"/>
      <c r="AE15" s="625"/>
    </row>
    <row r="16" spans="1:71" x14ac:dyDescent="0.25">
      <c r="A16" s="625"/>
      <c r="B16" s="625"/>
      <c r="C16" s="625"/>
      <c r="D16" s="625"/>
      <c r="E16" s="625"/>
      <c r="F16" s="625"/>
      <c r="G16" s="625"/>
      <c r="H16" s="625"/>
      <c r="I16" s="625"/>
      <c r="J16" s="625"/>
      <c r="K16" s="625"/>
      <c r="L16" s="625"/>
      <c r="M16" s="625"/>
      <c r="N16" s="625"/>
      <c r="O16" s="625"/>
      <c r="P16" s="625"/>
      <c r="Q16" s="625"/>
      <c r="R16" s="625"/>
      <c r="S16" s="625"/>
      <c r="T16" s="625"/>
      <c r="U16" s="625"/>
      <c r="V16" s="625"/>
      <c r="W16" s="625"/>
      <c r="X16" s="625"/>
      <c r="Y16" s="625"/>
      <c r="Z16" s="625"/>
      <c r="AA16" s="625"/>
      <c r="AB16" s="625"/>
      <c r="AC16" s="625"/>
      <c r="AD16" s="625"/>
      <c r="AE16" s="625"/>
    </row>
    <row r="17" spans="1:71" x14ac:dyDescent="0.25">
      <c r="A17" s="625"/>
      <c r="B17" s="625"/>
      <c r="C17" s="625"/>
      <c r="D17" s="625"/>
      <c r="E17" s="625"/>
      <c r="F17" s="625"/>
      <c r="G17" s="625"/>
      <c r="H17" s="625"/>
      <c r="I17" s="625"/>
      <c r="J17" s="625"/>
      <c r="K17" s="625"/>
      <c r="L17" s="625"/>
      <c r="M17" s="625"/>
      <c r="N17" s="625"/>
      <c r="O17" s="625"/>
      <c r="P17" s="625"/>
      <c r="Q17" s="625"/>
      <c r="R17" s="625"/>
      <c r="S17" s="625"/>
      <c r="T17" s="625"/>
      <c r="U17" s="625"/>
      <c r="V17" s="625"/>
      <c r="W17" s="625"/>
      <c r="X17" s="625"/>
      <c r="Y17" s="625"/>
      <c r="Z17" s="625"/>
      <c r="AA17" s="625"/>
      <c r="AB17" s="625"/>
      <c r="AC17" s="625"/>
      <c r="AD17" s="625"/>
      <c r="AE17" s="625"/>
    </row>
    <row r="18" spans="1:71" x14ac:dyDescent="0.25">
      <c r="A18" s="625"/>
      <c r="B18" s="625"/>
      <c r="C18" s="625"/>
      <c r="D18" s="625"/>
      <c r="E18" s="625"/>
      <c r="F18" s="625"/>
      <c r="G18" s="625"/>
      <c r="H18" s="625"/>
      <c r="I18" s="625"/>
      <c r="J18" s="625"/>
      <c r="K18" s="625"/>
      <c r="L18" s="625"/>
      <c r="M18" s="625"/>
      <c r="N18" s="625"/>
      <c r="O18" s="625"/>
      <c r="P18" s="625"/>
      <c r="Q18" s="625"/>
      <c r="R18" s="625"/>
      <c r="S18" s="625"/>
      <c r="T18" s="625"/>
      <c r="U18" s="625"/>
      <c r="V18" s="625"/>
      <c r="W18" s="625"/>
      <c r="X18" s="625"/>
      <c r="Y18" s="625"/>
      <c r="Z18" s="625"/>
      <c r="AA18" s="625"/>
      <c r="AB18" s="625"/>
      <c r="AC18" s="625"/>
      <c r="AD18" s="625"/>
      <c r="AE18" s="625"/>
    </row>
    <row r="19" spans="1:71" x14ac:dyDescent="0.25">
      <c r="A19" s="625"/>
      <c r="B19" s="625"/>
      <c r="C19" s="625"/>
      <c r="D19" s="625"/>
      <c r="E19" s="625"/>
      <c r="F19" s="625"/>
      <c r="G19" s="625"/>
      <c r="H19" s="625"/>
      <c r="I19" s="625"/>
      <c r="J19" s="625"/>
      <c r="K19" s="625"/>
      <c r="L19" s="625"/>
      <c r="M19" s="625"/>
      <c r="N19" s="625"/>
      <c r="O19" s="625"/>
      <c r="P19" s="625"/>
      <c r="Q19" s="625"/>
      <c r="R19" s="625"/>
      <c r="S19" s="625"/>
      <c r="T19" s="625"/>
      <c r="U19" s="625"/>
      <c r="V19" s="625"/>
      <c r="W19" s="625"/>
      <c r="X19" s="625"/>
      <c r="Y19" s="625"/>
      <c r="Z19" s="625"/>
      <c r="AA19" s="625"/>
      <c r="AB19" s="625"/>
      <c r="AC19" s="625"/>
      <c r="AD19" s="625"/>
      <c r="AE19" s="625"/>
    </row>
    <row r="20" spans="1:71" x14ac:dyDescent="0.25">
      <c r="A20" s="625"/>
      <c r="B20" s="625"/>
      <c r="C20" s="625"/>
      <c r="D20" s="625"/>
      <c r="E20" s="625"/>
      <c r="F20" s="625"/>
      <c r="G20" s="625"/>
      <c r="H20" s="625"/>
      <c r="I20" s="625"/>
      <c r="J20" s="625"/>
      <c r="K20" s="625"/>
      <c r="L20" s="625"/>
      <c r="M20" s="625"/>
      <c r="N20" s="625"/>
      <c r="O20" s="625"/>
      <c r="P20" s="625"/>
      <c r="Q20" s="625"/>
      <c r="R20" s="625"/>
      <c r="S20" s="625"/>
      <c r="T20" s="625"/>
      <c r="U20" s="625"/>
      <c r="V20" s="625"/>
      <c r="W20" s="625"/>
      <c r="X20" s="625"/>
      <c r="Y20" s="625"/>
      <c r="Z20" s="625"/>
      <c r="AA20" s="625"/>
      <c r="AB20" s="625"/>
      <c r="AC20" s="625"/>
      <c r="AD20" s="625"/>
      <c r="AE20" s="625"/>
    </row>
    <row r="21" spans="1:71" x14ac:dyDescent="0.25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25"/>
      <c r="S21" s="625"/>
      <c r="T21" s="625"/>
      <c r="U21" s="625"/>
      <c r="V21" s="625"/>
      <c r="W21" s="625"/>
      <c r="X21" s="625"/>
      <c r="Y21" s="625"/>
      <c r="Z21" s="625"/>
      <c r="AA21" s="625"/>
      <c r="AB21" s="625"/>
      <c r="AC21" s="625"/>
      <c r="AD21" s="625"/>
      <c r="AE21" s="625"/>
    </row>
    <row r="22" spans="1:71" x14ac:dyDescent="0.25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25"/>
      <c r="S22" s="625"/>
      <c r="T22" s="625"/>
      <c r="U22" s="625"/>
      <c r="V22" s="625"/>
      <c r="W22" s="625"/>
      <c r="X22" s="625"/>
      <c r="Y22" s="625"/>
      <c r="Z22" s="625"/>
      <c r="AA22" s="625"/>
      <c r="AB22" s="625"/>
      <c r="AC22" s="625"/>
      <c r="AD22" s="625"/>
      <c r="AE22" s="625"/>
    </row>
    <row r="23" spans="1:71" x14ac:dyDescent="0.25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25"/>
      <c r="S23" s="625"/>
      <c r="T23" s="625"/>
      <c r="U23" s="625"/>
      <c r="V23" s="625"/>
      <c r="W23" s="625"/>
      <c r="X23" s="625"/>
      <c r="Y23" s="625"/>
      <c r="Z23" s="625"/>
      <c r="AA23" s="625"/>
      <c r="AB23" s="625"/>
      <c r="AC23" s="625"/>
      <c r="AD23" s="625"/>
      <c r="AE23" s="625"/>
    </row>
    <row r="24" spans="1:71" ht="15.75" thickBot="1" x14ac:dyDescent="0.3"/>
    <row r="25" spans="1:71" ht="14.25" customHeight="1" thickBot="1" x14ac:dyDescent="0.3">
      <c r="A25" s="915" t="s">
        <v>66</v>
      </c>
      <c r="B25" s="916"/>
      <c r="C25" s="916"/>
      <c r="D25" s="916"/>
      <c r="E25" s="916"/>
      <c r="F25" s="916"/>
      <c r="G25" s="931"/>
      <c r="H25" s="917" t="s">
        <v>1</v>
      </c>
      <c r="I25" s="902"/>
      <c r="J25" s="902"/>
      <c r="K25" s="902"/>
      <c r="L25" s="902"/>
      <c r="M25" s="902"/>
      <c r="N25" s="902"/>
      <c r="O25" s="903"/>
      <c r="P25" s="917" t="s">
        <v>0</v>
      </c>
      <c r="Q25" s="902"/>
      <c r="R25" s="902"/>
      <c r="S25" s="902"/>
      <c r="T25" s="902"/>
      <c r="U25" s="902"/>
      <c r="V25" s="902"/>
      <c r="W25" s="902"/>
      <c r="X25" s="903"/>
      <c r="Y25" s="918"/>
      <c r="Z25" s="919"/>
      <c r="AA25" s="919"/>
      <c r="AB25" s="919"/>
      <c r="AC25" s="919"/>
      <c r="AD25" s="919"/>
      <c r="AE25" s="919"/>
      <c r="AF25" s="932"/>
      <c r="AG25" s="888" t="s">
        <v>81</v>
      </c>
      <c r="AH25" s="889"/>
      <c r="AI25" s="889"/>
      <c r="AJ25" s="889"/>
      <c r="AK25" s="889"/>
      <c r="AL25" s="889"/>
      <c r="AM25" s="889"/>
      <c r="AN25" s="890"/>
      <c r="AO25" s="888" t="s">
        <v>83</v>
      </c>
      <c r="AP25" s="902"/>
      <c r="AQ25" s="902"/>
      <c r="AR25" s="902"/>
      <c r="AS25" s="902"/>
      <c r="AT25" s="902"/>
      <c r="AU25" s="902"/>
      <c r="AV25" s="902"/>
      <c r="AW25" s="903"/>
      <c r="AX25" s="900"/>
      <c r="AY25" s="900"/>
      <c r="AZ25" s="900"/>
      <c r="BA25" s="900"/>
      <c r="BB25" s="928"/>
      <c r="BC25" s="901" t="s">
        <v>1</v>
      </c>
      <c r="BD25" s="902"/>
      <c r="BE25" s="902"/>
      <c r="BF25" s="902"/>
      <c r="BG25" s="902"/>
      <c r="BH25" s="902"/>
      <c r="BI25" s="902"/>
      <c r="BJ25" s="903"/>
      <c r="BK25" s="901" t="s">
        <v>0</v>
      </c>
      <c r="BL25" s="902"/>
      <c r="BM25" s="902"/>
      <c r="BN25" s="902"/>
      <c r="BO25" s="902"/>
      <c r="BP25" s="902"/>
      <c r="BQ25" s="902"/>
      <c r="BR25" s="902"/>
      <c r="BS25" s="903"/>
    </row>
    <row r="26" spans="1:71" ht="15" customHeight="1" thickBot="1" x14ac:dyDescent="0.3">
      <c r="A26" s="907" t="s">
        <v>58</v>
      </c>
      <c r="B26" s="909" t="s">
        <v>63</v>
      </c>
      <c r="C26" s="909" t="s">
        <v>64</v>
      </c>
      <c r="D26" s="909" t="s">
        <v>82</v>
      </c>
      <c r="E26" s="911" t="s">
        <v>15</v>
      </c>
      <c r="F26" s="909" t="s">
        <v>16</v>
      </c>
      <c r="G26" s="929" t="s">
        <v>19</v>
      </c>
      <c r="H26" s="906"/>
      <c r="I26" s="904"/>
      <c r="J26" s="904"/>
      <c r="K26" s="904"/>
      <c r="L26" s="904"/>
      <c r="M26" s="904"/>
      <c r="N26" s="904"/>
      <c r="O26" s="905"/>
      <c r="P26" s="906"/>
      <c r="Q26" s="904"/>
      <c r="R26" s="904"/>
      <c r="S26" s="904"/>
      <c r="T26" s="904"/>
      <c r="U26" s="904"/>
      <c r="V26" s="904"/>
      <c r="W26" s="904"/>
      <c r="X26" s="905"/>
      <c r="Y26" s="912" t="s">
        <v>40</v>
      </c>
      <c r="Z26" s="914" t="s">
        <v>58</v>
      </c>
      <c r="AA26" s="914" t="s">
        <v>63</v>
      </c>
      <c r="AB26" s="914" t="s">
        <v>64</v>
      </c>
      <c r="AC26" s="914" t="s">
        <v>82</v>
      </c>
      <c r="AD26" s="912" t="s">
        <v>41</v>
      </c>
      <c r="AE26" s="914" t="s">
        <v>16</v>
      </c>
      <c r="AF26" s="912" t="s">
        <v>19</v>
      </c>
      <c r="AG26" s="891"/>
      <c r="AH26" s="892"/>
      <c r="AI26" s="892"/>
      <c r="AJ26" s="892"/>
      <c r="AK26" s="892"/>
      <c r="AL26" s="892"/>
      <c r="AM26" s="892"/>
      <c r="AN26" s="893"/>
      <c r="AO26" s="906"/>
      <c r="AP26" s="904"/>
      <c r="AQ26" s="904"/>
      <c r="AR26" s="904"/>
      <c r="AS26" s="904"/>
      <c r="AT26" s="904"/>
      <c r="AU26" s="904"/>
      <c r="AV26" s="904"/>
      <c r="AW26" s="905"/>
      <c r="AX26" s="897" t="s">
        <v>15</v>
      </c>
      <c r="AY26" s="899" t="s">
        <v>58</v>
      </c>
      <c r="AZ26" s="899" t="s">
        <v>65</v>
      </c>
      <c r="BA26" s="899" t="s">
        <v>16</v>
      </c>
      <c r="BB26" s="897" t="s">
        <v>19</v>
      </c>
      <c r="BC26" s="904"/>
      <c r="BD26" s="904"/>
      <c r="BE26" s="904"/>
      <c r="BF26" s="904"/>
      <c r="BG26" s="904"/>
      <c r="BH26" s="904"/>
      <c r="BI26" s="904"/>
      <c r="BJ26" s="905"/>
      <c r="BK26" s="906"/>
      <c r="BL26" s="904"/>
      <c r="BM26" s="904"/>
      <c r="BN26" s="904"/>
      <c r="BO26" s="904"/>
      <c r="BP26" s="904"/>
      <c r="BQ26" s="904"/>
      <c r="BR26" s="904"/>
      <c r="BS26" s="905"/>
    </row>
    <row r="27" spans="1:71" ht="15.75" thickBot="1" x14ac:dyDescent="0.3">
      <c r="A27" s="922"/>
      <c r="B27" s="923"/>
      <c r="C27" s="923"/>
      <c r="D27" s="923"/>
      <c r="E27" s="910"/>
      <c r="F27" s="910"/>
      <c r="G27" s="936"/>
      <c r="H27" s="103" t="s">
        <v>9</v>
      </c>
      <c r="I27" s="104" t="s">
        <v>5</v>
      </c>
      <c r="J27" s="104" t="s">
        <v>8</v>
      </c>
      <c r="K27" s="104" t="s">
        <v>4</v>
      </c>
      <c r="L27" s="104" t="s">
        <v>10</v>
      </c>
      <c r="M27" s="104" t="s">
        <v>6</v>
      </c>
      <c r="N27" s="104" t="s">
        <v>7</v>
      </c>
      <c r="O27" s="105" t="s">
        <v>20</v>
      </c>
      <c r="P27" s="103" t="s">
        <v>22</v>
      </c>
      <c r="Q27" s="104" t="s">
        <v>23</v>
      </c>
      <c r="R27" s="104" t="s">
        <v>24</v>
      </c>
      <c r="S27" s="104" t="s">
        <v>25</v>
      </c>
      <c r="T27" s="104" t="s">
        <v>26</v>
      </c>
      <c r="U27" s="104" t="s">
        <v>27</v>
      </c>
      <c r="V27" s="104" t="s">
        <v>28</v>
      </c>
      <c r="W27" s="104" t="s">
        <v>29</v>
      </c>
      <c r="X27" s="105" t="s">
        <v>30</v>
      </c>
      <c r="Y27" s="913"/>
      <c r="Z27" s="921"/>
      <c r="AA27" s="921"/>
      <c r="AB27" s="921"/>
      <c r="AC27" s="921"/>
      <c r="AD27" s="913"/>
      <c r="AE27" s="913"/>
      <c r="AF27" s="913"/>
      <c r="AG27" s="109" t="s">
        <v>9</v>
      </c>
      <c r="AH27" s="110" t="s">
        <v>5</v>
      </c>
      <c r="AI27" s="110" t="s">
        <v>8</v>
      </c>
      <c r="AJ27" s="110" t="s">
        <v>4</v>
      </c>
      <c r="AK27" s="110" t="s">
        <v>10</v>
      </c>
      <c r="AL27" s="110" t="s">
        <v>6</v>
      </c>
      <c r="AM27" s="110" t="s">
        <v>7</v>
      </c>
      <c r="AN27" s="111" t="s">
        <v>20</v>
      </c>
      <c r="AO27" s="106" t="s">
        <v>22</v>
      </c>
      <c r="AP27" s="107" t="s">
        <v>23</v>
      </c>
      <c r="AQ27" s="107" t="s">
        <v>24</v>
      </c>
      <c r="AR27" s="107" t="s">
        <v>25</v>
      </c>
      <c r="AS27" s="107" t="s">
        <v>26</v>
      </c>
      <c r="AT27" s="107" t="s">
        <v>27</v>
      </c>
      <c r="AU27" s="107" t="s">
        <v>28</v>
      </c>
      <c r="AV27" s="107" t="s">
        <v>29</v>
      </c>
      <c r="AW27" s="108" t="s">
        <v>30</v>
      </c>
      <c r="AX27" s="898"/>
      <c r="AY27" s="920"/>
      <c r="AZ27" s="920"/>
      <c r="BA27" s="920"/>
      <c r="BB27" s="937"/>
      <c r="BC27" s="132" t="s">
        <v>9</v>
      </c>
      <c r="BD27" s="132" t="s">
        <v>5</v>
      </c>
      <c r="BE27" s="132" t="s">
        <v>8</v>
      </c>
      <c r="BF27" s="132" t="s">
        <v>4</v>
      </c>
      <c r="BG27" s="132" t="s">
        <v>10</v>
      </c>
      <c r="BH27" s="132" t="s">
        <v>6</v>
      </c>
      <c r="BI27" s="132" t="s">
        <v>7</v>
      </c>
      <c r="BJ27" s="132" t="s">
        <v>20</v>
      </c>
      <c r="BK27" s="131" t="s">
        <v>22</v>
      </c>
      <c r="BL27" s="131" t="s">
        <v>23</v>
      </c>
      <c r="BM27" s="131" t="s">
        <v>24</v>
      </c>
      <c r="BN27" s="131" t="s">
        <v>25</v>
      </c>
      <c r="BO27" s="131" t="s">
        <v>26</v>
      </c>
      <c r="BP27" s="131" t="s">
        <v>27</v>
      </c>
      <c r="BQ27" s="131" t="s">
        <v>28</v>
      </c>
      <c r="BR27" s="131" t="s">
        <v>29</v>
      </c>
      <c r="BS27" s="132" t="s">
        <v>30</v>
      </c>
    </row>
    <row r="28" spans="1:71" x14ac:dyDescent="0.25">
      <c r="A28" s="114">
        <v>111.00011000833</v>
      </c>
      <c r="B28" s="115">
        <v>88</v>
      </c>
      <c r="C28" s="115">
        <v>9.0931700000000006</v>
      </c>
      <c r="D28" s="180">
        <v>90.484608348103706</v>
      </c>
      <c r="E28" s="378" t="s">
        <v>9</v>
      </c>
      <c r="F28" s="431">
        <v>46.706135416005203</v>
      </c>
      <c r="G28" s="210" t="s">
        <v>21</v>
      </c>
      <c r="H28" s="114">
        <v>178.48500000000001</v>
      </c>
      <c r="I28" s="115">
        <v>5.8557899999999998</v>
      </c>
      <c r="J28" s="115">
        <v>70.269499999999994</v>
      </c>
      <c r="K28" s="115">
        <v>1.78485</v>
      </c>
      <c r="L28" s="311">
        <v>1.1090500000000001E-3</v>
      </c>
      <c r="M28" s="115">
        <v>1784.85</v>
      </c>
      <c r="N28" s="115">
        <v>1.9519299999999999</v>
      </c>
      <c r="O28" s="117">
        <v>1784846</v>
      </c>
      <c r="P28" s="114">
        <v>53799.5</v>
      </c>
      <c r="Q28" s="115">
        <v>537.995</v>
      </c>
      <c r="R28" s="115">
        <v>5.37995</v>
      </c>
      <c r="S28" s="115">
        <v>5.37995E-2</v>
      </c>
      <c r="T28" s="115">
        <v>83.389499999999998</v>
      </c>
      <c r="U28" s="115">
        <v>0.57909299999999997</v>
      </c>
      <c r="V28" s="345">
        <v>5.3799499999999999E-4</v>
      </c>
      <c r="W28" s="123">
        <v>5.3799537998356403E-6</v>
      </c>
      <c r="X28" s="314">
        <v>1.32941553598411E-5</v>
      </c>
      <c r="Y28" s="434">
        <v>1</v>
      </c>
      <c r="Z28" s="8">
        <v>111</v>
      </c>
      <c r="AA28" s="260">
        <v>88</v>
      </c>
      <c r="AB28" s="260">
        <v>9.0931700000000006</v>
      </c>
      <c r="AC28" s="437">
        <v>90.4846</v>
      </c>
      <c r="AD28" s="285" t="s">
        <v>9</v>
      </c>
      <c r="AE28" s="439">
        <v>46.706200000000003</v>
      </c>
      <c r="AF28" s="18" t="s">
        <v>21</v>
      </c>
      <c r="AG28" s="187">
        <f>AA28+AC28</f>
        <v>178.4846</v>
      </c>
      <c r="AH28" s="7">
        <v>5.85581</v>
      </c>
      <c r="AI28" s="7">
        <v>70.2697</v>
      </c>
      <c r="AJ28" s="7">
        <v>1.78485</v>
      </c>
      <c r="AK28" s="301">
        <v>1.1090500000000001E-3</v>
      </c>
      <c r="AL28" s="7">
        <v>1784.85</v>
      </c>
      <c r="AM28" s="7">
        <v>1.95194</v>
      </c>
      <c r="AN28" s="14">
        <v>1784850</v>
      </c>
      <c r="AO28" s="8">
        <v>53800.2</v>
      </c>
      <c r="AP28" s="12">
        <f>(Z28*Z28)/2*(AE36-SIN(AE36))</f>
        <v>538.002359855843</v>
      </c>
      <c r="AQ28" s="7">
        <v>5.38002</v>
      </c>
      <c r="AR28" s="7">
        <v>5.3800199999999999E-2</v>
      </c>
      <c r="AS28" s="7">
        <v>83.390500000000003</v>
      </c>
      <c r="AT28" s="7">
        <v>0.57910099999999998</v>
      </c>
      <c r="AU28" s="21">
        <v>5.3800199999999999E-4</v>
      </c>
      <c r="AV28" s="22">
        <v>5.3800199999999999E-6</v>
      </c>
      <c r="AW28" s="41">
        <v>1.32943189440098E-5</v>
      </c>
      <c r="AX28" s="442" t="s">
        <v>9</v>
      </c>
      <c r="AY28" s="216">
        <f>(100*(A28-Z28))/Z28</f>
        <v>9.9106603601273018E-5</v>
      </c>
      <c r="AZ28" s="90">
        <f>(100*(D28-AC28))/AC28</f>
        <v>9.2259939317877825E-6</v>
      </c>
      <c r="BA28" s="229">
        <f>(100*(F28-AE28))/AE28</f>
        <v>-1.3827713408337634E-4</v>
      </c>
      <c r="BB28" s="273" t="s">
        <v>21</v>
      </c>
      <c r="BC28" s="133">
        <f>(100*(H28-AG28))/AG28</f>
        <v>2.2410897075337516E-4</v>
      </c>
      <c r="BD28" s="91">
        <f t="shared" ref="BD28:BJ28" si="0">(100*(I28-AH28))/AH28</f>
        <v>-3.4154113607051841E-4</v>
      </c>
      <c r="BE28" s="91">
        <f t="shared" si="0"/>
        <v>-2.8461769440689134E-4</v>
      </c>
      <c r="BF28" s="91">
        <f t="shared" si="0"/>
        <v>0</v>
      </c>
      <c r="BG28" s="91">
        <f t="shared" si="0"/>
        <v>0</v>
      </c>
      <c r="BH28" s="91">
        <f t="shared" si="0"/>
        <v>0</v>
      </c>
      <c r="BI28" s="91">
        <f t="shared" si="0"/>
        <v>-5.1231082922966441E-4</v>
      </c>
      <c r="BJ28" s="423">
        <f t="shared" si="0"/>
        <v>-2.241084684987534E-4</v>
      </c>
      <c r="BK28" s="138">
        <f>(100*(P28-AO28))/AO28</f>
        <v>-1.3011104047886248E-3</v>
      </c>
      <c r="BL28" s="93">
        <f>(100*(Q28-AP28))/AP28</f>
        <v>-1.3679969442818448E-3</v>
      </c>
      <c r="BM28" s="93">
        <f t="shared" ref="BM28:BS28" si="1">(100*(R28-AQ28))/AQ28</f>
        <v>-1.3011104047943036E-3</v>
      </c>
      <c r="BN28" s="93">
        <f t="shared" si="1"/>
        <v>-1.301110404792756E-3</v>
      </c>
      <c r="BO28" s="93">
        <f t="shared" si="1"/>
        <v>-1.1991773643337967E-3</v>
      </c>
      <c r="BP28" s="93">
        <f t="shared" si="1"/>
        <v>-1.381451594800907E-3</v>
      </c>
      <c r="BQ28" s="93">
        <f t="shared" si="1"/>
        <v>-1.3011104047943682E-3</v>
      </c>
      <c r="BR28" s="93">
        <f t="shared" si="1"/>
        <v>-1.2304817521040792E-3</v>
      </c>
      <c r="BS28" s="95">
        <f t="shared" si="1"/>
        <v>-1.2304817523153314E-3</v>
      </c>
    </row>
    <row r="29" spans="1:71" x14ac:dyDescent="0.25">
      <c r="A29" s="118">
        <v>50</v>
      </c>
      <c r="B29" s="1">
        <v>100</v>
      </c>
      <c r="C29" s="1">
        <v>50</v>
      </c>
      <c r="D29" s="119">
        <v>157.07963267949</v>
      </c>
      <c r="E29" s="379" t="s">
        <v>5</v>
      </c>
      <c r="F29" s="211">
        <v>180</v>
      </c>
      <c r="G29" s="211" t="s">
        <v>21</v>
      </c>
      <c r="H29" s="118">
        <v>7835.79</v>
      </c>
      <c r="I29" s="1">
        <v>257.08</v>
      </c>
      <c r="J29" s="1">
        <v>3084.96</v>
      </c>
      <c r="K29" s="1">
        <v>78.357900000000001</v>
      </c>
      <c r="L29" s="1">
        <v>4.8689299999999998E-2</v>
      </c>
      <c r="M29" s="1">
        <v>78357.899999999994</v>
      </c>
      <c r="N29" s="1">
        <v>85.693200000000004</v>
      </c>
      <c r="O29" s="119">
        <v>78357872</v>
      </c>
      <c r="P29" s="118">
        <v>364829385</v>
      </c>
      <c r="Q29" s="1">
        <v>3648294</v>
      </c>
      <c r="R29" s="1">
        <v>36482.9</v>
      </c>
      <c r="S29" s="1">
        <v>364.82900000000001</v>
      </c>
      <c r="T29" s="1">
        <v>565487</v>
      </c>
      <c r="U29" s="1">
        <v>3926.99</v>
      </c>
      <c r="V29" s="1">
        <v>3.6482899999999998</v>
      </c>
      <c r="W29" s="78">
        <v>3.6482899999999999E-2</v>
      </c>
      <c r="X29" s="119">
        <v>9.0151300000000004E-2</v>
      </c>
      <c r="Y29" s="435">
        <v>2</v>
      </c>
      <c r="Z29" s="15">
        <v>50</v>
      </c>
      <c r="AA29" s="2">
        <v>100</v>
      </c>
      <c r="AB29" s="2">
        <v>50</v>
      </c>
      <c r="AC29" s="16">
        <v>157.07964000000001</v>
      </c>
      <c r="AD29" s="35" t="s">
        <v>5</v>
      </c>
      <c r="AE29" s="19">
        <v>180</v>
      </c>
      <c r="AF29" s="19" t="s">
        <v>21</v>
      </c>
      <c r="AG29" s="15">
        <v>7835.8</v>
      </c>
      <c r="AH29" s="2">
        <f>AA29+AC29</f>
        <v>257.07964000000004</v>
      </c>
      <c r="AI29" s="2">
        <v>3084.96</v>
      </c>
      <c r="AJ29" s="2">
        <v>78.358000000000004</v>
      </c>
      <c r="AK29" s="2">
        <v>4.8689400000000001E-2</v>
      </c>
      <c r="AL29" s="2">
        <v>78358</v>
      </c>
      <c r="AM29" s="2">
        <v>85.693299999999994</v>
      </c>
      <c r="AN29" s="16">
        <v>78357984</v>
      </c>
      <c r="AO29" s="15">
        <v>364828380</v>
      </c>
      <c r="AP29" s="2">
        <v>3648284</v>
      </c>
      <c r="AQ29" s="2">
        <v>36482.800000000003</v>
      </c>
      <c r="AR29" s="2">
        <v>364.82799999999997</v>
      </c>
      <c r="AS29" s="2">
        <v>565485</v>
      </c>
      <c r="AT29" s="12">
        <f>(Z29*Z29)/2*(AE37-SIN(AE37))</f>
        <v>3926.9841830127584</v>
      </c>
      <c r="AU29" s="2">
        <v>3.6482800000000002</v>
      </c>
      <c r="AV29" s="23">
        <v>3.6482800000000003E-2</v>
      </c>
      <c r="AW29" s="42">
        <v>9.0151099999999998E-2</v>
      </c>
      <c r="AX29" s="426" t="s">
        <v>5</v>
      </c>
      <c r="AY29" s="217">
        <f t="shared" ref="AY29:AY35" si="2">(100*(A29-Z29))/Z29</f>
        <v>0</v>
      </c>
      <c r="AZ29" s="73">
        <f t="shared" ref="AZ29:AZ35" si="3">(100*(D29-AC29))/AC29</f>
        <v>-4.6603811976890424E-6</v>
      </c>
      <c r="BA29" s="230">
        <f t="shared" ref="BA29:BA35" si="4">(100*(F29-AE29))/AE29</f>
        <v>0</v>
      </c>
      <c r="BB29" s="274" t="s">
        <v>21</v>
      </c>
      <c r="BC29" s="134">
        <f t="shared" ref="BC29:BC35" si="5">(100*(H29-AG29))/AG29</f>
        <v>-1.2761938794020111E-4</v>
      </c>
      <c r="BD29" s="82">
        <f t="shared" ref="BD29:BD35" si="6">(100*(I29-AH29))/AH29</f>
        <v>1.4003442666394686E-4</v>
      </c>
      <c r="BE29" s="82">
        <f t="shared" ref="BE29:BE35" si="7">(100*(J29-AI29))/AI29</f>
        <v>0</v>
      </c>
      <c r="BF29" s="82">
        <f t="shared" ref="BF29:BF35" si="8">(100*(K29-AJ29))/AJ29</f>
        <v>-1.2761938794165196E-4</v>
      </c>
      <c r="BG29" s="82">
        <f t="shared" ref="BG29:BG35" si="9">(100*(L29-AK29))/AK29</f>
        <v>-2.0538351263904581E-4</v>
      </c>
      <c r="BH29" s="82">
        <f t="shared" ref="BH29:BH35" si="10">(100*(M29-AL29))/AL29</f>
        <v>-1.2761938794484388E-4</v>
      </c>
      <c r="BI29" s="82">
        <f t="shared" ref="BI29:BI35" si="11">(100*(N29-AM29))/AM29</f>
        <v>-1.1669523753795082E-4</v>
      </c>
      <c r="BJ29" s="424">
        <f t="shared" ref="BJ29:BJ35" si="12">(100*(O29-AN29))/AN29</f>
        <v>-1.4293374367569233E-4</v>
      </c>
      <c r="BK29" s="139">
        <f t="shared" ref="BK29:BK35" si="13">(100*(P29-AO29))/AO29</f>
        <v>2.7547199041916639E-4</v>
      </c>
      <c r="BL29" s="80">
        <f t="shared" ref="BL29:BL35" si="14">(100*(Q29-AP29))/AP29</f>
        <v>2.7410146797782192E-4</v>
      </c>
      <c r="BM29" s="80">
        <f t="shared" ref="BM29:BM35" si="15">(100*(R29-AQ29))/AQ29</f>
        <v>2.7410176850062166E-4</v>
      </c>
      <c r="BN29" s="80">
        <f t="shared" ref="BN29:BN35" si="16">(100*(S29-AR29))/AR29</f>
        <v>2.7410176851370966E-4</v>
      </c>
      <c r="BO29" s="80">
        <f t="shared" ref="BO29:BO35" si="17">(100*(T29-AS29))/AS29</f>
        <v>3.5367870058445407E-4</v>
      </c>
      <c r="BP29" s="80">
        <f t="shared" ref="BP29:BP35" si="18">(100*(U29-AT29))/AT29</f>
        <v>1.4812861397616532E-4</v>
      </c>
      <c r="BQ29" s="80">
        <f t="shared" ref="BQ29:BQ35" si="19">(100*(V29-AU29))/AU29</f>
        <v>2.7410176849423348E-4</v>
      </c>
      <c r="BR29" s="80">
        <f t="shared" ref="BR29:BR35" si="20">(100*(W29-AV29))/AV29</f>
        <v>2.741017684934727E-4</v>
      </c>
      <c r="BS29" s="96">
        <f t="shared" ref="BS29:BS35" si="21">(100*(X29-AW29))/AW29</f>
        <v>2.2184976112964914E-4</v>
      </c>
    </row>
    <row r="30" spans="1:71" x14ac:dyDescent="0.25">
      <c r="A30" s="118">
        <v>7.99999895609976</v>
      </c>
      <c r="B30" s="1">
        <v>12</v>
      </c>
      <c r="C30" s="1">
        <v>13.291499999999999</v>
      </c>
      <c r="D30" s="119">
        <v>36.696482037955398</v>
      </c>
      <c r="E30" s="379" t="s">
        <v>8</v>
      </c>
      <c r="F30" s="211">
        <v>262.819227263691</v>
      </c>
      <c r="G30" s="211" t="s">
        <v>21</v>
      </c>
      <c r="H30" s="118">
        <v>123.68899999999999</v>
      </c>
      <c r="I30" s="1">
        <v>4.0580400000000001</v>
      </c>
      <c r="J30" s="1">
        <v>48.6965</v>
      </c>
      <c r="K30" s="1">
        <v>1.23689</v>
      </c>
      <c r="L30" s="1">
        <v>7.6856799999999996E-4</v>
      </c>
      <c r="M30" s="1">
        <v>1236.8900000000001</v>
      </c>
      <c r="N30" s="1">
        <v>1.3526800000000001</v>
      </c>
      <c r="O30" s="119">
        <v>1236891</v>
      </c>
      <c r="P30" s="118">
        <v>115184</v>
      </c>
      <c r="Q30" s="1">
        <v>1151.8399999999999</v>
      </c>
      <c r="R30" s="1">
        <v>11.5184</v>
      </c>
      <c r="S30" s="1">
        <v>0.11518399999999999</v>
      </c>
      <c r="T30" s="1">
        <v>178.535</v>
      </c>
      <c r="U30" s="1">
        <v>1.23983</v>
      </c>
      <c r="V30" s="326">
        <v>1.1518399999999999E-3</v>
      </c>
      <c r="W30" s="49">
        <v>1.1518358593010301E-5</v>
      </c>
      <c r="X30" s="427">
        <v>2.8462483940014001E-5</v>
      </c>
      <c r="Y30" s="435">
        <v>3</v>
      </c>
      <c r="Z30" s="15">
        <v>8</v>
      </c>
      <c r="AA30" s="2">
        <v>12</v>
      </c>
      <c r="AB30" s="2">
        <v>13.291499999999999</v>
      </c>
      <c r="AC30" s="16">
        <v>36.696489999999997</v>
      </c>
      <c r="AD30" s="35" t="s">
        <v>8</v>
      </c>
      <c r="AE30" s="19">
        <v>262.81920000000002</v>
      </c>
      <c r="AF30" s="19" t="s">
        <v>21</v>
      </c>
      <c r="AG30" s="15">
        <v>123.68899999999999</v>
      </c>
      <c r="AH30" s="2">
        <v>4.0580400000000001</v>
      </c>
      <c r="AI30" s="2">
        <f>AA30+AC30</f>
        <v>48.696489999999997</v>
      </c>
      <c r="AJ30" s="2">
        <v>1.23689</v>
      </c>
      <c r="AK30" s="2">
        <v>7.6856799999999996E-4</v>
      </c>
      <c r="AL30" s="2">
        <v>1236.8900000000001</v>
      </c>
      <c r="AM30" s="2">
        <v>1.3526800000000001</v>
      </c>
      <c r="AN30" s="16">
        <v>1236891</v>
      </c>
      <c r="AO30" s="27">
        <v>115184</v>
      </c>
      <c r="AP30" s="26">
        <v>1151.8399999999999</v>
      </c>
      <c r="AQ30" s="2">
        <v>11.5184</v>
      </c>
      <c r="AR30" s="2">
        <v>0.11518399999999999</v>
      </c>
      <c r="AS30" s="2">
        <f>(Z30*Z30)/2*(AE38-SIN(AE38))</f>
        <v>178.53493113588763</v>
      </c>
      <c r="AT30" s="2">
        <v>1.23983</v>
      </c>
      <c r="AU30" s="24">
        <v>1.1518399999999999E-3</v>
      </c>
      <c r="AV30" s="25">
        <v>1.151836406E-5</v>
      </c>
      <c r="AW30" s="43">
        <v>2.8462497449239901E-5</v>
      </c>
      <c r="AX30" s="426" t="s">
        <v>8</v>
      </c>
      <c r="AY30" s="217">
        <f t="shared" si="2"/>
        <v>-1.3048753000344249E-5</v>
      </c>
      <c r="AZ30" s="73">
        <f t="shared" si="3"/>
        <v>-2.1697019520781454E-5</v>
      </c>
      <c r="BA30" s="230">
        <f t="shared" si="4"/>
        <v>1.0373553751503616E-5</v>
      </c>
      <c r="BB30" s="274" t="s">
        <v>21</v>
      </c>
      <c r="BC30" s="134">
        <f t="shared" si="5"/>
        <v>0</v>
      </c>
      <c r="BD30" s="82">
        <f t="shared" si="6"/>
        <v>0</v>
      </c>
      <c r="BE30" s="82">
        <f t="shared" si="7"/>
        <v>2.0535360974012988E-5</v>
      </c>
      <c r="BF30" s="82">
        <f t="shared" si="8"/>
        <v>0</v>
      </c>
      <c r="BG30" s="82">
        <f t="shared" si="9"/>
        <v>0</v>
      </c>
      <c r="BH30" s="82">
        <f t="shared" si="10"/>
        <v>0</v>
      </c>
      <c r="BI30" s="82">
        <f t="shared" si="11"/>
        <v>0</v>
      </c>
      <c r="BJ30" s="424">
        <f t="shared" si="12"/>
        <v>0</v>
      </c>
      <c r="BK30" s="139">
        <f t="shared" si="13"/>
        <v>0</v>
      </c>
      <c r="BL30" s="80">
        <f t="shared" si="14"/>
        <v>0</v>
      </c>
      <c r="BM30" s="80">
        <f t="shared" si="15"/>
        <v>0</v>
      </c>
      <c r="BN30" s="80">
        <f t="shared" si="16"/>
        <v>0</v>
      </c>
      <c r="BO30" s="80">
        <f t="shared" si="17"/>
        <v>3.8571786443345431E-5</v>
      </c>
      <c r="BP30" s="80">
        <f t="shared" si="18"/>
        <v>0</v>
      </c>
      <c r="BQ30" s="80">
        <f t="shared" si="19"/>
        <v>0</v>
      </c>
      <c r="BR30" s="80">
        <f t="shared" si="20"/>
        <v>-4.7463248003015093E-5</v>
      </c>
      <c r="BS30" s="96">
        <f t="shared" si="21"/>
        <v>-4.7463248522591228E-5</v>
      </c>
    </row>
    <row r="31" spans="1:71" x14ac:dyDescent="0.25">
      <c r="A31" s="118">
        <v>10.0001</v>
      </c>
      <c r="B31" s="1">
        <v>14</v>
      </c>
      <c r="C31" s="1">
        <v>2.8584999999999998</v>
      </c>
      <c r="D31" s="119">
        <v>15.5078766956492</v>
      </c>
      <c r="E31" s="379" t="s">
        <v>4</v>
      </c>
      <c r="F31" s="432">
        <v>88.851999634914705</v>
      </c>
      <c r="G31" s="211" t="s">
        <v>21</v>
      </c>
      <c r="H31" s="118">
        <v>2950.79</v>
      </c>
      <c r="I31" s="1">
        <v>96.810599999999994</v>
      </c>
      <c r="J31" s="1">
        <v>1161.73</v>
      </c>
      <c r="K31" s="1">
        <v>29.507899999999999</v>
      </c>
      <c r="L31" s="1">
        <v>1.8335299999999999E-2</v>
      </c>
      <c r="M31" s="1">
        <v>29507.9</v>
      </c>
      <c r="N31" s="1">
        <v>32.270200000000003</v>
      </c>
      <c r="O31" s="119">
        <v>29507877</v>
      </c>
      <c r="P31" s="118">
        <v>27549018</v>
      </c>
      <c r="Q31" s="1">
        <v>275490</v>
      </c>
      <c r="R31" s="1">
        <v>2754.9</v>
      </c>
      <c r="S31" s="1">
        <v>27.548999999999999</v>
      </c>
      <c r="T31" s="1">
        <v>42701.1</v>
      </c>
      <c r="U31" s="1">
        <v>296.53500000000003</v>
      </c>
      <c r="V31" s="1">
        <v>0.27549000000000001</v>
      </c>
      <c r="W31" s="1">
        <v>2.7548999999999998E-3</v>
      </c>
      <c r="X31" s="119">
        <v>6.8075100000000001E-3</v>
      </c>
      <c r="Y31" s="435">
        <v>4</v>
      </c>
      <c r="Z31" s="15">
        <v>10</v>
      </c>
      <c r="AA31" s="2">
        <v>14</v>
      </c>
      <c r="AB31" s="2">
        <v>2.8584999999999998</v>
      </c>
      <c r="AC31" s="16">
        <v>15.507899999999999</v>
      </c>
      <c r="AD31" s="35" t="s">
        <v>4</v>
      </c>
      <c r="AE31" s="440">
        <v>88.853999999999999</v>
      </c>
      <c r="AF31" s="19" t="s">
        <v>21</v>
      </c>
      <c r="AG31" s="15">
        <v>2950.79</v>
      </c>
      <c r="AH31" s="2">
        <v>96.810699999999997</v>
      </c>
      <c r="AI31" s="2">
        <v>1161.73</v>
      </c>
      <c r="AJ31" s="2">
        <f>AA31+AC31</f>
        <v>29.507899999999999</v>
      </c>
      <c r="AK31" s="2">
        <v>1.8335400000000002E-2</v>
      </c>
      <c r="AL31" s="2">
        <v>29507.9</v>
      </c>
      <c r="AM31" s="2">
        <v>32.270200000000003</v>
      </c>
      <c r="AN31" s="16">
        <v>29507900</v>
      </c>
      <c r="AO31" s="15">
        <v>27550000</v>
      </c>
      <c r="AP31" s="2">
        <v>275500</v>
      </c>
      <c r="AQ31" s="2">
        <v>2755</v>
      </c>
      <c r="AR31" s="2">
        <f>(Z31*Z31)/2*(AE39-SIN(AE39))</f>
        <v>27.549505994044733</v>
      </c>
      <c r="AS31" s="2">
        <v>42702.6</v>
      </c>
      <c r="AT31" s="2">
        <v>296.54599999999999</v>
      </c>
      <c r="AU31" s="2">
        <v>0.27550000000000002</v>
      </c>
      <c r="AV31" s="2">
        <v>2.7550000000000001E-3</v>
      </c>
      <c r="AW31" s="42">
        <v>6.8077500000000004E-3</v>
      </c>
      <c r="AX31" s="426" t="s">
        <v>4</v>
      </c>
      <c r="AY31" s="217">
        <f t="shared" si="2"/>
        <v>9.9999999999766942E-4</v>
      </c>
      <c r="AZ31" s="73">
        <f t="shared" si="3"/>
        <v>-1.5027405902369627E-4</v>
      </c>
      <c r="BA31" s="230">
        <f t="shared" si="4"/>
        <v>-2.2512943539899385E-3</v>
      </c>
      <c r="BB31" s="274" t="s">
        <v>21</v>
      </c>
      <c r="BC31" s="134">
        <f t="shared" si="5"/>
        <v>0</v>
      </c>
      <c r="BD31" s="82">
        <f t="shared" si="6"/>
        <v>-1.0329436725828825E-4</v>
      </c>
      <c r="BE31" s="82">
        <f t="shared" si="7"/>
        <v>0</v>
      </c>
      <c r="BF31" s="82">
        <f t="shared" si="8"/>
        <v>0</v>
      </c>
      <c r="BG31" s="82">
        <f t="shared" si="9"/>
        <v>-5.4539306479747134E-4</v>
      </c>
      <c r="BH31" s="82">
        <f t="shared" si="10"/>
        <v>0</v>
      </c>
      <c r="BI31" s="82">
        <f t="shared" si="11"/>
        <v>0</v>
      </c>
      <c r="BJ31" s="424">
        <f t="shared" si="12"/>
        <v>-7.7945228227017173E-5</v>
      </c>
      <c r="BK31" s="139">
        <f t="shared" si="13"/>
        <v>-3.5644283121597097E-3</v>
      </c>
      <c r="BL31" s="80">
        <f t="shared" si="14"/>
        <v>-3.629764065335753E-3</v>
      </c>
      <c r="BM31" s="80">
        <f t="shared" si="15"/>
        <v>-3.6297640653324519E-3</v>
      </c>
      <c r="BN31" s="80">
        <f t="shared" si="16"/>
        <v>-1.8366719346711697E-3</v>
      </c>
      <c r="BO31" s="80">
        <f t="shared" si="17"/>
        <v>-3.5126666760337778E-3</v>
      </c>
      <c r="BP31" s="80">
        <f t="shared" si="18"/>
        <v>-3.7093739251135602E-3</v>
      </c>
      <c r="BQ31" s="80">
        <f t="shared" si="19"/>
        <v>-3.6297640653393829E-3</v>
      </c>
      <c r="BR31" s="80">
        <f t="shared" si="20"/>
        <v>-3.62976406534568E-3</v>
      </c>
      <c r="BS31" s="96">
        <f t="shared" si="21"/>
        <v>-3.5253938525990143E-3</v>
      </c>
    </row>
    <row r="32" spans="1:71" x14ac:dyDescent="0.25">
      <c r="A32" s="118">
        <v>900.00005426783798</v>
      </c>
      <c r="B32" s="1">
        <v>1700</v>
      </c>
      <c r="C32" s="1">
        <v>604.19586000000004</v>
      </c>
      <c r="D32" s="430">
        <v>2224.6201252993501</v>
      </c>
      <c r="E32" s="379" t="s">
        <v>10</v>
      </c>
      <c r="F32" s="433">
        <v>141.62370723767199</v>
      </c>
      <c r="G32" s="211" t="s">
        <v>21</v>
      </c>
      <c r="H32" s="120">
        <v>631606385</v>
      </c>
      <c r="I32" s="1">
        <v>20721994</v>
      </c>
      <c r="J32" s="1">
        <v>248663931</v>
      </c>
      <c r="K32" s="1">
        <v>6316064</v>
      </c>
      <c r="L32" s="1">
        <v>3924.62</v>
      </c>
      <c r="M32" s="1">
        <v>6316063851</v>
      </c>
      <c r="N32" s="1">
        <v>6907331</v>
      </c>
      <c r="O32" s="164">
        <v>6316063850930</v>
      </c>
      <c r="P32" s="120">
        <v>1.9415731537209101E+18</v>
      </c>
      <c r="Q32" s="59">
        <v>1.94157315372091E+16</v>
      </c>
      <c r="R32" s="59">
        <v>194157315372091</v>
      </c>
      <c r="S32" s="59">
        <v>1941573153721</v>
      </c>
      <c r="T32" s="59">
        <v>3009444407156230</v>
      </c>
      <c r="U32" s="59">
        <v>20898919494140</v>
      </c>
      <c r="V32" s="1">
        <v>19415731537</v>
      </c>
      <c r="W32" s="1">
        <v>194157315</v>
      </c>
      <c r="X32" s="119">
        <v>479773175</v>
      </c>
      <c r="Y32" s="435">
        <v>5</v>
      </c>
      <c r="Z32" s="15">
        <v>900</v>
      </c>
      <c r="AA32" s="2">
        <v>1700</v>
      </c>
      <c r="AB32" s="2">
        <v>604.19586000000004</v>
      </c>
      <c r="AC32" s="438">
        <v>2224.6201900000001</v>
      </c>
      <c r="AD32" s="35" t="s">
        <v>10</v>
      </c>
      <c r="AE32" s="441">
        <v>141.62370000000001</v>
      </c>
      <c r="AF32" s="19" t="s">
        <v>21</v>
      </c>
      <c r="AG32" s="15">
        <v>631606365</v>
      </c>
      <c r="AH32" s="2">
        <v>20721994</v>
      </c>
      <c r="AI32" s="2">
        <v>248663923</v>
      </c>
      <c r="AJ32" s="2">
        <v>6316064</v>
      </c>
      <c r="AK32" s="186">
        <f>AA32+AC32</f>
        <v>3924.6201900000001</v>
      </c>
      <c r="AL32" s="2">
        <v>6316063649</v>
      </c>
      <c r="AM32" s="2">
        <v>6907331</v>
      </c>
      <c r="AN32" s="185">
        <v>6316063649280</v>
      </c>
      <c r="AO32" s="28">
        <v>1.941572937956E+18</v>
      </c>
      <c r="AP32" s="341">
        <v>1.941572937956E+16</v>
      </c>
      <c r="AQ32" s="2">
        <v>194157293795600</v>
      </c>
      <c r="AR32" s="340">
        <f>(Z32*Z32)/2*(AE40-SIN(AE40))*1609.344*1609.344</f>
        <v>1941572937956.3025</v>
      </c>
      <c r="AS32" s="29">
        <v>3009444072719950</v>
      </c>
      <c r="AT32" s="2">
        <v>20898917171666</v>
      </c>
      <c r="AU32" s="2">
        <v>19415729380</v>
      </c>
      <c r="AV32" s="2">
        <v>194157294</v>
      </c>
      <c r="AW32" s="42">
        <v>479773121</v>
      </c>
      <c r="AX32" s="426" t="s">
        <v>10</v>
      </c>
      <c r="AY32" s="217">
        <f t="shared" si="2"/>
        <v>6.0297597757299727E-6</v>
      </c>
      <c r="AZ32" s="73">
        <f t="shared" si="3"/>
        <v>-2.9083908476216988E-6</v>
      </c>
      <c r="BA32" s="230">
        <f t="shared" si="4"/>
        <v>5.1104949100785691E-6</v>
      </c>
      <c r="BB32" s="274" t="s">
        <v>21</v>
      </c>
      <c r="BC32" s="134">
        <f t="shared" si="5"/>
        <v>3.1665292036757737E-6</v>
      </c>
      <c r="BD32" s="82">
        <f t="shared" si="6"/>
        <v>0</v>
      </c>
      <c r="BE32" s="82">
        <f t="shared" si="7"/>
        <v>3.2171936738889138E-6</v>
      </c>
      <c r="BF32" s="82">
        <f t="shared" si="8"/>
        <v>0</v>
      </c>
      <c r="BG32" s="82">
        <f t="shared" si="9"/>
        <v>-4.8412328073565031E-6</v>
      </c>
      <c r="BH32" s="82">
        <f t="shared" si="10"/>
        <v>3.1981944962188903E-6</v>
      </c>
      <c r="BI32" s="82">
        <f t="shared" si="11"/>
        <v>0</v>
      </c>
      <c r="BJ32" s="424">
        <f t="shared" si="12"/>
        <v>3.1926530699700453E-6</v>
      </c>
      <c r="BK32" s="139">
        <f t="shared" si="13"/>
        <v>1.111289232879129E-5</v>
      </c>
      <c r="BL32" s="80">
        <f t="shared" si="14"/>
        <v>1.111289232467092E-5</v>
      </c>
      <c r="BM32" s="80">
        <f t="shared" si="15"/>
        <v>1.111289232467092E-5</v>
      </c>
      <c r="BN32" s="80">
        <f t="shared" si="16"/>
        <v>1.1112881380437828E-5</v>
      </c>
      <c r="BO32" s="80">
        <f t="shared" si="17"/>
        <v>1.1112892345519977E-5</v>
      </c>
      <c r="BP32" s="80">
        <f t="shared" si="18"/>
        <v>1.1112891548030664E-5</v>
      </c>
      <c r="BQ32" s="80">
        <f t="shared" si="19"/>
        <v>1.1109549158745021E-5</v>
      </c>
      <c r="BR32" s="80">
        <f t="shared" si="20"/>
        <v>1.0815972744243129E-5</v>
      </c>
      <c r="BS32" s="96">
        <f t="shared" si="21"/>
        <v>1.1255319991133893E-5</v>
      </c>
    </row>
    <row r="33" spans="1:71" x14ac:dyDescent="0.25">
      <c r="A33" s="118">
        <v>800.00049755811699</v>
      </c>
      <c r="B33" s="1">
        <v>800</v>
      </c>
      <c r="C33" s="1">
        <v>107.17957</v>
      </c>
      <c r="D33" s="119">
        <v>837.75798746835403</v>
      </c>
      <c r="E33" s="379" t="s">
        <v>6</v>
      </c>
      <c r="F33" s="211">
        <v>59.9999588523048</v>
      </c>
      <c r="G33" s="211" t="s">
        <v>21</v>
      </c>
      <c r="H33" s="118">
        <v>163.77600000000001</v>
      </c>
      <c r="I33" s="1">
        <v>5.3732199999999999</v>
      </c>
      <c r="J33" s="1">
        <v>64.478700000000003</v>
      </c>
      <c r="K33" s="1">
        <v>1.6377600000000001</v>
      </c>
      <c r="L33" s="326">
        <v>1.0176600000000001E-3</v>
      </c>
      <c r="M33" s="1">
        <v>1637.76</v>
      </c>
      <c r="N33" s="1">
        <v>1.7910699999999999</v>
      </c>
      <c r="O33" s="119">
        <v>1637758</v>
      </c>
      <c r="P33" s="127">
        <v>57975</v>
      </c>
      <c r="Q33" s="325">
        <v>579.75</v>
      </c>
      <c r="R33" s="78">
        <v>5.7975000000000003</v>
      </c>
      <c r="S33" s="315">
        <v>5.7974999999999999E-2</v>
      </c>
      <c r="T33" s="78">
        <v>89.861500000000007</v>
      </c>
      <c r="U33" s="49">
        <v>0.62403799999999998</v>
      </c>
      <c r="V33" s="326">
        <v>5.7974999999999997E-4</v>
      </c>
      <c r="W33" s="50">
        <v>5.7975044380738098E-6</v>
      </c>
      <c r="X33" s="398">
        <v>1.43259454572781E-5</v>
      </c>
      <c r="Y33" s="435">
        <v>6</v>
      </c>
      <c r="Z33" s="15">
        <v>800</v>
      </c>
      <c r="AA33" s="2">
        <v>800</v>
      </c>
      <c r="AB33" s="2">
        <v>107.17957</v>
      </c>
      <c r="AC33" s="16">
        <v>837.75768000000005</v>
      </c>
      <c r="AD33" s="35" t="s">
        <v>6</v>
      </c>
      <c r="AE33" s="19">
        <v>60</v>
      </c>
      <c r="AF33" s="19" t="s">
        <v>21</v>
      </c>
      <c r="AG33" s="15">
        <v>163.77600000000001</v>
      </c>
      <c r="AH33" s="2">
        <v>5.3732300000000004</v>
      </c>
      <c r="AI33" s="2">
        <v>64.478700000000003</v>
      </c>
      <c r="AJ33" s="2">
        <v>1.6377600000000001</v>
      </c>
      <c r="AK33" s="309">
        <v>1.0176600000000001E-3</v>
      </c>
      <c r="AL33" s="2">
        <f>AA33+AC33</f>
        <v>1637.7576800000002</v>
      </c>
      <c r="AM33" s="2">
        <v>1.79108</v>
      </c>
      <c r="AN33" s="16">
        <v>1637760</v>
      </c>
      <c r="AO33" s="15">
        <f>(Z33*Z33)/2*(AE41-SIN(AE41))</f>
        <v>57975.478981266162</v>
      </c>
      <c r="AP33" s="2">
        <v>579.755</v>
      </c>
      <c r="AQ33" s="2">
        <v>5.7975500000000002</v>
      </c>
      <c r="AR33" s="23">
        <v>5.7975499999999999E-2</v>
      </c>
      <c r="AS33" s="2">
        <v>89.862200000000001</v>
      </c>
      <c r="AT33" s="30">
        <v>0.62404300000000001</v>
      </c>
      <c r="AU33" s="31">
        <v>5.7975500000000005E-4</v>
      </c>
      <c r="AV33" s="32">
        <v>5.7975500000000001E-6</v>
      </c>
      <c r="AW33" s="44">
        <v>1.4326058043249601E-5</v>
      </c>
      <c r="AX33" s="426" t="s">
        <v>6</v>
      </c>
      <c r="AY33" s="217">
        <f t="shared" si="2"/>
        <v>6.2194764623768606E-5</v>
      </c>
      <c r="AZ33" s="73">
        <f t="shared" si="3"/>
        <v>3.6701347098455311E-5</v>
      </c>
      <c r="BA33" s="230">
        <f t="shared" si="4"/>
        <v>-6.85794919993062E-5</v>
      </c>
      <c r="BB33" s="274" t="s">
        <v>21</v>
      </c>
      <c r="BC33" s="134">
        <f t="shared" si="5"/>
        <v>0</v>
      </c>
      <c r="BD33" s="82">
        <f t="shared" si="6"/>
        <v>-1.8610779736787E-4</v>
      </c>
      <c r="BE33" s="82">
        <f t="shared" si="7"/>
        <v>0</v>
      </c>
      <c r="BF33" s="82">
        <f t="shared" si="8"/>
        <v>0</v>
      </c>
      <c r="BG33" s="82">
        <f t="shared" si="9"/>
        <v>0</v>
      </c>
      <c r="BH33" s="82">
        <f t="shared" si="10"/>
        <v>1.4165709788195924E-4</v>
      </c>
      <c r="BI33" s="82">
        <f t="shared" si="11"/>
        <v>-5.5832235299738218E-4</v>
      </c>
      <c r="BJ33" s="424">
        <f t="shared" si="12"/>
        <v>-1.221180148495506E-4</v>
      </c>
      <c r="BK33" s="139">
        <f t="shared" si="13"/>
        <v>-8.2617905807519766E-4</v>
      </c>
      <c r="BL33" s="80">
        <f t="shared" si="14"/>
        <v>-8.6243326922500927E-4</v>
      </c>
      <c r="BM33" s="80">
        <f t="shared" si="15"/>
        <v>-8.6243326922378369E-4</v>
      </c>
      <c r="BN33" s="80">
        <f t="shared" si="16"/>
        <v>-8.6243326922665617E-4</v>
      </c>
      <c r="BO33" s="80">
        <f t="shared" si="17"/>
        <v>-7.7897046811096972E-4</v>
      </c>
      <c r="BP33" s="80">
        <f t="shared" si="18"/>
        <v>-8.0122683854041401E-4</v>
      </c>
      <c r="BQ33" s="80">
        <f t="shared" si="19"/>
        <v>-8.6243326923937278E-4</v>
      </c>
      <c r="BR33" s="80">
        <f t="shared" si="20"/>
        <v>-7.8588241913029981E-4</v>
      </c>
      <c r="BS33" s="96">
        <f t="shared" si="21"/>
        <v>-7.8588241902107208E-4</v>
      </c>
    </row>
    <row r="34" spans="1:71" x14ac:dyDescent="0.25">
      <c r="A34" s="118">
        <v>777.00001311936103</v>
      </c>
      <c r="B34" s="1">
        <v>200</v>
      </c>
      <c r="C34" s="1">
        <v>1547.5381500000001</v>
      </c>
      <c r="D34" s="119">
        <v>4681.4787856329503</v>
      </c>
      <c r="E34" s="379" t="s">
        <v>7</v>
      </c>
      <c r="F34" s="211">
        <v>345.21103187625499</v>
      </c>
      <c r="G34" s="211" t="s">
        <v>21</v>
      </c>
      <c r="H34" s="118">
        <v>446362</v>
      </c>
      <c r="I34" s="1">
        <v>14644.4</v>
      </c>
      <c r="J34" s="1">
        <v>175733</v>
      </c>
      <c r="K34" s="1">
        <v>4463.62</v>
      </c>
      <c r="L34" s="1">
        <v>2.7735699999999999</v>
      </c>
      <c r="M34" s="1">
        <v>4463624</v>
      </c>
      <c r="N34" s="1">
        <v>4881.4799999999996</v>
      </c>
      <c r="O34" s="119">
        <v>4463624202</v>
      </c>
      <c r="P34" s="120">
        <v>1585137232938</v>
      </c>
      <c r="Q34" s="1">
        <v>15851372329</v>
      </c>
      <c r="R34" s="1">
        <v>158513723</v>
      </c>
      <c r="S34" s="1">
        <v>1585137</v>
      </c>
      <c r="T34" s="1">
        <v>2456967625</v>
      </c>
      <c r="U34" s="1">
        <v>17062275</v>
      </c>
      <c r="V34" s="1">
        <v>15851.4</v>
      </c>
      <c r="W34" s="1">
        <v>158.51400000000001</v>
      </c>
      <c r="X34" s="119">
        <v>391.69600000000003</v>
      </c>
      <c r="Y34" s="435">
        <v>7</v>
      </c>
      <c r="Z34" s="15">
        <v>777</v>
      </c>
      <c r="AA34" s="2">
        <v>200</v>
      </c>
      <c r="AB34" s="2">
        <v>1547.5381500000001</v>
      </c>
      <c r="AC34" s="16">
        <v>4681.4771300000002</v>
      </c>
      <c r="AD34" s="35" t="s">
        <v>7</v>
      </c>
      <c r="AE34" s="19">
        <v>345.21089999999998</v>
      </c>
      <c r="AF34" s="19" t="s">
        <v>21</v>
      </c>
      <c r="AG34" s="15">
        <v>446363</v>
      </c>
      <c r="AH34" s="2">
        <v>14644.4</v>
      </c>
      <c r="AI34" s="2">
        <v>175733</v>
      </c>
      <c r="AJ34" s="2">
        <v>4463.63</v>
      </c>
      <c r="AK34" s="2">
        <v>2.7735699999999999</v>
      </c>
      <c r="AL34" s="2">
        <v>4463625</v>
      </c>
      <c r="AM34" s="2">
        <f>AA34+AC34</f>
        <v>4881.4771300000002</v>
      </c>
      <c r="AN34" s="16">
        <v>4463625312</v>
      </c>
      <c r="AO34" s="15">
        <v>1585137000000</v>
      </c>
      <c r="AP34" s="2">
        <v>15851370000</v>
      </c>
      <c r="AQ34" s="2">
        <v>158513700</v>
      </c>
      <c r="AR34" s="2">
        <f>(Z34*Z34)/2*(AE42-SIN(AE42))*0.9144*0.9144</f>
        <v>1585137.1031481633</v>
      </c>
      <c r="AS34" s="2">
        <v>2456967264</v>
      </c>
      <c r="AT34" s="2">
        <v>17062273</v>
      </c>
      <c r="AU34" s="2">
        <v>15851.4</v>
      </c>
      <c r="AV34" s="2">
        <v>158.51400000000001</v>
      </c>
      <c r="AW34" s="42">
        <v>391.69600000000003</v>
      </c>
      <c r="AX34" s="426" t="s">
        <v>7</v>
      </c>
      <c r="AY34" s="217">
        <f t="shared" si="2"/>
        <v>1.6884634528516467E-6</v>
      </c>
      <c r="AZ34" s="73">
        <f t="shared" si="3"/>
        <v>3.5365610130252044E-5</v>
      </c>
      <c r="BA34" s="230">
        <f t="shared" si="4"/>
        <v>3.820164861866199E-5</v>
      </c>
      <c r="BB34" s="274" t="s">
        <v>21</v>
      </c>
      <c r="BC34" s="134">
        <f t="shared" si="5"/>
        <v>-2.240329059532264E-4</v>
      </c>
      <c r="BD34" s="82">
        <f t="shared" si="6"/>
        <v>0</v>
      </c>
      <c r="BE34" s="82">
        <f t="shared" si="7"/>
        <v>0</v>
      </c>
      <c r="BF34" s="82">
        <f t="shared" si="8"/>
        <v>-2.2403290595811656E-4</v>
      </c>
      <c r="BG34" s="82">
        <f t="shared" si="9"/>
        <v>0</v>
      </c>
      <c r="BH34" s="82">
        <f t="shared" si="10"/>
        <v>-2.2403315690722226E-5</v>
      </c>
      <c r="BI34" s="82">
        <f t="shared" si="11"/>
        <v>5.8793679104008892E-5</v>
      </c>
      <c r="BJ34" s="424">
        <f t="shared" si="12"/>
        <v>-2.4867678678492089E-5</v>
      </c>
      <c r="BK34" s="139">
        <f t="shared" si="13"/>
        <v>1.4695133606748187E-5</v>
      </c>
      <c r="BL34" s="80">
        <f t="shared" si="14"/>
        <v>1.4692736337616244E-5</v>
      </c>
      <c r="BM34" s="80">
        <f t="shared" si="15"/>
        <v>1.4509786851231156E-5</v>
      </c>
      <c r="BN34" s="80">
        <f t="shared" si="16"/>
        <v>-6.5072076788452409E-6</v>
      </c>
      <c r="BO34" s="80">
        <f t="shared" si="17"/>
        <v>1.4692910454666929E-5</v>
      </c>
      <c r="BP34" s="80">
        <f t="shared" si="18"/>
        <v>1.1721767668352277E-5</v>
      </c>
      <c r="BQ34" s="80">
        <f t="shared" si="19"/>
        <v>0</v>
      </c>
      <c r="BR34" s="80">
        <f t="shared" si="20"/>
        <v>0</v>
      </c>
      <c r="BS34" s="96">
        <f t="shared" si="21"/>
        <v>0</v>
      </c>
    </row>
    <row r="35" spans="1:71" ht="15.75" thickBot="1" x14ac:dyDescent="0.3">
      <c r="A35" s="121">
        <v>85.002289287656296</v>
      </c>
      <c r="B35" s="55">
        <v>140</v>
      </c>
      <c r="C35" s="55">
        <v>36.78</v>
      </c>
      <c r="D35" s="122">
        <v>164.49062017611701</v>
      </c>
      <c r="E35" s="380" t="s">
        <v>20</v>
      </c>
      <c r="F35" s="212">
        <v>110.874876248181</v>
      </c>
      <c r="G35" s="212" t="s">
        <v>21</v>
      </c>
      <c r="H35" s="121">
        <v>3.04491E-2</v>
      </c>
      <c r="I35" s="329">
        <v>9.9898499999999998E-4</v>
      </c>
      <c r="J35" s="55">
        <v>1.19878E-2</v>
      </c>
      <c r="K35" s="329">
        <v>3.04491E-4</v>
      </c>
      <c r="L35" s="353">
        <v>1.8920169968391899E-7</v>
      </c>
      <c r="M35" s="351">
        <v>0.30449100000000001</v>
      </c>
      <c r="N35" s="329">
        <v>3.3299499999999999E-4</v>
      </c>
      <c r="O35" s="122">
        <v>304.49099999999999</v>
      </c>
      <c r="P35" s="352">
        <v>3.6154799999999999E-3</v>
      </c>
      <c r="Q35" s="64">
        <v>3.6154793905222101E-5</v>
      </c>
      <c r="R35" s="68">
        <v>3.61547939052221E-7</v>
      </c>
      <c r="S35" s="65">
        <v>3.6154793905222099E-9</v>
      </c>
      <c r="T35" s="333">
        <v>5.6040042633179499E-6</v>
      </c>
      <c r="U35" s="67">
        <v>3.8916696273041302E-8</v>
      </c>
      <c r="V35" s="71">
        <v>3.6154793905222099E-11</v>
      </c>
      <c r="W35" s="71">
        <v>3.6154793905222101E-13</v>
      </c>
      <c r="X35" s="377">
        <v>8.9340441398166499E-13</v>
      </c>
      <c r="Y35" s="436">
        <v>8</v>
      </c>
      <c r="Z35" s="17">
        <v>85</v>
      </c>
      <c r="AA35" s="9">
        <v>140</v>
      </c>
      <c r="AB35" s="9">
        <v>36.78</v>
      </c>
      <c r="AC35" s="10">
        <v>164.49</v>
      </c>
      <c r="AD35" s="286" t="s">
        <v>20</v>
      </c>
      <c r="AE35" s="20">
        <v>110.8794</v>
      </c>
      <c r="AF35" s="20" t="s">
        <v>21</v>
      </c>
      <c r="AG35" s="17">
        <v>3.0449E-2</v>
      </c>
      <c r="AH35" s="318">
        <v>9.9898299999999995E-4</v>
      </c>
      <c r="AI35" s="9">
        <v>1.19878E-2</v>
      </c>
      <c r="AJ35" s="357">
        <v>3.0448999999999998E-4</v>
      </c>
      <c r="AK35" s="320">
        <v>1.8920131432434599E-7</v>
      </c>
      <c r="AL35" s="9">
        <v>0.30448999999999998</v>
      </c>
      <c r="AM35" s="318">
        <v>3.3299399999999998E-4</v>
      </c>
      <c r="AN35" s="10">
        <f>AA35+AC35</f>
        <v>304.49</v>
      </c>
      <c r="AO35" s="17">
        <f>(Z35*Z35)/2*(AE43-SIN(AE43))/1000/1000</f>
        <v>3.6156685616005476E-3</v>
      </c>
      <c r="AP35" s="39">
        <v>3.6156699999999999E-5</v>
      </c>
      <c r="AQ35" s="39">
        <v>3.61567E-7</v>
      </c>
      <c r="AR35" s="39">
        <v>3.6156700000000002E-9</v>
      </c>
      <c r="AS35" s="40">
        <v>5.6042997085994199E-6</v>
      </c>
      <c r="AT35" s="40">
        <v>3.8918747976384799E-8</v>
      </c>
      <c r="AU35" s="39">
        <v>3.6156700000000002E-11</v>
      </c>
      <c r="AV35" s="39">
        <v>3.6156699999999998E-13</v>
      </c>
      <c r="AW35" s="45">
        <v>8.9345151460938605E-13</v>
      </c>
      <c r="AX35" s="443" t="s">
        <v>20</v>
      </c>
      <c r="AY35" s="218">
        <f t="shared" si="2"/>
        <v>2.6932795956427337E-3</v>
      </c>
      <c r="AZ35" s="97">
        <f t="shared" si="3"/>
        <v>3.7702967778963022E-4</v>
      </c>
      <c r="BA35" s="231">
        <f t="shared" si="4"/>
        <v>-4.0798848289292427E-3</v>
      </c>
      <c r="BB35" s="275" t="s">
        <v>21</v>
      </c>
      <c r="BC35" s="135">
        <f t="shared" si="5"/>
        <v>3.2841801044174233E-4</v>
      </c>
      <c r="BD35" s="98">
        <f t="shared" si="6"/>
        <v>2.002036070715408E-4</v>
      </c>
      <c r="BE35" s="98">
        <f t="shared" si="7"/>
        <v>0</v>
      </c>
      <c r="BF35" s="98">
        <f t="shared" si="8"/>
        <v>3.2841801044886375E-4</v>
      </c>
      <c r="BG35" s="98">
        <f t="shared" si="9"/>
        <v>2.0367700635345239E-4</v>
      </c>
      <c r="BH35" s="98">
        <f t="shared" si="10"/>
        <v>3.2841801045313665E-4</v>
      </c>
      <c r="BI35" s="98">
        <f t="shared" si="11"/>
        <v>3.0030571121874428E-4</v>
      </c>
      <c r="BJ35" s="425">
        <f t="shared" si="12"/>
        <v>3.2841801043592667E-4</v>
      </c>
      <c r="BK35" s="140">
        <f t="shared" si="13"/>
        <v>-5.2151240451144623E-3</v>
      </c>
      <c r="BL35" s="100">
        <f t="shared" si="14"/>
        <v>-5.2717609126340182E-3</v>
      </c>
      <c r="BM35" s="100">
        <f t="shared" si="15"/>
        <v>-5.2717609126369464E-3</v>
      </c>
      <c r="BN35" s="100">
        <f t="shared" si="16"/>
        <v>-5.2717609126479272E-3</v>
      </c>
      <c r="BO35" s="100">
        <f t="shared" si="17"/>
        <v>-5.2717609127270063E-3</v>
      </c>
      <c r="BP35" s="100">
        <f t="shared" si="18"/>
        <v>-5.2717609126136595E-3</v>
      </c>
      <c r="BQ35" s="100">
        <f t="shared" si="19"/>
        <v>-5.2717609126493566E-3</v>
      </c>
      <c r="BR35" s="100">
        <f t="shared" si="20"/>
        <v>-5.2717609126298089E-3</v>
      </c>
      <c r="BS35" s="102">
        <f t="shared" si="21"/>
        <v>-5.2717609126950961E-3</v>
      </c>
    </row>
    <row r="36" spans="1:71" x14ac:dyDescent="0.25">
      <c r="A36" s="114">
        <v>111.00011000833</v>
      </c>
      <c r="B36" s="115">
        <v>88</v>
      </c>
      <c r="C36" s="115">
        <v>9.0931700000000006</v>
      </c>
      <c r="D36" s="180">
        <v>90.484608348103706</v>
      </c>
      <c r="E36" s="429" t="s">
        <v>9</v>
      </c>
      <c r="F36" s="246">
        <v>0.81517584389162201</v>
      </c>
      <c r="G36" s="245" t="s">
        <v>31</v>
      </c>
      <c r="H36" s="114">
        <v>178.48500000000001</v>
      </c>
      <c r="I36" s="115">
        <v>5.8557899999999998</v>
      </c>
      <c r="J36" s="115">
        <v>70.269499999999994</v>
      </c>
      <c r="K36" s="115">
        <v>1.78485</v>
      </c>
      <c r="L36" s="311">
        <v>1.1090500000000001E-3</v>
      </c>
      <c r="M36" s="115">
        <v>1784.85</v>
      </c>
      <c r="N36" s="115">
        <v>1.9519299999999999</v>
      </c>
      <c r="O36" s="117">
        <v>1784846</v>
      </c>
      <c r="P36" s="114">
        <v>53799.5</v>
      </c>
      <c r="Q36" s="115">
        <v>537.995</v>
      </c>
      <c r="R36" s="115">
        <v>5.37995</v>
      </c>
      <c r="S36" s="115">
        <v>5.37995E-2</v>
      </c>
      <c r="T36" s="115">
        <v>83.389499999999998</v>
      </c>
      <c r="U36" s="115">
        <v>0.57909299999999997</v>
      </c>
      <c r="V36" s="345">
        <v>5.3799499999999999E-4</v>
      </c>
      <c r="W36" s="123">
        <v>5.3799537998356403E-6</v>
      </c>
      <c r="X36" s="314">
        <v>1.32941553598411E-5</v>
      </c>
      <c r="Y36" s="142">
        <v>1</v>
      </c>
      <c r="Z36" s="8">
        <v>111</v>
      </c>
      <c r="AA36" s="260">
        <v>88</v>
      </c>
      <c r="AB36" s="260">
        <v>9.0931700000000006</v>
      </c>
      <c r="AC36" s="437">
        <v>90.4846</v>
      </c>
      <c r="AD36" s="18" t="s">
        <v>9</v>
      </c>
      <c r="AE36" s="12">
        <v>0.81518000000000002</v>
      </c>
      <c r="AF36" s="18" t="s">
        <v>31</v>
      </c>
      <c r="AG36" s="187">
        <f>AA36+AC36</f>
        <v>178.4846</v>
      </c>
      <c r="AH36" s="7">
        <v>5.85581</v>
      </c>
      <c r="AI36" s="7">
        <v>70.2697</v>
      </c>
      <c r="AJ36" s="7">
        <v>1.78485</v>
      </c>
      <c r="AK36" s="301">
        <v>1.1090500000000001E-3</v>
      </c>
      <c r="AL36" s="7">
        <v>1784.85</v>
      </c>
      <c r="AM36" s="7">
        <v>1.95194</v>
      </c>
      <c r="AN36" s="14">
        <v>1784850</v>
      </c>
      <c r="AO36" s="8">
        <v>53800.2</v>
      </c>
      <c r="AP36" s="12">
        <f>(Z36*Z36)/2*(AE36-SIN(AE36))</f>
        <v>538.002359855843</v>
      </c>
      <c r="AQ36" s="7">
        <v>5.38002</v>
      </c>
      <c r="AR36" s="7">
        <v>5.3800199999999999E-2</v>
      </c>
      <c r="AS36" s="7">
        <v>83.390500000000003</v>
      </c>
      <c r="AT36" s="7">
        <v>0.57910099999999998</v>
      </c>
      <c r="AU36" s="21">
        <v>5.3800199999999999E-4</v>
      </c>
      <c r="AV36" s="22">
        <v>5.3800199999999999E-6</v>
      </c>
      <c r="AW36" s="41">
        <v>1.32943189440098E-5</v>
      </c>
      <c r="AX36" s="442" t="s">
        <v>9</v>
      </c>
      <c r="AY36" s="216">
        <f t="shared" ref="AY36:AY51" si="22">(100*(A36-Z36))/Z36</f>
        <v>9.9106603601273018E-5</v>
      </c>
      <c r="AZ36" s="90">
        <f t="shared" ref="AZ36:AZ51" si="23">(100*(D36-AC36))/AC36</f>
        <v>9.2259939317877825E-6</v>
      </c>
      <c r="BA36" s="229">
        <f t="shared" ref="BA36:BA51" si="24">(100*(F36-AE36))/AE36</f>
        <v>-5.0983934566674522E-4</v>
      </c>
      <c r="BB36" s="273" t="s">
        <v>31</v>
      </c>
      <c r="BC36" s="133">
        <f t="shared" ref="BC36:BC51" si="25">(100*(H36-AG36))/AG36</f>
        <v>2.2410897075337516E-4</v>
      </c>
      <c r="BD36" s="91">
        <f t="shared" ref="BD36:BD51" si="26">(100*(I36-AH36))/AH36</f>
        <v>-3.4154113607051841E-4</v>
      </c>
      <c r="BE36" s="91">
        <f t="shared" ref="BE36:BE51" si="27">(100*(J36-AI36))/AI36</f>
        <v>-2.8461769440689134E-4</v>
      </c>
      <c r="BF36" s="91">
        <f t="shared" ref="BF36:BF51" si="28">(100*(K36-AJ36))/AJ36</f>
        <v>0</v>
      </c>
      <c r="BG36" s="91">
        <f t="shared" ref="BG36:BG51" si="29">(100*(L36-AK36))/AK36</f>
        <v>0</v>
      </c>
      <c r="BH36" s="91">
        <f t="shared" ref="BH36:BH51" si="30">(100*(M36-AL36))/AL36</f>
        <v>0</v>
      </c>
      <c r="BI36" s="91">
        <f t="shared" ref="BI36:BI51" si="31">(100*(N36-AM36))/AM36</f>
        <v>-5.1231082922966441E-4</v>
      </c>
      <c r="BJ36" s="419">
        <f t="shared" ref="BJ36:BJ51" si="32">(100*(O36-AN36))/AN36</f>
        <v>-2.241084684987534E-4</v>
      </c>
      <c r="BK36" s="138">
        <f t="shared" ref="BK36:BK51" si="33">(100*(P36-AO36))/AO36</f>
        <v>-1.3011104047886248E-3</v>
      </c>
      <c r="BL36" s="93">
        <f t="shared" ref="BL36:BL51" si="34">(100*(Q36-AP36))/AP36</f>
        <v>-1.3679969442818448E-3</v>
      </c>
      <c r="BM36" s="93">
        <f t="shared" ref="BM36:BM51" si="35">(100*(R36-AQ36))/AQ36</f>
        <v>-1.3011104047943036E-3</v>
      </c>
      <c r="BN36" s="93">
        <f t="shared" ref="BN36:BN51" si="36">(100*(S36-AR36))/AR36</f>
        <v>-1.301110404792756E-3</v>
      </c>
      <c r="BO36" s="93">
        <f t="shared" ref="BO36:BO51" si="37">(100*(T36-AS36))/AS36</f>
        <v>-1.1991773643337967E-3</v>
      </c>
      <c r="BP36" s="93">
        <f t="shared" ref="BP36:BP51" si="38">(100*(U36-AT36))/AT36</f>
        <v>-1.381451594800907E-3</v>
      </c>
      <c r="BQ36" s="93">
        <f t="shared" ref="BQ36:BQ51" si="39">(100*(V36-AU36))/AU36</f>
        <v>-1.3011104047943682E-3</v>
      </c>
      <c r="BR36" s="93">
        <f t="shared" ref="BR36:BR51" si="40">(100*(W36-AV36))/AV36</f>
        <v>-1.2304817521040792E-3</v>
      </c>
      <c r="BS36" s="95">
        <f t="shared" ref="BS36:BS51" si="41">(100*(X36-AW36))/AW36</f>
        <v>-1.2304817523153314E-3</v>
      </c>
    </row>
    <row r="37" spans="1:71" x14ac:dyDescent="0.25">
      <c r="A37" s="118">
        <v>50</v>
      </c>
      <c r="B37" s="1">
        <v>100</v>
      </c>
      <c r="C37" s="1">
        <v>50</v>
      </c>
      <c r="D37" s="119">
        <v>157.07963267949</v>
      </c>
      <c r="E37" s="379" t="s">
        <v>5</v>
      </c>
      <c r="F37" s="56">
        <v>3.14159265358979</v>
      </c>
      <c r="G37" s="211" t="s">
        <v>31</v>
      </c>
      <c r="H37" s="118">
        <v>7835.79</v>
      </c>
      <c r="I37" s="1">
        <v>257.08</v>
      </c>
      <c r="J37" s="1">
        <v>3084.96</v>
      </c>
      <c r="K37" s="1">
        <v>78.357900000000001</v>
      </c>
      <c r="L37" s="1">
        <v>4.8689299999999998E-2</v>
      </c>
      <c r="M37" s="1">
        <v>78357.899999999994</v>
      </c>
      <c r="N37" s="1">
        <v>85.693200000000004</v>
      </c>
      <c r="O37" s="119">
        <v>78357872</v>
      </c>
      <c r="P37" s="118">
        <v>364829385</v>
      </c>
      <c r="Q37" s="1">
        <v>3648294</v>
      </c>
      <c r="R37" s="1">
        <v>36482.9</v>
      </c>
      <c r="S37" s="1">
        <v>364.82900000000001</v>
      </c>
      <c r="T37" s="1">
        <v>565487</v>
      </c>
      <c r="U37" s="1">
        <v>3926.99</v>
      </c>
      <c r="V37" s="1">
        <v>3.6482899999999998</v>
      </c>
      <c r="W37" s="78">
        <v>3.6482899999999999E-2</v>
      </c>
      <c r="X37" s="119">
        <v>9.0151300000000004E-2</v>
      </c>
      <c r="Y37" s="143">
        <v>2</v>
      </c>
      <c r="Z37" s="15">
        <v>50</v>
      </c>
      <c r="AA37" s="2">
        <v>100</v>
      </c>
      <c r="AB37" s="2">
        <v>50</v>
      </c>
      <c r="AC37" s="16">
        <v>157.07964000000001</v>
      </c>
      <c r="AD37" s="19" t="s">
        <v>5</v>
      </c>
      <c r="AE37" s="34">
        <v>3.1415899999999999</v>
      </c>
      <c r="AF37" s="19" t="s">
        <v>31</v>
      </c>
      <c r="AG37" s="15">
        <v>7835.8</v>
      </c>
      <c r="AH37" s="2">
        <f>AA37+AC37</f>
        <v>257.07964000000004</v>
      </c>
      <c r="AI37" s="2">
        <v>3084.96</v>
      </c>
      <c r="AJ37" s="2">
        <v>78.358000000000004</v>
      </c>
      <c r="AK37" s="2">
        <v>4.8689400000000001E-2</v>
      </c>
      <c r="AL37" s="2">
        <v>78358</v>
      </c>
      <c r="AM37" s="2">
        <v>85.693299999999994</v>
      </c>
      <c r="AN37" s="16">
        <v>78357984</v>
      </c>
      <c r="AO37" s="15">
        <v>364828380</v>
      </c>
      <c r="AP37" s="2">
        <v>3648284</v>
      </c>
      <c r="AQ37" s="2">
        <v>36482.800000000003</v>
      </c>
      <c r="AR37" s="2">
        <v>364.82799999999997</v>
      </c>
      <c r="AS37" s="2">
        <v>565485</v>
      </c>
      <c r="AT37" s="12">
        <f>(Z37*Z37)/2*(AE37-SIN(AE37))</f>
        <v>3926.9841830127584</v>
      </c>
      <c r="AU37" s="2">
        <v>3.6482800000000002</v>
      </c>
      <c r="AV37" s="23">
        <v>3.6482800000000003E-2</v>
      </c>
      <c r="AW37" s="42">
        <v>9.0151099999999998E-2</v>
      </c>
      <c r="AX37" s="426" t="s">
        <v>5</v>
      </c>
      <c r="AY37" s="217">
        <f t="shared" si="22"/>
        <v>0</v>
      </c>
      <c r="AZ37" s="73">
        <f t="shared" si="23"/>
        <v>-4.6603811976890424E-6</v>
      </c>
      <c r="BA37" s="230">
        <f t="shared" si="24"/>
        <v>8.4466457753072657E-5</v>
      </c>
      <c r="BB37" s="274" t="s">
        <v>31</v>
      </c>
      <c r="BC37" s="134">
        <f t="shared" si="25"/>
        <v>-1.2761938794020111E-4</v>
      </c>
      <c r="BD37" s="82">
        <f t="shared" si="26"/>
        <v>1.4003442666394686E-4</v>
      </c>
      <c r="BE37" s="82">
        <f t="shared" si="27"/>
        <v>0</v>
      </c>
      <c r="BF37" s="82">
        <f t="shared" si="28"/>
        <v>-1.2761938794165196E-4</v>
      </c>
      <c r="BG37" s="82">
        <f t="shared" si="29"/>
        <v>-2.0538351263904581E-4</v>
      </c>
      <c r="BH37" s="82">
        <f t="shared" si="30"/>
        <v>-1.2761938794484388E-4</v>
      </c>
      <c r="BI37" s="82">
        <f t="shared" si="31"/>
        <v>-1.1669523753795082E-4</v>
      </c>
      <c r="BJ37" s="420">
        <f t="shared" si="32"/>
        <v>-1.4293374367569233E-4</v>
      </c>
      <c r="BK37" s="139">
        <f t="shared" si="33"/>
        <v>2.7547199041916639E-4</v>
      </c>
      <c r="BL37" s="80">
        <f t="shared" si="34"/>
        <v>2.7410146797782192E-4</v>
      </c>
      <c r="BM37" s="80">
        <f t="shared" si="35"/>
        <v>2.7410176850062166E-4</v>
      </c>
      <c r="BN37" s="80">
        <f t="shared" si="36"/>
        <v>2.7410176851370966E-4</v>
      </c>
      <c r="BO37" s="80">
        <f t="shared" si="37"/>
        <v>3.5367870058445407E-4</v>
      </c>
      <c r="BP37" s="80">
        <f t="shared" si="38"/>
        <v>1.4812861397616532E-4</v>
      </c>
      <c r="BQ37" s="80">
        <f t="shared" si="39"/>
        <v>2.7410176849423348E-4</v>
      </c>
      <c r="BR37" s="80">
        <f t="shared" si="40"/>
        <v>2.741017684934727E-4</v>
      </c>
      <c r="BS37" s="96">
        <f t="shared" si="41"/>
        <v>2.2184976112964914E-4</v>
      </c>
    </row>
    <row r="38" spans="1:71" x14ac:dyDescent="0.25">
      <c r="A38" s="118">
        <v>7.99999895609976</v>
      </c>
      <c r="B38" s="1">
        <v>12</v>
      </c>
      <c r="C38" s="1">
        <v>13.291499999999999</v>
      </c>
      <c r="D38" s="119">
        <v>36.696482037955398</v>
      </c>
      <c r="E38" s="379" t="s">
        <v>8</v>
      </c>
      <c r="F38" s="56">
        <v>4.5870608532986603</v>
      </c>
      <c r="G38" s="211" t="s">
        <v>31</v>
      </c>
      <c r="H38" s="118">
        <v>123.68899999999999</v>
      </c>
      <c r="I38" s="1">
        <v>4.0580400000000001</v>
      </c>
      <c r="J38" s="1">
        <v>48.6965</v>
      </c>
      <c r="K38" s="1">
        <v>1.23689</v>
      </c>
      <c r="L38" s="1">
        <v>7.6856799999999996E-4</v>
      </c>
      <c r="M38" s="1">
        <v>1236.8900000000001</v>
      </c>
      <c r="N38" s="1">
        <v>1.3526800000000001</v>
      </c>
      <c r="O38" s="119">
        <v>1236891</v>
      </c>
      <c r="P38" s="118">
        <v>115184</v>
      </c>
      <c r="Q38" s="1">
        <v>1151.8399999999999</v>
      </c>
      <c r="R38" s="1">
        <v>11.5184</v>
      </c>
      <c r="S38" s="1">
        <v>0.11518399999999999</v>
      </c>
      <c r="T38" s="1">
        <v>178.535</v>
      </c>
      <c r="U38" s="1">
        <v>1.23983</v>
      </c>
      <c r="V38" s="326">
        <v>1.1518399999999999E-3</v>
      </c>
      <c r="W38" s="49">
        <v>1.1518358593010301E-5</v>
      </c>
      <c r="X38" s="427">
        <v>2.8462483940014001E-5</v>
      </c>
      <c r="Y38" s="143">
        <v>3</v>
      </c>
      <c r="Z38" s="15">
        <v>8</v>
      </c>
      <c r="AA38" s="2">
        <v>12</v>
      </c>
      <c r="AB38" s="2">
        <v>13.291499999999999</v>
      </c>
      <c r="AC38" s="16">
        <v>36.696489999999997</v>
      </c>
      <c r="AD38" s="19" t="s">
        <v>8</v>
      </c>
      <c r="AE38" s="34">
        <v>4.5870600000000001</v>
      </c>
      <c r="AF38" s="19" t="s">
        <v>31</v>
      </c>
      <c r="AG38" s="15">
        <v>123.68899999999999</v>
      </c>
      <c r="AH38" s="2">
        <v>4.0580400000000001</v>
      </c>
      <c r="AI38" s="2">
        <f>AA38+AC38</f>
        <v>48.696489999999997</v>
      </c>
      <c r="AJ38" s="2">
        <v>1.23689</v>
      </c>
      <c r="AK38" s="2">
        <v>7.6856799999999996E-4</v>
      </c>
      <c r="AL38" s="2">
        <v>1236.8900000000001</v>
      </c>
      <c r="AM38" s="2">
        <v>1.3526800000000001</v>
      </c>
      <c r="AN38" s="16">
        <v>1236891</v>
      </c>
      <c r="AO38" s="27">
        <v>115184</v>
      </c>
      <c r="AP38" s="26">
        <v>1151.8399999999999</v>
      </c>
      <c r="AQ38" s="2">
        <v>11.5184</v>
      </c>
      <c r="AR38" s="2">
        <v>0.11518399999999999</v>
      </c>
      <c r="AS38" s="2">
        <f>(Z38*Z38)/2*(AE38-SIN(AE38))</f>
        <v>178.53493113588763</v>
      </c>
      <c r="AT38" s="2">
        <v>1.23983</v>
      </c>
      <c r="AU38" s="24">
        <v>1.1518399999999999E-3</v>
      </c>
      <c r="AV38" s="25">
        <v>1.151836406E-5</v>
      </c>
      <c r="AW38" s="43">
        <v>2.8462497449239901E-5</v>
      </c>
      <c r="AX38" s="426" t="s">
        <v>8</v>
      </c>
      <c r="AY38" s="217">
        <f t="shared" si="22"/>
        <v>-1.3048753000344249E-5</v>
      </c>
      <c r="AZ38" s="73">
        <f t="shared" si="23"/>
        <v>-2.1697019520781454E-5</v>
      </c>
      <c r="BA38" s="230">
        <f t="shared" si="24"/>
        <v>1.8602299951930606E-5</v>
      </c>
      <c r="BB38" s="274" t="s">
        <v>31</v>
      </c>
      <c r="BC38" s="134">
        <f t="shared" si="25"/>
        <v>0</v>
      </c>
      <c r="BD38" s="82">
        <f t="shared" si="26"/>
        <v>0</v>
      </c>
      <c r="BE38" s="82">
        <f t="shared" si="27"/>
        <v>2.0535360974012988E-5</v>
      </c>
      <c r="BF38" s="82">
        <f t="shared" si="28"/>
        <v>0</v>
      </c>
      <c r="BG38" s="82">
        <f t="shared" si="29"/>
        <v>0</v>
      </c>
      <c r="BH38" s="82">
        <f t="shared" si="30"/>
        <v>0</v>
      </c>
      <c r="BI38" s="82">
        <f t="shared" si="31"/>
        <v>0</v>
      </c>
      <c r="BJ38" s="420">
        <f t="shared" si="32"/>
        <v>0</v>
      </c>
      <c r="BK38" s="139">
        <f t="shared" si="33"/>
        <v>0</v>
      </c>
      <c r="BL38" s="80">
        <f t="shared" si="34"/>
        <v>0</v>
      </c>
      <c r="BM38" s="80">
        <f t="shared" si="35"/>
        <v>0</v>
      </c>
      <c r="BN38" s="80">
        <f t="shared" si="36"/>
        <v>0</v>
      </c>
      <c r="BO38" s="80">
        <f t="shared" si="37"/>
        <v>3.8571786443345431E-5</v>
      </c>
      <c r="BP38" s="80">
        <f t="shared" si="38"/>
        <v>0</v>
      </c>
      <c r="BQ38" s="80">
        <f t="shared" si="39"/>
        <v>0</v>
      </c>
      <c r="BR38" s="80">
        <f t="shared" si="40"/>
        <v>-4.7463248003015093E-5</v>
      </c>
      <c r="BS38" s="96">
        <f t="shared" si="41"/>
        <v>-4.7463248522591228E-5</v>
      </c>
    </row>
    <row r="39" spans="1:71" x14ac:dyDescent="0.25">
      <c r="A39" s="118">
        <v>10.0001</v>
      </c>
      <c r="B39" s="1">
        <v>14</v>
      </c>
      <c r="C39" s="1">
        <v>2.8584999999999998</v>
      </c>
      <c r="D39" s="119">
        <v>15.5078766956492</v>
      </c>
      <c r="E39" s="379" t="s">
        <v>4</v>
      </c>
      <c r="F39" s="56">
        <v>1.5507599406100601</v>
      </c>
      <c r="G39" s="211" t="s">
        <v>31</v>
      </c>
      <c r="H39" s="118">
        <v>2950.94</v>
      </c>
      <c r="I39" s="1">
        <v>96.815700000000007</v>
      </c>
      <c r="J39" s="1">
        <v>1161.79</v>
      </c>
      <c r="K39" s="1">
        <v>29.509399999999999</v>
      </c>
      <c r="L39" s="1">
        <v>1.83363E-2</v>
      </c>
      <c r="M39" s="1">
        <v>29509.4</v>
      </c>
      <c r="N39" s="1">
        <v>32.271900000000002</v>
      </c>
      <c r="O39" s="119">
        <v>29509412</v>
      </c>
      <c r="P39" s="118">
        <v>27549018</v>
      </c>
      <c r="Q39" s="1">
        <v>275490</v>
      </c>
      <c r="R39" s="1">
        <v>2754.9</v>
      </c>
      <c r="S39" s="1">
        <v>27.548999999999999</v>
      </c>
      <c r="T39" s="1">
        <v>42701.1</v>
      </c>
      <c r="U39" s="1">
        <v>296.53500000000003</v>
      </c>
      <c r="V39" s="1">
        <v>0.27549000000000001</v>
      </c>
      <c r="W39" s="1">
        <v>2.7548999999999998E-3</v>
      </c>
      <c r="X39" s="119">
        <v>6.8075100000000001E-3</v>
      </c>
      <c r="Y39" s="143">
        <v>4</v>
      </c>
      <c r="Z39" s="15">
        <v>10</v>
      </c>
      <c r="AA39" s="2">
        <v>14</v>
      </c>
      <c r="AB39" s="2">
        <v>2.8584999999999998</v>
      </c>
      <c r="AC39" s="16">
        <v>15.507899999999999</v>
      </c>
      <c r="AD39" s="19" t="s">
        <v>4</v>
      </c>
      <c r="AE39" s="34">
        <v>1.5507899999999999</v>
      </c>
      <c r="AF39" s="19" t="s">
        <v>31</v>
      </c>
      <c r="AG39" s="15">
        <v>2951</v>
      </c>
      <c r="AH39" s="2">
        <v>96.817599999999999</v>
      </c>
      <c r="AI39" s="2">
        <v>1161.81</v>
      </c>
      <c r="AJ39" s="2">
        <f>AA39+AC39</f>
        <v>29.507899999999999</v>
      </c>
      <c r="AK39" s="2">
        <v>1.8336700000000001E-2</v>
      </c>
      <c r="AL39" s="2">
        <v>29510</v>
      </c>
      <c r="AM39" s="2">
        <v>32.272500000000001</v>
      </c>
      <c r="AN39" s="16">
        <v>29510000</v>
      </c>
      <c r="AO39" s="15">
        <v>27550000</v>
      </c>
      <c r="AP39" s="2">
        <v>275500</v>
      </c>
      <c r="AQ39" s="2">
        <v>2755</v>
      </c>
      <c r="AR39" s="2">
        <f>(Z39*Z39)/2*(AE39-SIN(AE39))</f>
        <v>27.549505994044733</v>
      </c>
      <c r="AS39" s="2">
        <v>42702.6</v>
      </c>
      <c r="AT39" s="2">
        <v>296.54599999999999</v>
      </c>
      <c r="AU39" s="2">
        <v>0.27550000000000002</v>
      </c>
      <c r="AV39" s="2">
        <v>2.7550000000000001E-3</v>
      </c>
      <c r="AW39" s="42">
        <v>6.8077500000000004E-3</v>
      </c>
      <c r="AX39" s="426" t="s">
        <v>4</v>
      </c>
      <c r="AY39" s="217">
        <f t="shared" si="22"/>
        <v>9.9999999999766942E-4</v>
      </c>
      <c r="AZ39" s="73">
        <f t="shared" si="23"/>
        <v>-1.5027405902369627E-4</v>
      </c>
      <c r="BA39" s="230">
        <f t="shared" si="24"/>
        <v>-1.9383275582012635E-3</v>
      </c>
      <c r="BB39" s="274" t="s">
        <v>31</v>
      </c>
      <c r="BC39" s="134">
        <f t="shared" si="25"/>
        <v>-2.0332090816653822E-3</v>
      </c>
      <c r="BD39" s="82">
        <f t="shared" si="26"/>
        <v>-1.9624531076911835E-3</v>
      </c>
      <c r="BE39" s="82">
        <f t="shared" si="27"/>
        <v>-1.7214518725077088E-3</v>
      </c>
      <c r="BF39" s="82">
        <f t="shared" si="28"/>
        <v>5.0833844495882692E-3</v>
      </c>
      <c r="BG39" s="82">
        <f t="shared" si="29"/>
        <v>-2.181417594229572E-3</v>
      </c>
      <c r="BH39" s="82">
        <f t="shared" si="30"/>
        <v>-2.0332090816623004E-3</v>
      </c>
      <c r="BI39" s="82">
        <f t="shared" si="31"/>
        <v>-1.8591680223056834E-3</v>
      </c>
      <c r="BJ39" s="420">
        <f t="shared" si="32"/>
        <v>-1.992544900033887E-3</v>
      </c>
      <c r="BK39" s="139">
        <f t="shared" si="33"/>
        <v>-3.5644283121597097E-3</v>
      </c>
      <c r="BL39" s="80">
        <f t="shared" si="34"/>
        <v>-3.629764065335753E-3</v>
      </c>
      <c r="BM39" s="80">
        <f t="shared" si="35"/>
        <v>-3.6297640653324519E-3</v>
      </c>
      <c r="BN39" s="80">
        <f t="shared" si="36"/>
        <v>-1.8366719346711697E-3</v>
      </c>
      <c r="BO39" s="80">
        <f t="shared" si="37"/>
        <v>-3.5126666760337778E-3</v>
      </c>
      <c r="BP39" s="80">
        <f t="shared" si="38"/>
        <v>-3.7093739251135602E-3</v>
      </c>
      <c r="BQ39" s="80">
        <f t="shared" si="39"/>
        <v>-3.6297640653393829E-3</v>
      </c>
      <c r="BR39" s="80">
        <f t="shared" si="40"/>
        <v>-3.62976406534568E-3</v>
      </c>
      <c r="BS39" s="96">
        <f t="shared" si="41"/>
        <v>-3.5253938525990143E-3</v>
      </c>
    </row>
    <row r="40" spans="1:71" x14ac:dyDescent="0.25">
      <c r="A40" s="118">
        <v>900.00005426783798</v>
      </c>
      <c r="B40" s="1">
        <v>1700</v>
      </c>
      <c r="C40" s="1">
        <v>604.19586000000004</v>
      </c>
      <c r="D40" s="430">
        <v>2224.6201252993501</v>
      </c>
      <c r="E40" s="379" t="s">
        <v>10</v>
      </c>
      <c r="F40" s="247">
        <v>2.4717999901779</v>
      </c>
      <c r="G40" s="211" t="s">
        <v>31</v>
      </c>
      <c r="H40" s="120">
        <v>631606385</v>
      </c>
      <c r="I40" s="1">
        <v>20721994</v>
      </c>
      <c r="J40" s="1">
        <v>248663931</v>
      </c>
      <c r="K40" s="1">
        <v>6316064</v>
      </c>
      <c r="L40" s="1">
        <v>3924.62</v>
      </c>
      <c r="M40" s="1">
        <v>6316063851</v>
      </c>
      <c r="N40" s="1">
        <v>6907331</v>
      </c>
      <c r="O40" s="164">
        <v>6316063850930</v>
      </c>
      <c r="P40" s="120">
        <v>1.9415731537209101E+18</v>
      </c>
      <c r="Q40" s="59">
        <v>1.94157315372091E+16</v>
      </c>
      <c r="R40" s="59">
        <v>194157315372091</v>
      </c>
      <c r="S40" s="59">
        <v>1941573153721</v>
      </c>
      <c r="T40" s="59">
        <v>3009444407156230</v>
      </c>
      <c r="U40" s="59">
        <v>20898919494140</v>
      </c>
      <c r="V40" s="1">
        <v>19415731537</v>
      </c>
      <c r="W40" s="1">
        <v>194157315</v>
      </c>
      <c r="X40" s="119">
        <v>479773175</v>
      </c>
      <c r="Y40" s="143">
        <v>5</v>
      </c>
      <c r="Z40" s="15">
        <v>900</v>
      </c>
      <c r="AA40" s="2">
        <v>1700</v>
      </c>
      <c r="AB40" s="2">
        <v>604.19586000000004</v>
      </c>
      <c r="AC40" s="438">
        <v>2224.6201900000001</v>
      </c>
      <c r="AD40" s="19" t="s">
        <v>10</v>
      </c>
      <c r="AE40" s="403">
        <v>2.4718</v>
      </c>
      <c r="AF40" s="19" t="s">
        <v>31</v>
      </c>
      <c r="AG40" s="15">
        <v>631606365</v>
      </c>
      <c r="AH40" s="2">
        <v>20721994</v>
      </c>
      <c r="AI40" s="2">
        <v>248663923</v>
      </c>
      <c r="AJ40" s="2">
        <v>6316064</v>
      </c>
      <c r="AK40" s="186">
        <f>AA40+AC40</f>
        <v>3924.6201900000001</v>
      </c>
      <c r="AL40" s="2">
        <v>6316063649</v>
      </c>
      <c r="AM40" s="2">
        <v>6907331</v>
      </c>
      <c r="AN40" s="185">
        <v>6316063649280</v>
      </c>
      <c r="AO40" s="28">
        <v>1.941572937956E+18</v>
      </c>
      <c r="AP40" s="341">
        <v>1.941572937956E+16</v>
      </c>
      <c r="AQ40" s="2">
        <v>194157293795600</v>
      </c>
      <c r="AR40" s="340">
        <f>(Z40*Z40)/2*(AE40-SIN(AE40))*1609.344*1609.344</f>
        <v>1941572937956.3025</v>
      </c>
      <c r="AS40" s="29">
        <v>3009444072719950</v>
      </c>
      <c r="AT40" s="2">
        <v>20898917171666</v>
      </c>
      <c r="AU40" s="2">
        <v>19415729380</v>
      </c>
      <c r="AV40" s="2">
        <v>194157294</v>
      </c>
      <c r="AW40" s="42">
        <v>479773121</v>
      </c>
      <c r="AX40" s="426" t="s">
        <v>10</v>
      </c>
      <c r="AY40" s="217">
        <f t="shared" si="22"/>
        <v>6.0297597757299727E-6</v>
      </c>
      <c r="AZ40" s="73">
        <f t="shared" si="23"/>
        <v>-2.9083908476216988E-6</v>
      </c>
      <c r="BA40" s="230">
        <f t="shared" si="24"/>
        <v>-3.9736629266952847E-7</v>
      </c>
      <c r="BB40" s="274" t="s">
        <v>31</v>
      </c>
      <c r="BC40" s="134">
        <f t="shared" si="25"/>
        <v>3.1665292036757737E-6</v>
      </c>
      <c r="BD40" s="82">
        <f t="shared" si="26"/>
        <v>0</v>
      </c>
      <c r="BE40" s="82">
        <f t="shared" si="27"/>
        <v>3.2171936738889138E-6</v>
      </c>
      <c r="BF40" s="82">
        <f t="shared" si="28"/>
        <v>0</v>
      </c>
      <c r="BG40" s="82">
        <f t="shared" si="29"/>
        <v>-4.8412328073565031E-6</v>
      </c>
      <c r="BH40" s="82">
        <f t="shared" si="30"/>
        <v>3.1981944962188903E-6</v>
      </c>
      <c r="BI40" s="82">
        <f t="shared" si="31"/>
        <v>0</v>
      </c>
      <c r="BJ40" s="420">
        <f t="shared" si="32"/>
        <v>3.1926530699700453E-6</v>
      </c>
      <c r="BK40" s="139">
        <f t="shared" si="33"/>
        <v>1.111289232879129E-5</v>
      </c>
      <c r="BL40" s="80">
        <f t="shared" si="34"/>
        <v>1.111289232467092E-5</v>
      </c>
      <c r="BM40" s="80">
        <f t="shared" si="35"/>
        <v>1.111289232467092E-5</v>
      </c>
      <c r="BN40" s="80">
        <f t="shared" si="36"/>
        <v>1.1112881380437828E-5</v>
      </c>
      <c r="BO40" s="80">
        <f t="shared" si="37"/>
        <v>1.1112892345519977E-5</v>
      </c>
      <c r="BP40" s="80">
        <f t="shared" si="38"/>
        <v>1.1112891548030664E-5</v>
      </c>
      <c r="BQ40" s="80">
        <f t="shared" si="39"/>
        <v>1.1109549158745021E-5</v>
      </c>
      <c r="BR40" s="80">
        <f t="shared" si="40"/>
        <v>1.0815972744243129E-5</v>
      </c>
      <c r="BS40" s="96">
        <f t="shared" si="41"/>
        <v>1.1255319991133893E-5</v>
      </c>
    </row>
    <row r="41" spans="1:71" x14ac:dyDescent="0.25">
      <c r="A41" s="118">
        <v>800.00049755811699</v>
      </c>
      <c r="B41" s="1">
        <v>800</v>
      </c>
      <c r="C41" s="1">
        <v>107.17957</v>
      </c>
      <c r="D41" s="119">
        <v>837.75798746835403</v>
      </c>
      <c r="E41" s="379" t="s">
        <v>6</v>
      </c>
      <c r="F41" s="56">
        <v>1.0471968330338399</v>
      </c>
      <c r="G41" s="211" t="s">
        <v>31</v>
      </c>
      <c r="H41" s="118">
        <v>163.77600000000001</v>
      </c>
      <c r="I41" s="1">
        <v>5.3732199999999999</v>
      </c>
      <c r="J41" s="1">
        <v>64.478700000000003</v>
      </c>
      <c r="K41" s="1">
        <v>1.6377600000000001</v>
      </c>
      <c r="L41" s="326">
        <v>1.0176600000000001E-3</v>
      </c>
      <c r="M41" s="1">
        <v>1637.76</v>
      </c>
      <c r="N41" s="1">
        <v>1.7910699999999999</v>
      </c>
      <c r="O41" s="119">
        <v>1637758</v>
      </c>
      <c r="P41" s="127">
        <v>57975</v>
      </c>
      <c r="Q41" s="325">
        <v>579.75</v>
      </c>
      <c r="R41" s="78">
        <v>5.7975000000000003</v>
      </c>
      <c r="S41" s="315">
        <v>5.7974999999999999E-2</v>
      </c>
      <c r="T41" s="78">
        <v>89.861500000000007</v>
      </c>
      <c r="U41" s="49">
        <v>0.62403799999999998</v>
      </c>
      <c r="V41" s="326">
        <v>5.7974999999999997E-4</v>
      </c>
      <c r="W41" s="50">
        <v>5.7975044380738098E-6</v>
      </c>
      <c r="X41" s="398">
        <v>1.43259454572781E-5</v>
      </c>
      <c r="Y41" s="143">
        <v>6</v>
      </c>
      <c r="Z41" s="15">
        <v>800</v>
      </c>
      <c r="AA41" s="2">
        <v>800</v>
      </c>
      <c r="AB41" s="2">
        <v>107.17957</v>
      </c>
      <c r="AC41" s="16">
        <v>837.75768000000005</v>
      </c>
      <c r="AD41" s="19" t="s">
        <v>6</v>
      </c>
      <c r="AE41" s="34">
        <v>1.0471999999999999</v>
      </c>
      <c r="AF41" s="19" t="s">
        <v>31</v>
      </c>
      <c r="AG41" s="15">
        <v>163.77600000000001</v>
      </c>
      <c r="AH41" s="2">
        <v>5.3732300000000004</v>
      </c>
      <c r="AI41" s="2">
        <v>64.478700000000003</v>
      </c>
      <c r="AJ41" s="2">
        <v>1.6377600000000001</v>
      </c>
      <c r="AK41" s="309">
        <v>1.0176600000000001E-3</v>
      </c>
      <c r="AL41" s="2">
        <f>AA41+AC41</f>
        <v>1637.7576800000002</v>
      </c>
      <c r="AM41" s="2">
        <v>1.79108</v>
      </c>
      <c r="AN41" s="16">
        <v>1637760</v>
      </c>
      <c r="AO41" s="15">
        <f>(Z41*Z41)/2*(AE41-SIN(AE41))</f>
        <v>57975.478981266162</v>
      </c>
      <c r="AP41" s="2">
        <v>579.755</v>
      </c>
      <c r="AQ41" s="2">
        <v>5.7975500000000002</v>
      </c>
      <c r="AR41" s="23">
        <v>5.7975499999999999E-2</v>
      </c>
      <c r="AS41" s="2">
        <v>89.862200000000001</v>
      </c>
      <c r="AT41" s="30">
        <v>0.62404300000000001</v>
      </c>
      <c r="AU41" s="31">
        <v>5.7975500000000005E-4</v>
      </c>
      <c r="AV41" s="32">
        <v>5.7975500000000001E-6</v>
      </c>
      <c r="AW41" s="44">
        <v>1.4326058043249601E-5</v>
      </c>
      <c r="AX41" s="426" t="s">
        <v>6</v>
      </c>
      <c r="AY41" s="217">
        <f t="shared" si="22"/>
        <v>6.2194764623768606E-5</v>
      </c>
      <c r="AZ41" s="73">
        <f t="shared" si="23"/>
        <v>3.6701347098455311E-5</v>
      </c>
      <c r="BA41" s="230">
        <f t="shared" si="24"/>
        <v>-3.0242228418489702E-4</v>
      </c>
      <c r="BB41" s="274" t="s">
        <v>31</v>
      </c>
      <c r="BC41" s="134">
        <f t="shared" si="25"/>
        <v>0</v>
      </c>
      <c r="BD41" s="82">
        <f t="shared" si="26"/>
        <v>-1.8610779736787E-4</v>
      </c>
      <c r="BE41" s="82">
        <f t="shared" si="27"/>
        <v>0</v>
      </c>
      <c r="BF41" s="82">
        <f t="shared" si="28"/>
        <v>0</v>
      </c>
      <c r="BG41" s="82">
        <f t="shared" si="29"/>
        <v>0</v>
      </c>
      <c r="BH41" s="82">
        <f t="shared" si="30"/>
        <v>1.4165709788195924E-4</v>
      </c>
      <c r="BI41" s="82">
        <f t="shared" si="31"/>
        <v>-5.5832235299738218E-4</v>
      </c>
      <c r="BJ41" s="420">
        <f t="shared" si="32"/>
        <v>-1.221180148495506E-4</v>
      </c>
      <c r="BK41" s="139">
        <f t="shared" si="33"/>
        <v>-8.2617905807519766E-4</v>
      </c>
      <c r="BL41" s="80">
        <f t="shared" si="34"/>
        <v>-8.6243326922500927E-4</v>
      </c>
      <c r="BM41" s="80">
        <f t="shared" si="35"/>
        <v>-8.6243326922378369E-4</v>
      </c>
      <c r="BN41" s="80">
        <f t="shared" si="36"/>
        <v>-8.6243326922665617E-4</v>
      </c>
      <c r="BO41" s="80">
        <f t="shared" si="37"/>
        <v>-7.7897046811096972E-4</v>
      </c>
      <c r="BP41" s="80">
        <f t="shared" si="38"/>
        <v>-8.0122683854041401E-4</v>
      </c>
      <c r="BQ41" s="80">
        <f t="shared" si="39"/>
        <v>-8.6243326923937278E-4</v>
      </c>
      <c r="BR41" s="80">
        <f t="shared" si="40"/>
        <v>-7.8588241913029981E-4</v>
      </c>
      <c r="BS41" s="96">
        <f t="shared" si="41"/>
        <v>-7.8588241902107208E-4</v>
      </c>
    </row>
    <row r="42" spans="1:71" x14ac:dyDescent="0.25">
      <c r="A42" s="118">
        <v>777.00001311936103</v>
      </c>
      <c r="B42" s="1">
        <v>200</v>
      </c>
      <c r="C42" s="1">
        <v>1547.5381500000001</v>
      </c>
      <c r="D42" s="119">
        <v>4681.4787856329503</v>
      </c>
      <c r="E42" s="379" t="s">
        <v>7</v>
      </c>
      <c r="F42" s="56">
        <v>6.0250691204477498</v>
      </c>
      <c r="G42" s="211" t="s">
        <v>31</v>
      </c>
      <c r="H42" s="118">
        <v>446362</v>
      </c>
      <c r="I42" s="1">
        <v>14644.4</v>
      </c>
      <c r="J42" s="1">
        <v>175733</v>
      </c>
      <c r="K42" s="1">
        <v>4463.62</v>
      </c>
      <c r="L42" s="1">
        <v>2.7735699999999999</v>
      </c>
      <c r="M42" s="1">
        <v>4463624</v>
      </c>
      <c r="N42" s="1">
        <v>4881.4799999999996</v>
      </c>
      <c r="O42" s="119">
        <v>4463624202</v>
      </c>
      <c r="P42" s="120">
        <v>1585137232938</v>
      </c>
      <c r="Q42" s="1">
        <v>15851372329</v>
      </c>
      <c r="R42" s="1">
        <v>158513723</v>
      </c>
      <c r="S42" s="1">
        <v>1585137</v>
      </c>
      <c r="T42" s="1">
        <v>2456967625</v>
      </c>
      <c r="U42" s="1">
        <v>17062275</v>
      </c>
      <c r="V42" s="1">
        <v>15851.4</v>
      </c>
      <c r="W42" s="1">
        <v>158.51400000000001</v>
      </c>
      <c r="X42" s="119">
        <v>391.69600000000003</v>
      </c>
      <c r="Y42" s="143">
        <v>7</v>
      </c>
      <c r="Z42" s="15">
        <v>777</v>
      </c>
      <c r="AA42" s="2">
        <v>200</v>
      </c>
      <c r="AB42" s="2">
        <v>1547.5381500000001</v>
      </c>
      <c r="AC42" s="16">
        <v>4681.4771300000002</v>
      </c>
      <c r="AD42" s="19" t="s">
        <v>7</v>
      </c>
      <c r="AE42" s="34">
        <v>6.0250599999999999</v>
      </c>
      <c r="AF42" s="19" t="s">
        <v>31</v>
      </c>
      <c r="AG42" s="15">
        <v>446363</v>
      </c>
      <c r="AH42" s="2">
        <v>14644.4</v>
      </c>
      <c r="AI42" s="2">
        <v>175733</v>
      </c>
      <c r="AJ42" s="2">
        <v>4463.63</v>
      </c>
      <c r="AK42" s="2">
        <v>2.7735699999999999</v>
      </c>
      <c r="AL42" s="2">
        <v>4463625</v>
      </c>
      <c r="AM42" s="2">
        <f>AA42+AC42</f>
        <v>4881.4771300000002</v>
      </c>
      <c r="AN42" s="16">
        <v>4463625312</v>
      </c>
      <c r="AO42" s="15">
        <v>1585137000000</v>
      </c>
      <c r="AP42" s="2">
        <v>15851370000</v>
      </c>
      <c r="AQ42" s="2">
        <v>158513700</v>
      </c>
      <c r="AR42" s="2">
        <f>(Z42*Z42)/2*(AE42-SIN(AE42))*0.9144*0.9144</f>
        <v>1585137.1031481633</v>
      </c>
      <c r="AS42" s="2">
        <v>2456967264</v>
      </c>
      <c r="AT42" s="2">
        <v>17062273</v>
      </c>
      <c r="AU42" s="2">
        <v>15851.4</v>
      </c>
      <c r="AV42" s="2">
        <v>158.51400000000001</v>
      </c>
      <c r="AW42" s="42">
        <v>391.69600000000003</v>
      </c>
      <c r="AX42" s="426" t="s">
        <v>7</v>
      </c>
      <c r="AY42" s="217">
        <f t="shared" si="22"/>
        <v>1.6884634528516467E-6</v>
      </c>
      <c r="AZ42" s="73">
        <f t="shared" si="23"/>
        <v>3.5365610130252044E-5</v>
      </c>
      <c r="BA42" s="230">
        <f t="shared" si="24"/>
        <v>1.51375218668724E-4</v>
      </c>
      <c r="BB42" s="274" t="s">
        <v>31</v>
      </c>
      <c r="BC42" s="134">
        <f t="shared" si="25"/>
        <v>-2.240329059532264E-4</v>
      </c>
      <c r="BD42" s="82">
        <f t="shared" si="26"/>
        <v>0</v>
      </c>
      <c r="BE42" s="82">
        <f t="shared" si="27"/>
        <v>0</v>
      </c>
      <c r="BF42" s="82">
        <f t="shared" si="28"/>
        <v>-2.2403290595811656E-4</v>
      </c>
      <c r="BG42" s="82">
        <f t="shared" si="29"/>
        <v>0</v>
      </c>
      <c r="BH42" s="82">
        <f t="shared" si="30"/>
        <v>-2.2403315690722226E-5</v>
      </c>
      <c r="BI42" s="82">
        <f t="shared" si="31"/>
        <v>5.8793679104008892E-5</v>
      </c>
      <c r="BJ42" s="420">
        <f t="shared" si="32"/>
        <v>-2.4867678678492089E-5</v>
      </c>
      <c r="BK42" s="139">
        <f t="shared" si="33"/>
        <v>1.4695133606748187E-5</v>
      </c>
      <c r="BL42" s="80">
        <f t="shared" si="34"/>
        <v>1.4692736337616244E-5</v>
      </c>
      <c r="BM42" s="80">
        <f t="shared" si="35"/>
        <v>1.4509786851231156E-5</v>
      </c>
      <c r="BN42" s="80">
        <f t="shared" si="36"/>
        <v>-6.5072076788452409E-6</v>
      </c>
      <c r="BO42" s="80">
        <f t="shared" si="37"/>
        <v>1.4692910454666929E-5</v>
      </c>
      <c r="BP42" s="80">
        <f t="shared" si="38"/>
        <v>1.1721767668352277E-5</v>
      </c>
      <c r="BQ42" s="80">
        <f t="shared" si="39"/>
        <v>0</v>
      </c>
      <c r="BR42" s="80">
        <f t="shared" si="40"/>
        <v>0</v>
      </c>
      <c r="BS42" s="96">
        <f t="shared" si="41"/>
        <v>0</v>
      </c>
    </row>
    <row r="43" spans="1:71" ht="15.75" thickBot="1" x14ac:dyDescent="0.3">
      <c r="A43" s="121">
        <v>85.002289287656296</v>
      </c>
      <c r="B43" s="55">
        <v>140</v>
      </c>
      <c r="C43" s="55">
        <v>36.78</v>
      </c>
      <c r="D43" s="122">
        <v>164.49062017611701</v>
      </c>
      <c r="E43" s="380" t="s">
        <v>20</v>
      </c>
      <c r="F43" s="61">
        <v>1.93513164827202</v>
      </c>
      <c r="G43" s="212" t="s">
        <v>31</v>
      </c>
      <c r="H43" s="121">
        <v>3.04491E-2</v>
      </c>
      <c r="I43" s="329">
        <v>9.9898499999999998E-4</v>
      </c>
      <c r="J43" s="55">
        <v>1.19878E-2</v>
      </c>
      <c r="K43" s="329">
        <v>3.04491E-4</v>
      </c>
      <c r="L43" s="353">
        <v>1.8920169968391899E-7</v>
      </c>
      <c r="M43" s="351">
        <v>0.30449100000000001</v>
      </c>
      <c r="N43" s="329">
        <v>3.3299499999999999E-4</v>
      </c>
      <c r="O43" s="122">
        <v>304.49099999999999</v>
      </c>
      <c r="P43" s="352">
        <v>3.6154799999999999E-3</v>
      </c>
      <c r="Q43" s="64">
        <v>3.6154793905222101E-5</v>
      </c>
      <c r="R43" s="68">
        <v>3.61547939052221E-7</v>
      </c>
      <c r="S43" s="65">
        <v>3.6154793905222099E-9</v>
      </c>
      <c r="T43" s="333">
        <v>5.6040042633179499E-6</v>
      </c>
      <c r="U43" s="67">
        <v>3.8916696273041302E-8</v>
      </c>
      <c r="V43" s="71">
        <v>3.6154793905222099E-11</v>
      </c>
      <c r="W43" s="71">
        <v>3.6154793905222101E-13</v>
      </c>
      <c r="X43" s="377">
        <v>8.9340441398166499E-13</v>
      </c>
      <c r="Y43" s="144">
        <v>8</v>
      </c>
      <c r="Z43" s="17">
        <v>85</v>
      </c>
      <c r="AA43" s="9">
        <v>140</v>
      </c>
      <c r="AB43" s="9">
        <v>36.78</v>
      </c>
      <c r="AC43" s="10">
        <v>164.49</v>
      </c>
      <c r="AD43" s="20" t="s">
        <v>20</v>
      </c>
      <c r="AE43" s="281">
        <v>1.9352100000000001</v>
      </c>
      <c r="AF43" s="20" t="s">
        <v>31</v>
      </c>
      <c r="AG43" s="17">
        <v>3.0449E-2</v>
      </c>
      <c r="AH43" s="318">
        <v>9.9898299999999995E-4</v>
      </c>
      <c r="AI43" s="9">
        <v>1.19878E-2</v>
      </c>
      <c r="AJ43" s="357">
        <v>3.0448999999999998E-4</v>
      </c>
      <c r="AK43" s="320">
        <v>1.8920131432434599E-7</v>
      </c>
      <c r="AL43" s="9">
        <v>0.30448999999999998</v>
      </c>
      <c r="AM43" s="318">
        <v>3.3299399999999998E-4</v>
      </c>
      <c r="AN43" s="10">
        <f>AA43+AC43</f>
        <v>304.49</v>
      </c>
      <c r="AO43" s="17">
        <f>(Z43*Z43)/2*(AE43-SIN(AE43))/1000/1000</f>
        <v>3.6156685616005476E-3</v>
      </c>
      <c r="AP43" s="39">
        <v>3.6156699999999999E-5</v>
      </c>
      <c r="AQ43" s="39">
        <v>3.61567E-7</v>
      </c>
      <c r="AR43" s="39">
        <v>3.6156700000000002E-9</v>
      </c>
      <c r="AS43" s="40">
        <v>5.6042997085994199E-6</v>
      </c>
      <c r="AT43" s="40">
        <v>3.8918747976384799E-8</v>
      </c>
      <c r="AU43" s="39">
        <v>3.6156700000000002E-11</v>
      </c>
      <c r="AV43" s="39">
        <v>3.6156699999999998E-13</v>
      </c>
      <c r="AW43" s="45">
        <v>8.9345151460938605E-13</v>
      </c>
      <c r="AX43" s="443" t="s">
        <v>20</v>
      </c>
      <c r="AY43" s="218">
        <f t="shared" si="22"/>
        <v>2.6932795956427337E-3</v>
      </c>
      <c r="AZ43" s="97">
        <f t="shared" si="23"/>
        <v>3.7702967778963022E-4</v>
      </c>
      <c r="BA43" s="231">
        <f t="shared" si="24"/>
        <v>-4.0487455097946556E-3</v>
      </c>
      <c r="BB43" s="275" t="s">
        <v>31</v>
      </c>
      <c r="BC43" s="135">
        <f t="shared" si="25"/>
        <v>3.2841801044174233E-4</v>
      </c>
      <c r="BD43" s="98">
        <f t="shared" si="26"/>
        <v>2.002036070715408E-4</v>
      </c>
      <c r="BE43" s="98">
        <f t="shared" si="27"/>
        <v>0</v>
      </c>
      <c r="BF43" s="98">
        <f t="shared" si="28"/>
        <v>3.2841801044886375E-4</v>
      </c>
      <c r="BG43" s="98">
        <f t="shared" si="29"/>
        <v>2.0367700635345239E-4</v>
      </c>
      <c r="BH43" s="98">
        <f t="shared" si="30"/>
        <v>3.2841801045313665E-4</v>
      </c>
      <c r="BI43" s="98">
        <f t="shared" si="31"/>
        <v>3.0030571121874428E-4</v>
      </c>
      <c r="BJ43" s="421">
        <f t="shared" si="32"/>
        <v>3.2841801043592667E-4</v>
      </c>
      <c r="BK43" s="140">
        <f t="shared" si="33"/>
        <v>-5.2151240451144623E-3</v>
      </c>
      <c r="BL43" s="100">
        <f t="shared" si="34"/>
        <v>-5.2717609126340182E-3</v>
      </c>
      <c r="BM43" s="100">
        <f t="shared" si="35"/>
        <v>-5.2717609126369464E-3</v>
      </c>
      <c r="BN43" s="100">
        <f t="shared" si="36"/>
        <v>-5.2717609126479272E-3</v>
      </c>
      <c r="BO43" s="100">
        <f t="shared" si="37"/>
        <v>-5.2717609127270063E-3</v>
      </c>
      <c r="BP43" s="100">
        <f t="shared" si="38"/>
        <v>-5.2717609126136595E-3</v>
      </c>
      <c r="BQ43" s="100">
        <f t="shared" si="39"/>
        <v>-5.2717609126493566E-3</v>
      </c>
      <c r="BR43" s="100">
        <f t="shared" si="40"/>
        <v>-5.2717609126298089E-3</v>
      </c>
      <c r="BS43" s="102">
        <f t="shared" si="41"/>
        <v>-5.2717609126950961E-3</v>
      </c>
    </row>
    <row r="44" spans="1:71" x14ac:dyDescent="0.25">
      <c r="A44" s="114">
        <v>111.00011000833</v>
      </c>
      <c r="B44" s="115">
        <v>88</v>
      </c>
      <c r="C44" s="115">
        <v>9.0931700000000006</v>
      </c>
      <c r="D44" s="180">
        <v>90.484608348103706</v>
      </c>
      <c r="E44" s="429" t="s">
        <v>9</v>
      </c>
      <c r="F44" s="210">
        <v>51.895706017783603</v>
      </c>
      <c r="G44" s="245" t="s">
        <v>32</v>
      </c>
      <c r="H44" s="114">
        <v>178.48500000000001</v>
      </c>
      <c r="I44" s="115">
        <v>5.8557899999999998</v>
      </c>
      <c r="J44" s="115">
        <v>70.269499999999994</v>
      </c>
      <c r="K44" s="115">
        <v>1.78485</v>
      </c>
      <c r="L44" s="311">
        <v>1.1090500000000001E-3</v>
      </c>
      <c r="M44" s="115">
        <v>1784.85</v>
      </c>
      <c r="N44" s="115">
        <v>1.9519299999999999</v>
      </c>
      <c r="O44" s="117">
        <v>1784846</v>
      </c>
      <c r="P44" s="114">
        <v>53799.5</v>
      </c>
      <c r="Q44" s="115">
        <v>537.995</v>
      </c>
      <c r="R44" s="115">
        <v>5.37995</v>
      </c>
      <c r="S44" s="115">
        <v>5.37995E-2</v>
      </c>
      <c r="T44" s="115">
        <v>83.389499999999998</v>
      </c>
      <c r="U44" s="115">
        <v>0.57909299999999997</v>
      </c>
      <c r="V44" s="345">
        <v>5.3799499999999999E-4</v>
      </c>
      <c r="W44" s="123">
        <v>5.3799537998356403E-6</v>
      </c>
      <c r="X44" s="314">
        <v>1.32941553598411E-5</v>
      </c>
      <c r="Y44" s="142">
        <v>1</v>
      </c>
      <c r="Z44" s="8">
        <v>111</v>
      </c>
      <c r="AA44" s="260">
        <v>88</v>
      </c>
      <c r="AB44" s="260">
        <v>9.0931700000000006</v>
      </c>
      <c r="AC44" s="437">
        <v>90.4846</v>
      </c>
      <c r="AD44" s="18" t="s">
        <v>9</v>
      </c>
      <c r="AE44" s="12">
        <v>51.895760000000003</v>
      </c>
      <c r="AF44" s="18" t="s">
        <v>32</v>
      </c>
      <c r="AG44" s="187">
        <f>AA44+AC44</f>
        <v>178.4846</v>
      </c>
      <c r="AH44" s="7">
        <v>5.85581</v>
      </c>
      <c r="AI44" s="7">
        <v>70.2697</v>
      </c>
      <c r="AJ44" s="7">
        <v>1.78485</v>
      </c>
      <c r="AK44" s="301">
        <v>1.1090500000000001E-3</v>
      </c>
      <c r="AL44" s="7">
        <v>1784.85</v>
      </c>
      <c r="AM44" s="7">
        <v>1.95194</v>
      </c>
      <c r="AN44" s="14">
        <v>1784850</v>
      </c>
      <c r="AO44" s="8">
        <v>53800.2</v>
      </c>
      <c r="AP44" s="12">
        <f>(Z44*Z44)/2*(AE36-SIN(AE36))</f>
        <v>538.002359855843</v>
      </c>
      <c r="AQ44" s="7">
        <v>5.38002</v>
      </c>
      <c r="AR44" s="7">
        <v>5.3800199999999999E-2</v>
      </c>
      <c r="AS44" s="7">
        <v>83.390500000000003</v>
      </c>
      <c r="AT44" s="7">
        <v>0.57910099999999998</v>
      </c>
      <c r="AU44" s="21">
        <v>5.3800199999999999E-4</v>
      </c>
      <c r="AV44" s="22">
        <v>5.3800199999999999E-6</v>
      </c>
      <c r="AW44" s="41">
        <v>1.32943189440098E-5</v>
      </c>
      <c r="AX44" s="444" t="s">
        <v>9</v>
      </c>
      <c r="AY44" s="216">
        <f t="shared" si="22"/>
        <v>9.9106603601273018E-5</v>
      </c>
      <c r="AZ44" s="90">
        <f t="shared" si="23"/>
        <v>9.2259939317877825E-6</v>
      </c>
      <c r="BA44" s="229">
        <f t="shared" si="24"/>
        <v>-1.040204756613498E-4</v>
      </c>
      <c r="BB44" s="276" t="s">
        <v>32</v>
      </c>
      <c r="BC44" s="133">
        <f t="shared" si="25"/>
        <v>2.2410897075337516E-4</v>
      </c>
      <c r="BD44" s="91">
        <f t="shared" si="26"/>
        <v>-3.4154113607051841E-4</v>
      </c>
      <c r="BE44" s="91">
        <f t="shared" si="27"/>
        <v>-2.8461769440689134E-4</v>
      </c>
      <c r="BF44" s="91">
        <f t="shared" si="28"/>
        <v>0</v>
      </c>
      <c r="BG44" s="91">
        <f t="shared" si="29"/>
        <v>0</v>
      </c>
      <c r="BH44" s="91">
        <f t="shared" si="30"/>
        <v>0</v>
      </c>
      <c r="BI44" s="91">
        <f t="shared" si="31"/>
        <v>-5.1231082922966441E-4</v>
      </c>
      <c r="BJ44" s="419">
        <f t="shared" si="32"/>
        <v>-2.241084684987534E-4</v>
      </c>
      <c r="BK44" s="138">
        <f t="shared" si="33"/>
        <v>-1.3011104047886248E-3</v>
      </c>
      <c r="BL44" s="93">
        <f t="shared" si="34"/>
        <v>-1.3679969442818448E-3</v>
      </c>
      <c r="BM44" s="93">
        <f t="shared" si="35"/>
        <v>-1.3011104047943036E-3</v>
      </c>
      <c r="BN44" s="93">
        <f t="shared" si="36"/>
        <v>-1.301110404792756E-3</v>
      </c>
      <c r="BO44" s="93">
        <f t="shared" si="37"/>
        <v>-1.1991773643337967E-3</v>
      </c>
      <c r="BP44" s="93">
        <f t="shared" si="38"/>
        <v>-1.381451594800907E-3</v>
      </c>
      <c r="BQ44" s="93">
        <f t="shared" si="39"/>
        <v>-1.3011104047943682E-3</v>
      </c>
      <c r="BR44" s="93">
        <f t="shared" si="40"/>
        <v>-1.2304817521040792E-3</v>
      </c>
      <c r="BS44" s="95">
        <f t="shared" si="41"/>
        <v>-1.2304817523153314E-3</v>
      </c>
    </row>
    <row r="45" spans="1:71" x14ac:dyDescent="0.25">
      <c r="A45" s="118">
        <v>50</v>
      </c>
      <c r="B45" s="1">
        <v>100</v>
      </c>
      <c r="C45" s="1">
        <v>50</v>
      </c>
      <c r="D45" s="119">
        <v>157.07963267949</v>
      </c>
      <c r="E45" s="379" t="s">
        <v>5</v>
      </c>
      <c r="F45" s="211">
        <v>200</v>
      </c>
      <c r="G45" s="211" t="s">
        <v>32</v>
      </c>
      <c r="H45" s="118">
        <v>7835.79</v>
      </c>
      <c r="I45" s="1">
        <v>257.08</v>
      </c>
      <c r="J45" s="1">
        <v>3084.96</v>
      </c>
      <c r="K45" s="1">
        <v>78.357900000000001</v>
      </c>
      <c r="L45" s="1">
        <v>4.8689299999999998E-2</v>
      </c>
      <c r="M45" s="1">
        <v>78357.899999999994</v>
      </c>
      <c r="N45" s="1">
        <v>85.693200000000004</v>
      </c>
      <c r="O45" s="119">
        <v>78357872</v>
      </c>
      <c r="P45" s="118">
        <v>364829385</v>
      </c>
      <c r="Q45" s="1">
        <v>3648294</v>
      </c>
      <c r="R45" s="1">
        <v>36482.9</v>
      </c>
      <c r="S45" s="1">
        <v>364.82900000000001</v>
      </c>
      <c r="T45" s="1">
        <v>565487</v>
      </c>
      <c r="U45" s="1">
        <v>3926.99</v>
      </c>
      <c r="V45" s="1">
        <v>3.6482899999999998</v>
      </c>
      <c r="W45" s="78">
        <v>3.6482899999999999E-2</v>
      </c>
      <c r="X45" s="119">
        <v>9.0151300000000004E-2</v>
      </c>
      <c r="Y45" s="143">
        <v>2</v>
      </c>
      <c r="Z45" s="15">
        <v>50</v>
      </c>
      <c r="AA45" s="2">
        <v>100</v>
      </c>
      <c r="AB45" s="2">
        <v>50</v>
      </c>
      <c r="AC45" s="16">
        <v>157.07964000000001</v>
      </c>
      <c r="AD45" s="19" t="s">
        <v>5</v>
      </c>
      <c r="AE45" s="34">
        <v>200</v>
      </c>
      <c r="AF45" s="19" t="s">
        <v>32</v>
      </c>
      <c r="AG45" s="15">
        <v>7835.8</v>
      </c>
      <c r="AH45" s="2">
        <f>AA45+AC45</f>
        <v>257.07964000000004</v>
      </c>
      <c r="AI45" s="2">
        <v>3084.96</v>
      </c>
      <c r="AJ45" s="2">
        <v>78.358000000000004</v>
      </c>
      <c r="AK45" s="2">
        <v>4.8689400000000001E-2</v>
      </c>
      <c r="AL45" s="2">
        <v>78358</v>
      </c>
      <c r="AM45" s="2">
        <v>85.693299999999994</v>
      </c>
      <c r="AN45" s="16">
        <v>78357984</v>
      </c>
      <c r="AO45" s="15">
        <v>364828380</v>
      </c>
      <c r="AP45" s="2">
        <v>3648284</v>
      </c>
      <c r="AQ45" s="2">
        <v>36482.800000000003</v>
      </c>
      <c r="AR45" s="2">
        <v>364.82799999999997</v>
      </c>
      <c r="AS45" s="2">
        <v>565485</v>
      </c>
      <c r="AT45" s="12">
        <f>(Z45*Z45)/2*(AE37-SIN(AE37))</f>
        <v>3926.9841830127584</v>
      </c>
      <c r="AU45" s="2">
        <v>3.6482800000000002</v>
      </c>
      <c r="AV45" s="23">
        <v>3.6482800000000003E-2</v>
      </c>
      <c r="AW45" s="42">
        <v>9.0151099999999998E-2</v>
      </c>
      <c r="AX45" s="426" t="s">
        <v>5</v>
      </c>
      <c r="AY45" s="217">
        <f t="shared" si="22"/>
        <v>0</v>
      </c>
      <c r="AZ45" s="73">
        <f t="shared" si="23"/>
        <v>-4.6603811976890424E-6</v>
      </c>
      <c r="BA45" s="230">
        <f t="shared" si="24"/>
        <v>0</v>
      </c>
      <c r="BB45" s="274" t="s">
        <v>32</v>
      </c>
      <c r="BC45" s="134">
        <f t="shared" si="25"/>
        <v>-1.2761938794020111E-4</v>
      </c>
      <c r="BD45" s="82">
        <f t="shared" si="26"/>
        <v>1.4003442666394686E-4</v>
      </c>
      <c r="BE45" s="82">
        <f t="shared" si="27"/>
        <v>0</v>
      </c>
      <c r="BF45" s="82">
        <f t="shared" si="28"/>
        <v>-1.2761938794165196E-4</v>
      </c>
      <c r="BG45" s="82">
        <f t="shared" si="29"/>
        <v>-2.0538351263904581E-4</v>
      </c>
      <c r="BH45" s="82">
        <f t="shared" si="30"/>
        <v>-1.2761938794484388E-4</v>
      </c>
      <c r="BI45" s="82">
        <f t="shared" si="31"/>
        <v>-1.1669523753795082E-4</v>
      </c>
      <c r="BJ45" s="420">
        <f t="shared" si="32"/>
        <v>-1.4293374367569233E-4</v>
      </c>
      <c r="BK45" s="139">
        <f t="shared" si="33"/>
        <v>2.7547199041916639E-4</v>
      </c>
      <c r="BL45" s="80">
        <f t="shared" si="34"/>
        <v>2.7410146797782192E-4</v>
      </c>
      <c r="BM45" s="80">
        <f t="shared" si="35"/>
        <v>2.7410176850062166E-4</v>
      </c>
      <c r="BN45" s="80">
        <f t="shared" si="36"/>
        <v>2.7410176851370966E-4</v>
      </c>
      <c r="BO45" s="80">
        <f t="shared" si="37"/>
        <v>3.5367870058445407E-4</v>
      </c>
      <c r="BP45" s="80">
        <f t="shared" si="38"/>
        <v>1.4812861397616532E-4</v>
      </c>
      <c r="BQ45" s="80">
        <f t="shared" si="39"/>
        <v>2.7410176849423348E-4</v>
      </c>
      <c r="BR45" s="80">
        <f t="shared" si="40"/>
        <v>2.741017684934727E-4</v>
      </c>
      <c r="BS45" s="96">
        <f t="shared" si="41"/>
        <v>2.2184976112964914E-4</v>
      </c>
    </row>
    <row r="46" spans="1:71" x14ac:dyDescent="0.25">
      <c r="A46" s="118">
        <v>7.99999895609976</v>
      </c>
      <c r="B46" s="1">
        <v>12</v>
      </c>
      <c r="C46" s="1">
        <v>13.291499999999999</v>
      </c>
      <c r="D46" s="119">
        <v>36.696482037955398</v>
      </c>
      <c r="E46" s="379" t="s">
        <v>8</v>
      </c>
      <c r="F46" s="211">
        <v>292.02136362632399</v>
      </c>
      <c r="G46" s="211" t="s">
        <v>32</v>
      </c>
      <c r="H46" s="118">
        <v>123.68899999999999</v>
      </c>
      <c r="I46" s="1">
        <v>4.0580400000000001</v>
      </c>
      <c r="J46" s="1">
        <v>48.6965</v>
      </c>
      <c r="K46" s="1">
        <v>1.23689</v>
      </c>
      <c r="L46" s="1">
        <v>7.6856799999999996E-4</v>
      </c>
      <c r="M46" s="1">
        <v>1236.8900000000001</v>
      </c>
      <c r="N46" s="1">
        <v>1.3526800000000001</v>
      </c>
      <c r="O46" s="119">
        <v>1236891</v>
      </c>
      <c r="P46" s="118">
        <v>115184</v>
      </c>
      <c r="Q46" s="1">
        <v>1151.8399999999999</v>
      </c>
      <c r="R46" s="1">
        <v>11.5184</v>
      </c>
      <c r="S46" s="1">
        <v>0.11518399999999999</v>
      </c>
      <c r="T46" s="1">
        <v>178.535</v>
      </c>
      <c r="U46" s="1">
        <v>1.23983</v>
      </c>
      <c r="V46" s="326">
        <v>1.1518399999999999E-3</v>
      </c>
      <c r="W46" s="49">
        <v>1.1518358593010301E-5</v>
      </c>
      <c r="X46" s="427">
        <v>2.8462483940014001E-5</v>
      </c>
      <c r="Y46" s="143">
        <v>3</v>
      </c>
      <c r="Z46" s="15">
        <v>8</v>
      </c>
      <c r="AA46" s="2">
        <v>12</v>
      </c>
      <c r="AB46" s="2">
        <v>13.291499999999999</v>
      </c>
      <c r="AC46" s="16">
        <v>36.696489999999997</v>
      </c>
      <c r="AD46" s="19" t="s">
        <v>8</v>
      </c>
      <c r="AE46" s="428">
        <v>292.02138000000002</v>
      </c>
      <c r="AF46" s="19" t="s">
        <v>32</v>
      </c>
      <c r="AG46" s="15">
        <v>123.68899999999999</v>
      </c>
      <c r="AH46" s="2">
        <v>4.0580400000000001</v>
      </c>
      <c r="AI46" s="2">
        <f>AA46+AC46</f>
        <v>48.696489999999997</v>
      </c>
      <c r="AJ46" s="2">
        <v>1.23689</v>
      </c>
      <c r="AK46" s="2">
        <v>7.6856799999999996E-4</v>
      </c>
      <c r="AL46" s="2">
        <v>1236.8900000000001</v>
      </c>
      <c r="AM46" s="2">
        <v>1.3526800000000001</v>
      </c>
      <c r="AN46" s="16">
        <v>1236891</v>
      </c>
      <c r="AO46" s="27">
        <v>115184</v>
      </c>
      <c r="AP46" s="26">
        <v>1151.8399999999999</v>
      </c>
      <c r="AQ46" s="2">
        <v>11.5184</v>
      </c>
      <c r="AR46" s="2">
        <v>0.11518399999999999</v>
      </c>
      <c r="AS46" s="2">
        <f>(Z46*Z46)/2*(AE38-SIN(AE38))</f>
        <v>178.53493113588763</v>
      </c>
      <c r="AT46" s="2">
        <v>1.23983</v>
      </c>
      <c r="AU46" s="24">
        <v>1.1518399999999999E-3</v>
      </c>
      <c r="AV46" s="25">
        <v>1.151836406E-5</v>
      </c>
      <c r="AW46" s="43">
        <v>2.8462497449239901E-5</v>
      </c>
      <c r="AX46" s="426" t="s">
        <v>8</v>
      </c>
      <c r="AY46" s="217">
        <f t="shared" si="22"/>
        <v>-1.3048753000344249E-5</v>
      </c>
      <c r="AZ46" s="73">
        <f t="shared" si="23"/>
        <v>-2.1697019520781454E-5</v>
      </c>
      <c r="BA46" s="230">
        <f t="shared" si="24"/>
        <v>-5.6070127580382179E-6</v>
      </c>
      <c r="BB46" s="274" t="s">
        <v>32</v>
      </c>
      <c r="BC46" s="134">
        <f t="shared" si="25"/>
        <v>0</v>
      </c>
      <c r="BD46" s="82">
        <f t="shared" si="26"/>
        <v>0</v>
      </c>
      <c r="BE46" s="82">
        <f t="shared" si="27"/>
        <v>2.0535360974012988E-5</v>
      </c>
      <c r="BF46" s="82">
        <f t="shared" si="28"/>
        <v>0</v>
      </c>
      <c r="BG46" s="82">
        <f t="shared" si="29"/>
        <v>0</v>
      </c>
      <c r="BH46" s="82">
        <f t="shared" si="30"/>
        <v>0</v>
      </c>
      <c r="BI46" s="82">
        <f t="shared" si="31"/>
        <v>0</v>
      </c>
      <c r="BJ46" s="420">
        <f t="shared" si="32"/>
        <v>0</v>
      </c>
      <c r="BK46" s="139">
        <f t="shared" si="33"/>
        <v>0</v>
      </c>
      <c r="BL46" s="80">
        <f t="shared" si="34"/>
        <v>0</v>
      </c>
      <c r="BM46" s="80">
        <f t="shared" si="35"/>
        <v>0</v>
      </c>
      <c r="BN46" s="80">
        <f t="shared" si="36"/>
        <v>0</v>
      </c>
      <c r="BO46" s="80">
        <f t="shared" si="37"/>
        <v>3.8571786443345431E-5</v>
      </c>
      <c r="BP46" s="80">
        <f t="shared" si="38"/>
        <v>0</v>
      </c>
      <c r="BQ46" s="80">
        <f t="shared" si="39"/>
        <v>0</v>
      </c>
      <c r="BR46" s="80">
        <f t="shared" si="40"/>
        <v>-4.7463248003015093E-5</v>
      </c>
      <c r="BS46" s="96">
        <f t="shared" si="41"/>
        <v>-4.7463248522591228E-5</v>
      </c>
    </row>
    <row r="47" spans="1:71" x14ac:dyDescent="0.25">
      <c r="A47" s="118">
        <v>10.0001</v>
      </c>
      <c r="B47" s="1">
        <v>14</v>
      </c>
      <c r="C47" s="1">
        <v>2.8584999999999998</v>
      </c>
      <c r="D47" s="119">
        <v>15.5078766956492</v>
      </c>
      <c r="E47" s="379" t="s">
        <v>4</v>
      </c>
      <c r="F47" s="211">
        <v>98.724444038794104</v>
      </c>
      <c r="G47" s="211" t="s">
        <v>32</v>
      </c>
      <c r="H47" s="118">
        <v>2950.94</v>
      </c>
      <c r="I47" s="1">
        <v>96.815700000000007</v>
      </c>
      <c r="J47" s="1">
        <v>1161.79</v>
      </c>
      <c r="K47" s="1">
        <v>29.509399999999999</v>
      </c>
      <c r="L47" s="1">
        <v>1.83363E-2</v>
      </c>
      <c r="M47" s="1">
        <v>29509.4</v>
      </c>
      <c r="N47" s="1">
        <v>32.271900000000002</v>
      </c>
      <c r="O47" s="119">
        <v>29509412</v>
      </c>
      <c r="P47" s="118">
        <v>27549018</v>
      </c>
      <c r="Q47" s="1">
        <v>275490</v>
      </c>
      <c r="R47" s="1">
        <v>2754.9</v>
      </c>
      <c r="S47" s="1">
        <v>27.548999999999999</v>
      </c>
      <c r="T47" s="1">
        <v>42701.1</v>
      </c>
      <c r="U47" s="1">
        <v>296.53500000000003</v>
      </c>
      <c r="V47" s="1">
        <v>0.27549000000000001</v>
      </c>
      <c r="W47" s="1">
        <v>2.7548999999999998E-3</v>
      </c>
      <c r="X47" s="119">
        <v>6.8075100000000001E-3</v>
      </c>
      <c r="Y47" s="143">
        <v>4</v>
      </c>
      <c r="Z47" s="15">
        <v>10</v>
      </c>
      <c r="AA47" s="2">
        <v>14</v>
      </c>
      <c r="AB47" s="2">
        <v>2.8584999999999998</v>
      </c>
      <c r="AC47" s="16">
        <v>15.507899999999999</v>
      </c>
      <c r="AD47" s="19" t="s">
        <v>4</v>
      </c>
      <c r="AE47" s="34">
        <v>98.726699999999994</v>
      </c>
      <c r="AF47" s="19" t="s">
        <v>32</v>
      </c>
      <c r="AG47" s="15">
        <v>2951</v>
      </c>
      <c r="AH47" s="2">
        <v>96.817599999999999</v>
      </c>
      <c r="AI47" s="2">
        <v>1161.81</v>
      </c>
      <c r="AJ47" s="2">
        <f>AA47+AC47</f>
        <v>29.507899999999999</v>
      </c>
      <c r="AK47" s="2">
        <v>1.8336700000000001E-2</v>
      </c>
      <c r="AL47" s="2">
        <v>29510</v>
      </c>
      <c r="AM47" s="2">
        <v>32.272500000000001</v>
      </c>
      <c r="AN47" s="16">
        <v>29510000</v>
      </c>
      <c r="AO47" s="15">
        <v>27550000</v>
      </c>
      <c r="AP47" s="2">
        <v>275500</v>
      </c>
      <c r="AQ47" s="2">
        <v>2755</v>
      </c>
      <c r="AR47" s="2">
        <f>(Z47*Z47)/2*(AE39-SIN(AE39))</f>
        <v>27.549505994044733</v>
      </c>
      <c r="AS47" s="2">
        <v>42702.6</v>
      </c>
      <c r="AT47" s="2">
        <v>296.54599999999999</v>
      </c>
      <c r="AU47" s="2">
        <v>0.27550000000000002</v>
      </c>
      <c r="AV47" s="2">
        <v>2.7550000000000001E-3</v>
      </c>
      <c r="AW47" s="42">
        <v>6.8077500000000004E-3</v>
      </c>
      <c r="AX47" s="426" t="s">
        <v>4</v>
      </c>
      <c r="AY47" s="217">
        <f t="shared" si="22"/>
        <v>9.9999999999766942E-4</v>
      </c>
      <c r="AZ47" s="73">
        <f t="shared" si="23"/>
        <v>-1.5027405902369627E-4</v>
      </c>
      <c r="BA47" s="230">
        <f t="shared" si="24"/>
        <v>-2.2850568345643978E-3</v>
      </c>
      <c r="BB47" s="274" t="s">
        <v>32</v>
      </c>
      <c r="BC47" s="134">
        <f t="shared" si="25"/>
        <v>-2.0332090816653822E-3</v>
      </c>
      <c r="BD47" s="82">
        <f t="shared" si="26"/>
        <v>-1.9624531076911835E-3</v>
      </c>
      <c r="BE47" s="82">
        <f t="shared" si="27"/>
        <v>-1.7214518725077088E-3</v>
      </c>
      <c r="BF47" s="82">
        <f t="shared" si="28"/>
        <v>5.0833844495882692E-3</v>
      </c>
      <c r="BG47" s="82">
        <f t="shared" si="29"/>
        <v>-2.181417594229572E-3</v>
      </c>
      <c r="BH47" s="82">
        <f t="shared" si="30"/>
        <v>-2.0332090816623004E-3</v>
      </c>
      <c r="BI47" s="82">
        <f t="shared" si="31"/>
        <v>-1.8591680223056834E-3</v>
      </c>
      <c r="BJ47" s="420">
        <f t="shared" si="32"/>
        <v>-1.992544900033887E-3</v>
      </c>
      <c r="BK47" s="139">
        <f t="shared" si="33"/>
        <v>-3.5644283121597097E-3</v>
      </c>
      <c r="BL47" s="80">
        <f t="shared" si="34"/>
        <v>-3.629764065335753E-3</v>
      </c>
      <c r="BM47" s="80">
        <f t="shared" si="35"/>
        <v>-3.6297640653324519E-3</v>
      </c>
      <c r="BN47" s="80">
        <f t="shared" si="36"/>
        <v>-1.8366719346711697E-3</v>
      </c>
      <c r="BO47" s="80">
        <f t="shared" si="37"/>
        <v>-3.5126666760337778E-3</v>
      </c>
      <c r="BP47" s="80">
        <f t="shared" si="38"/>
        <v>-3.7093739251135602E-3</v>
      </c>
      <c r="BQ47" s="80">
        <f t="shared" si="39"/>
        <v>-3.6297640653393829E-3</v>
      </c>
      <c r="BR47" s="80">
        <f t="shared" si="40"/>
        <v>-3.62976406534568E-3</v>
      </c>
      <c r="BS47" s="96">
        <f t="shared" si="41"/>
        <v>-3.5253938525990143E-3</v>
      </c>
    </row>
    <row r="48" spans="1:71" x14ac:dyDescent="0.25">
      <c r="A48" s="118">
        <v>900.00005426783798</v>
      </c>
      <c r="B48" s="1">
        <v>1700</v>
      </c>
      <c r="C48" s="1">
        <v>604.19586000000004</v>
      </c>
      <c r="D48" s="430">
        <v>2224.6201252993501</v>
      </c>
      <c r="E48" s="379" t="s">
        <v>10</v>
      </c>
      <c r="F48" s="432">
        <v>157.35967470852401</v>
      </c>
      <c r="G48" s="211" t="s">
        <v>32</v>
      </c>
      <c r="H48" s="120">
        <v>631606385</v>
      </c>
      <c r="I48" s="1">
        <v>20721994</v>
      </c>
      <c r="J48" s="1">
        <v>248663931</v>
      </c>
      <c r="K48" s="1">
        <v>6316064</v>
      </c>
      <c r="L48" s="1">
        <v>3924.62</v>
      </c>
      <c r="M48" s="1">
        <v>6316063851</v>
      </c>
      <c r="N48" s="1">
        <v>6907331</v>
      </c>
      <c r="O48" s="164">
        <v>6316063850930</v>
      </c>
      <c r="P48" s="120">
        <v>1.9415731537209101E+18</v>
      </c>
      <c r="Q48" s="59">
        <v>1.94157315372091E+16</v>
      </c>
      <c r="R48" s="59">
        <v>194157315372091</v>
      </c>
      <c r="S48" s="59">
        <v>1941573153721</v>
      </c>
      <c r="T48" s="59">
        <v>3009444407156230</v>
      </c>
      <c r="U48" s="59">
        <v>20898919494140</v>
      </c>
      <c r="V48" s="1">
        <v>19415731537</v>
      </c>
      <c r="W48" s="1">
        <v>194157315</v>
      </c>
      <c r="X48" s="119">
        <v>479773175</v>
      </c>
      <c r="Y48" s="143">
        <v>5</v>
      </c>
      <c r="Z48" s="15">
        <v>900</v>
      </c>
      <c r="AA48" s="2">
        <v>1700</v>
      </c>
      <c r="AB48" s="2">
        <v>604.19586000000004</v>
      </c>
      <c r="AC48" s="438">
        <v>2224.6201900000001</v>
      </c>
      <c r="AD48" s="19" t="s">
        <v>10</v>
      </c>
      <c r="AE48" s="403">
        <v>157.3597</v>
      </c>
      <c r="AF48" s="19" t="s">
        <v>32</v>
      </c>
      <c r="AG48" s="15">
        <v>631606365</v>
      </c>
      <c r="AH48" s="2">
        <v>20721994</v>
      </c>
      <c r="AI48" s="2">
        <v>248663923</v>
      </c>
      <c r="AJ48" s="2">
        <v>6316064</v>
      </c>
      <c r="AK48" s="186">
        <f>AA48+AC48</f>
        <v>3924.6201900000001</v>
      </c>
      <c r="AL48" s="2">
        <v>6316063649</v>
      </c>
      <c r="AM48" s="2">
        <v>6907331</v>
      </c>
      <c r="AN48" s="185">
        <v>6316063649280</v>
      </c>
      <c r="AO48" s="28">
        <v>1.941572937956E+18</v>
      </c>
      <c r="AP48" s="341">
        <v>1.941572937956E+16</v>
      </c>
      <c r="AQ48" s="2">
        <v>194157293795600</v>
      </c>
      <c r="AR48" s="340">
        <f>(Z48*Z48)/2*(AE40-SIN(AE40))*1609.344*1609.344</f>
        <v>1941572937956.3025</v>
      </c>
      <c r="AS48" s="29">
        <v>3009444072719950</v>
      </c>
      <c r="AT48" s="2">
        <v>20898917171666</v>
      </c>
      <c r="AU48" s="2">
        <v>19415729380</v>
      </c>
      <c r="AV48" s="2">
        <v>194157294</v>
      </c>
      <c r="AW48" s="42">
        <v>479773121</v>
      </c>
      <c r="AX48" s="426" t="s">
        <v>10</v>
      </c>
      <c r="AY48" s="217">
        <f t="shared" si="22"/>
        <v>6.0297597757299727E-6</v>
      </c>
      <c r="AZ48" s="73">
        <f t="shared" si="23"/>
        <v>-2.9083908476216988E-6</v>
      </c>
      <c r="BA48" s="230">
        <f t="shared" si="24"/>
        <v>-1.6072397184677557E-5</v>
      </c>
      <c r="BB48" s="274" t="s">
        <v>32</v>
      </c>
      <c r="BC48" s="134">
        <f t="shared" si="25"/>
        <v>3.1665292036757737E-6</v>
      </c>
      <c r="BD48" s="82">
        <f t="shared" si="26"/>
        <v>0</v>
      </c>
      <c r="BE48" s="82">
        <f t="shared" si="27"/>
        <v>3.2171936738889138E-6</v>
      </c>
      <c r="BF48" s="82">
        <f t="shared" si="28"/>
        <v>0</v>
      </c>
      <c r="BG48" s="82">
        <f t="shared" si="29"/>
        <v>-4.8412328073565031E-6</v>
      </c>
      <c r="BH48" s="82">
        <f t="shared" si="30"/>
        <v>3.1981944962188903E-6</v>
      </c>
      <c r="BI48" s="82">
        <f t="shared" si="31"/>
        <v>0</v>
      </c>
      <c r="BJ48" s="420">
        <f t="shared" si="32"/>
        <v>3.1926530699700453E-6</v>
      </c>
      <c r="BK48" s="139">
        <f t="shared" si="33"/>
        <v>1.111289232879129E-5</v>
      </c>
      <c r="BL48" s="80">
        <f t="shared" si="34"/>
        <v>1.111289232467092E-5</v>
      </c>
      <c r="BM48" s="80">
        <f t="shared" si="35"/>
        <v>1.111289232467092E-5</v>
      </c>
      <c r="BN48" s="80">
        <f t="shared" si="36"/>
        <v>1.1112881380437828E-5</v>
      </c>
      <c r="BO48" s="80">
        <f t="shared" si="37"/>
        <v>1.1112892345519977E-5</v>
      </c>
      <c r="BP48" s="80">
        <f t="shared" si="38"/>
        <v>1.1112891548030664E-5</v>
      </c>
      <c r="BQ48" s="80">
        <f t="shared" si="39"/>
        <v>1.1109549158745021E-5</v>
      </c>
      <c r="BR48" s="80">
        <f t="shared" si="40"/>
        <v>1.0815972744243129E-5</v>
      </c>
      <c r="BS48" s="96">
        <f t="shared" si="41"/>
        <v>1.1255319991133893E-5</v>
      </c>
    </row>
    <row r="49" spans="1:71" x14ac:dyDescent="0.25">
      <c r="A49" s="118">
        <v>800.00049755811699</v>
      </c>
      <c r="B49" s="1">
        <v>800</v>
      </c>
      <c r="C49" s="1">
        <v>107.17957</v>
      </c>
      <c r="D49" s="119">
        <v>837.75798746835403</v>
      </c>
      <c r="E49" s="379" t="s">
        <v>6</v>
      </c>
      <c r="F49" s="211">
        <v>66.666620947005498</v>
      </c>
      <c r="G49" s="211" t="s">
        <v>32</v>
      </c>
      <c r="H49" s="118">
        <v>163.77600000000001</v>
      </c>
      <c r="I49" s="1">
        <v>5.3732199999999999</v>
      </c>
      <c r="J49" s="1">
        <v>64.478700000000003</v>
      </c>
      <c r="K49" s="1">
        <v>1.6377600000000001</v>
      </c>
      <c r="L49" s="326">
        <v>1.0176600000000001E-3</v>
      </c>
      <c r="M49" s="1">
        <v>1637.76</v>
      </c>
      <c r="N49" s="1">
        <v>1.7910699999999999</v>
      </c>
      <c r="O49" s="119">
        <v>1637758</v>
      </c>
      <c r="P49" s="127">
        <v>57975</v>
      </c>
      <c r="Q49" s="325">
        <v>579.75</v>
      </c>
      <c r="R49" s="78">
        <v>5.7975000000000003</v>
      </c>
      <c r="S49" s="315">
        <v>5.7974999999999999E-2</v>
      </c>
      <c r="T49" s="78">
        <v>89.861500000000007</v>
      </c>
      <c r="U49" s="49">
        <v>0.62403799999999998</v>
      </c>
      <c r="V49" s="326">
        <v>5.7974999999999997E-4</v>
      </c>
      <c r="W49" s="50">
        <v>5.7975044380738098E-6</v>
      </c>
      <c r="X49" s="398">
        <v>1.43259454572781E-5</v>
      </c>
      <c r="Y49" s="143">
        <v>6</v>
      </c>
      <c r="Z49" s="15">
        <v>800</v>
      </c>
      <c r="AA49" s="2">
        <v>800</v>
      </c>
      <c r="AB49" s="2">
        <v>107.17957</v>
      </c>
      <c r="AC49" s="16">
        <v>837.75768000000005</v>
      </c>
      <c r="AD49" s="19" t="s">
        <v>6</v>
      </c>
      <c r="AE49" s="34">
        <v>66.666659999999993</v>
      </c>
      <c r="AF49" s="19" t="s">
        <v>32</v>
      </c>
      <c r="AG49" s="15">
        <v>163.77600000000001</v>
      </c>
      <c r="AH49" s="2">
        <v>5.3732300000000004</v>
      </c>
      <c r="AI49" s="2">
        <v>64.478700000000003</v>
      </c>
      <c r="AJ49" s="2">
        <v>1.6377600000000001</v>
      </c>
      <c r="AK49" s="309">
        <v>1.0176600000000001E-3</v>
      </c>
      <c r="AL49" s="2">
        <f>AA49+AC49</f>
        <v>1637.7576800000002</v>
      </c>
      <c r="AM49" s="2">
        <v>1.79108</v>
      </c>
      <c r="AN49" s="16">
        <v>1637760</v>
      </c>
      <c r="AO49" s="15">
        <f>(Z49*Z49)/2*(AE41-SIN(AE41))</f>
        <v>57975.478981266162</v>
      </c>
      <c r="AP49" s="2">
        <v>579.755</v>
      </c>
      <c r="AQ49" s="2">
        <v>5.7975500000000002</v>
      </c>
      <c r="AR49" s="23">
        <v>5.7975499999999999E-2</v>
      </c>
      <c r="AS49" s="2">
        <v>89.862200000000001</v>
      </c>
      <c r="AT49" s="30">
        <v>0.62404300000000001</v>
      </c>
      <c r="AU49" s="31">
        <v>5.7975500000000005E-4</v>
      </c>
      <c r="AV49" s="32">
        <v>5.7975500000000001E-6</v>
      </c>
      <c r="AW49" s="44">
        <v>1.4326058043249601E-5</v>
      </c>
      <c r="AX49" s="426" t="s">
        <v>6</v>
      </c>
      <c r="AY49" s="217">
        <f t="shared" si="22"/>
        <v>6.2194764623768606E-5</v>
      </c>
      <c r="AZ49" s="73">
        <f t="shared" si="23"/>
        <v>3.6701347098455311E-5</v>
      </c>
      <c r="BA49" s="230">
        <f t="shared" si="24"/>
        <v>-5.8579497600654924E-5</v>
      </c>
      <c r="BB49" s="274" t="s">
        <v>32</v>
      </c>
      <c r="BC49" s="134">
        <f t="shared" si="25"/>
        <v>0</v>
      </c>
      <c r="BD49" s="82">
        <f t="shared" si="26"/>
        <v>-1.8610779736787E-4</v>
      </c>
      <c r="BE49" s="82">
        <f t="shared" si="27"/>
        <v>0</v>
      </c>
      <c r="BF49" s="82">
        <f t="shared" si="28"/>
        <v>0</v>
      </c>
      <c r="BG49" s="82">
        <f t="shared" si="29"/>
        <v>0</v>
      </c>
      <c r="BH49" s="82">
        <f t="shared" si="30"/>
        <v>1.4165709788195924E-4</v>
      </c>
      <c r="BI49" s="82">
        <f t="shared" si="31"/>
        <v>-5.5832235299738218E-4</v>
      </c>
      <c r="BJ49" s="420">
        <f t="shared" si="32"/>
        <v>-1.221180148495506E-4</v>
      </c>
      <c r="BK49" s="139">
        <f t="shared" si="33"/>
        <v>-8.2617905807519766E-4</v>
      </c>
      <c r="BL49" s="80">
        <f t="shared" si="34"/>
        <v>-8.6243326922500927E-4</v>
      </c>
      <c r="BM49" s="80">
        <f t="shared" si="35"/>
        <v>-8.6243326922378369E-4</v>
      </c>
      <c r="BN49" s="80">
        <f t="shared" si="36"/>
        <v>-8.6243326922665617E-4</v>
      </c>
      <c r="BO49" s="80">
        <f t="shared" si="37"/>
        <v>-7.7897046811096972E-4</v>
      </c>
      <c r="BP49" s="80">
        <f t="shared" si="38"/>
        <v>-8.0122683854041401E-4</v>
      </c>
      <c r="BQ49" s="80">
        <f t="shared" si="39"/>
        <v>-8.6243326923937278E-4</v>
      </c>
      <c r="BR49" s="80">
        <f t="shared" si="40"/>
        <v>-7.8588241913029981E-4</v>
      </c>
      <c r="BS49" s="96">
        <f t="shared" si="41"/>
        <v>-7.8588241902107208E-4</v>
      </c>
    </row>
    <row r="50" spans="1:71" x14ac:dyDescent="0.25">
      <c r="A50" s="118">
        <v>777.00001311936103</v>
      </c>
      <c r="B50" s="1">
        <v>200</v>
      </c>
      <c r="C50" s="1">
        <v>1547.5381500000001</v>
      </c>
      <c r="D50" s="119">
        <v>4681.4787856329503</v>
      </c>
      <c r="E50" s="379" t="s">
        <v>7</v>
      </c>
      <c r="F50" s="211">
        <v>383.56781319583899</v>
      </c>
      <c r="G50" s="211" t="s">
        <v>32</v>
      </c>
      <c r="H50" s="118">
        <v>446362</v>
      </c>
      <c r="I50" s="1">
        <v>14644.4</v>
      </c>
      <c r="J50" s="1">
        <v>175733</v>
      </c>
      <c r="K50" s="1">
        <v>4463.62</v>
      </c>
      <c r="L50" s="1">
        <v>2.7735699999999999</v>
      </c>
      <c r="M50" s="1">
        <v>4463624</v>
      </c>
      <c r="N50" s="1">
        <v>4881.4799999999996</v>
      </c>
      <c r="O50" s="119">
        <v>4463624202</v>
      </c>
      <c r="P50" s="120">
        <v>1585137232938</v>
      </c>
      <c r="Q50" s="1">
        <v>15851372329</v>
      </c>
      <c r="R50" s="1">
        <v>158513723</v>
      </c>
      <c r="S50" s="1">
        <v>1585137</v>
      </c>
      <c r="T50" s="1">
        <v>2456967625</v>
      </c>
      <c r="U50" s="1">
        <v>17062275</v>
      </c>
      <c r="V50" s="1">
        <v>15851.4</v>
      </c>
      <c r="W50" s="1">
        <v>158.51400000000001</v>
      </c>
      <c r="X50" s="119">
        <v>391.69600000000003</v>
      </c>
      <c r="Y50" s="143">
        <v>7</v>
      </c>
      <c r="Z50" s="15">
        <v>777</v>
      </c>
      <c r="AA50" s="2">
        <v>200</v>
      </c>
      <c r="AB50" s="2">
        <v>1547.5381500000001</v>
      </c>
      <c r="AC50" s="16">
        <v>4681.4771300000002</v>
      </c>
      <c r="AD50" s="19" t="s">
        <v>7</v>
      </c>
      <c r="AE50" s="34">
        <v>383.56772000000001</v>
      </c>
      <c r="AF50" s="19" t="s">
        <v>32</v>
      </c>
      <c r="AG50" s="15">
        <v>446363</v>
      </c>
      <c r="AH50" s="2">
        <v>14644.4</v>
      </c>
      <c r="AI50" s="2">
        <v>175733</v>
      </c>
      <c r="AJ50" s="2">
        <v>4463.63</v>
      </c>
      <c r="AK50" s="2">
        <v>2.7735699999999999</v>
      </c>
      <c r="AL50" s="2">
        <v>4463625</v>
      </c>
      <c r="AM50" s="2">
        <f>AA50+AC50</f>
        <v>4881.4771300000002</v>
      </c>
      <c r="AN50" s="16">
        <v>4463625312</v>
      </c>
      <c r="AO50" s="15">
        <v>1585137000000</v>
      </c>
      <c r="AP50" s="2">
        <v>15851370000</v>
      </c>
      <c r="AQ50" s="2">
        <v>158513700</v>
      </c>
      <c r="AR50" s="2">
        <f>(Z50*Z50)/2*(AE42-SIN(AE42))*0.9144*0.9144</f>
        <v>1585137.1031481633</v>
      </c>
      <c r="AS50" s="2">
        <v>2456967264</v>
      </c>
      <c r="AT50" s="2">
        <v>17062273</v>
      </c>
      <c r="AU50" s="2">
        <v>15851.4</v>
      </c>
      <c r="AV50" s="2">
        <v>158.51400000000001</v>
      </c>
      <c r="AW50" s="42">
        <v>391.69600000000003</v>
      </c>
      <c r="AX50" s="426" t="s">
        <v>7</v>
      </c>
      <c r="AY50" s="217">
        <f t="shared" si="22"/>
        <v>1.6884634528516467E-6</v>
      </c>
      <c r="AZ50" s="73">
        <f t="shared" si="23"/>
        <v>3.5365610130252044E-5</v>
      </c>
      <c r="BA50" s="230">
        <f t="shared" si="24"/>
        <v>2.4297101691871667E-5</v>
      </c>
      <c r="BB50" s="274" t="s">
        <v>32</v>
      </c>
      <c r="BC50" s="134">
        <f t="shared" si="25"/>
        <v>-2.240329059532264E-4</v>
      </c>
      <c r="BD50" s="82">
        <f t="shared" si="26"/>
        <v>0</v>
      </c>
      <c r="BE50" s="82">
        <f t="shared" si="27"/>
        <v>0</v>
      </c>
      <c r="BF50" s="82">
        <f t="shared" si="28"/>
        <v>-2.2403290595811656E-4</v>
      </c>
      <c r="BG50" s="82">
        <f t="shared" si="29"/>
        <v>0</v>
      </c>
      <c r="BH50" s="82">
        <f t="shared" si="30"/>
        <v>-2.2403315690722226E-5</v>
      </c>
      <c r="BI50" s="82">
        <f t="shared" si="31"/>
        <v>5.8793679104008892E-5</v>
      </c>
      <c r="BJ50" s="420">
        <f t="shared" si="32"/>
        <v>-2.4867678678492089E-5</v>
      </c>
      <c r="BK50" s="139">
        <f t="shared" si="33"/>
        <v>1.4695133606748187E-5</v>
      </c>
      <c r="BL50" s="80">
        <f t="shared" si="34"/>
        <v>1.4692736337616244E-5</v>
      </c>
      <c r="BM50" s="80">
        <f t="shared" si="35"/>
        <v>1.4509786851231156E-5</v>
      </c>
      <c r="BN50" s="80">
        <f t="shared" si="36"/>
        <v>-6.5072076788452409E-6</v>
      </c>
      <c r="BO50" s="80">
        <f t="shared" si="37"/>
        <v>1.4692910454666929E-5</v>
      </c>
      <c r="BP50" s="80">
        <f t="shared" si="38"/>
        <v>1.1721767668352277E-5</v>
      </c>
      <c r="BQ50" s="80">
        <f t="shared" si="39"/>
        <v>0</v>
      </c>
      <c r="BR50" s="80">
        <f t="shared" si="40"/>
        <v>0</v>
      </c>
      <c r="BS50" s="96">
        <f t="shared" si="41"/>
        <v>0</v>
      </c>
    </row>
    <row r="51" spans="1:71" ht="15.75" thickBot="1" x14ac:dyDescent="0.3">
      <c r="A51" s="121">
        <v>85.002289287656296</v>
      </c>
      <c r="B51" s="55">
        <v>140</v>
      </c>
      <c r="C51" s="55">
        <v>36.78</v>
      </c>
      <c r="D51" s="122">
        <v>164.49062017611701</v>
      </c>
      <c r="E51" s="380" t="s">
        <v>20</v>
      </c>
      <c r="F51" s="212">
        <v>123.19430694242401</v>
      </c>
      <c r="G51" s="212" t="s">
        <v>32</v>
      </c>
      <c r="H51" s="121">
        <v>3.04491E-2</v>
      </c>
      <c r="I51" s="329">
        <v>9.9898499999999998E-4</v>
      </c>
      <c r="J51" s="55">
        <v>1.19878E-2</v>
      </c>
      <c r="K51" s="329">
        <v>3.04491E-4</v>
      </c>
      <c r="L51" s="353">
        <v>1.8920169968391899E-7</v>
      </c>
      <c r="M51" s="351">
        <v>0.30449100000000001</v>
      </c>
      <c r="N51" s="329">
        <v>3.3299499999999999E-4</v>
      </c>
      <c r="O51" s="122">
        <v>304.49099999999999</v>
      </c>
      <c r="P51" s="352">
        <v>3.6154799999999999E-3</v>
      </c>
      <c r="Q51" s="64">
        <v>3.6154793905222101E-5</v>
      </c>
      <c r="R51" s="68">
        <v>3.61547939052221E-7</v>
      </c>
      <c r="S51" s="65">
        <v>3.6154793905222099E-9</v>
      </c>
      <c r="T51" s="333">
        <v>5.6040042633179499E-6</v>
      </c>
      <c r="U51" s="67">
        <v>3.8916696273041302E-8</v>
      </c>
      <c r="V51" s="71">
        <v>3.6154793905222099E-11</v>
      </c>
      <c r="W51" s="71">
        <v>3.6154793905222101E-13</v>
      </c>
      <c r="X51" s="377">
        <v>8.9340441398166499E-13</v>
      </c>
      <c r="Y51" s="144">
        <v>8</v>
      </c>
      <c r="Z51" s="17">
        <v>85</v>
      </c>
      <c r="AA51" s="9">
        <v>140</v>
      </c>
      <c r="AB51" s="9">
        <v>36.78</v>
      </c>
      <c r="AC51" s="10">
        <v>164.49</v>
      </c>
      <c r="AD51" s="20" t="s">
        <v>20</v>
      </c>
      <c r="AE51" s="281">
        <v>123.19929999999999</v>
      </c>
      <c r="AF51" s="20" t="s">
        <v>32</v>
      </c>
      <c r="AG51" s="17">
        <v>3.0449E-2</v>
      </c>
      <c r="AH51" s="318">
        <v>9.9898299999999995E-4</v>
      </c>
      <c r="AI51" s="9">
        <v>1.19878E-2</v>
      </c>
      <c r="AJ51" s="357">
        <v>3.0448999999999998E-4</v>
      </c>
      <c r="AK51" s="320">
        <v>1.8920131432434599E-7</v>
      </c>
      <c r="AL51" s="9">
        <v>0.30448999999999998</v>
      </c>
      <c r="AM51" s="318">
        <v>3.3299399999999998E-4</v>
      </c>
      <c r="AN51" s="10">
        <f>AA51+AC51</f>
        <v>304.49</v>
      </c>
      <c r="AO51" s="17">
        <f>(Z51*Z51)/2*(AE43-SIN(AE43))/1000/1000</f>
        <v>3.6156685616005476E-3</v>
      </c>
      <c r="AP51" s="39">
        <v>3.6156699999999999E-5</v>
      </c>
      <c r="AQ51" s="39">
        <v>3.61567E-7</v>
      </c>
      <c r="AR51" s="39">
        <v>3.6156700000000002E-9</v>
      </c>
      <c r="AS51" s="40">
        <v>5.6042997085994199E-6</v>
      </c>
      <c r="AT51" s="40">
        <v>3.8918747976384799E-8</v>
      </c>
      <c r="AU51" s="39">
        <v>3.6156700000000002E-11</v>
      </c>
      <c r="AV51" s="39">
        <v>3.6156699999999998E-13</v>
      </c>
      <c r="AW51" s="45">
        <v>8.9345151460938605E-13</v>
      </c>
      <c r="AX51" s="443" t="s">
        <v>20</v>
      </c>
      <c r="AY51" s="218">
        <f t="shared" si="22"/>
        <v>2.6932795956427337E-3</v>
      </c>
      <c r="AZ51" s="97">
        <f t="shared" si="23"/>
        <v>3.7702967778963022E-4</v>
      </c>
      <c r="BA51" s="231">
        <f t="shared" si="24"/>
        <v>-4.0528295014560442E-3</v>
      </c>
      <c r="BB51" s="275" t="s">
        <v>32</v>
      </c>
      <c r="BC51" s="135">
        <f t="shared" si="25"/>
        <v>3.2841801044174233E-4</v>
      </c>
      <c r="BD51" s="98">
        <f t="shared" si="26"/>
        <v>2.002036070715408E-4</v>
      </c>
      <c r="BE51" s="98">
        <f t="shared" si="27"/>
        <v>0</v>
      </c>
      <c r="BF51" s="98">
        <f t="shared" si="28"/>
        <v>3.2841801044886375E-4</v>
      </c>
      <c r="BG51" s="98">
        <f t="shared" si="29"/>
        <v>2.0367700635345239E-4</v>
      </c>
      <c r="BH51" s="98">
        <f t="shared" si="30"/>
        <v>3.2841801045313665E-4</v>
      </c>
      <c r="BI51" s="98">
        <f t="shared" si="31"/>
        <v>3.0030571121874428E-4</v>
      </c>
      <c r="BJ51" s="421">
        <f t="shared" si="32"/>
        <v>3.2841801043592667E-4</v>
      </c>
      <c r="BK51" s="140">
        <f t="shared" si="33"/>
        <v>-5.2151240451144623E-3</v>
      </c>
      <c r="BL51" s="100">
        <f t="shared" si="34"/>
        <v>-5.2717609126340182E-3</v>
      </c>
      <c r="BM51" s="100">
        <f t="shared" si="35"/>
        <v>-5.2717609126369464E-3</v>
      </c>
      <c r="BN51" s="100">
        <f t="shared" si="36"/>
        <v>-5.2717609126479272E-3</v>
      </c>
      <c r="BO51" s="100">
        <f t="shared" si="37"/>
        <v>-5.2717609127270063E-3</v>
      </c>
      <c r="BP51" s="100">
        <f t="shared" si="38"/>
        <v>-5.2717609126136595E-3</v>
      </c>
      <c r="BQ51" s="100">
        <f t="shared" si="39"/>
        <v>-5.2717609126493566E-3</v>
      </c>
      <c r="BR51" s="100">
        <f t="shared" si="40"/>
        <v>-5.2717609126298089E-3</v>
      </c>
      <c r="BS51" s="102">
        <f t="shared" si="41"/>
        <v>-5.2717609126950961E-3</v>
      </c>
    </row>
    <row r="52" spans="1:71" s="4" customFormat="1" x14ac:dyDescent="0.25">
      <c r="A52" s="3"/>
      <c r="B52" s="3"/>
      <c r="C52" s="3"/>
      <c r="D52" s="3"/>
      <c r="E52" s="3"/>
      <c r="F52" s="3"/>
      <c r="G52" s="3"/>
      <c r="H52" s="3"/>
      <c r="I52" s="502"/>
      <c r="J52" s="3"/>
      <c r="K52" s="502"/>
      <c r="L52" s="503"/>
      <c r="M52" s="504"/>
      <c r="N52" s="502"/>
      <c r="O52" s="3"/>
      <c r="P52" s="505"/>
      <c r="Q52" s="146"/>
      <c r="R52" s="152"/>
      <c r="S52" s="148"/>
      <c r="T52" s="150"/>
      <c r="U52" s="151"/>
      <c r="V52" s="155"/>
      <c r="W52" s="155"/>
      <c r="X52" s="506"/>
      <c r="Y52" s="157"/>
      <c r="Z52" s="3"/>
      <c r="AA52" s="3"/>
      <c r="AB52" s="3"/>
      <c r="AC52" s="3"/>
      <c r="AD52" s="3"/>
      <c r="AE52" s="3"/>
      <c r="AF52" s="3"/>
      <c r="AG52" s="3"/>
      <c r="AH52" s="502"/>
      <c r="AI52" s="3"/>
      <c r="AJ52" s="505"/>
      <c r="AK52" s="503"/>
      <c r="AL52" s="3"/>
      <c r="AM52" s="502"/>
      <c r="AN52" s="3"/>
      <c r="AO52" s="3"/>
      <c r="AP52" s="159"/>
      <c r="AQ52" s="159"/>
      <c r="AR52" s="159"/>
      <c r="AS52" s="160"/>
      <c r="AT52" s="160"/>
      <c r="AU52" s="159"/>
      <c r="AV52" s="159"/>
      <c r="AW52" s="160"/>
      <c r="AX52" s="3"/>
      <c r="AY52" s="150"/>
      <c r="AZ52" s="150"/>
      <c r="BA52" s="150"/>
      <c r="BB52" s="3"/>
      <c r="BC52" s="161"/>
      <c r="BD52" s="161"/>
      <c r="BE52" s="161"/>
      <c r="BF52" s="161"/>
      <c r="BG52" s="161"/>
      <c r="BH52" s="161"/>
      <c r="BI52" s="161"/>
      <c r="BJ52" s="161"/>
      <c r="BK52" s="146"/>
      <c r="BL52" s="146"/>
      <c r="BM52" s="146"/>
      <c r="BN52" s="146"/>
      <c r="BO52" s="146"/>
      <c r="BP52" s="146"/>
      <c r="BQ52" s="146"/>
      <c r="BR52" s="146"/>
      <c r="BS52" s="146"/>
    </row>
    <row r="53" spans="1:71" s="4" customFormat="1" x14ac:dyDescent="0.25">
      <c r="A53" s="627"/>
      <c r="B53" s="627"/>
      <c r="C53" s="627"/>
      <c r="D53" s="627"/>
      <c r="E53" s="627"/>
      <c r="F53" s="627"/>
      <c r="G53" s="627"/>
      <c r="H53" s="627"/>
      <c r="I53" s="661"/>
      <c r="J53" s="627"/>
      <c r="K53" s="661"/>
      <c r="L53" s="662"/>
      <c r="M53" s="663"/>
      <c r="N53" s="661"/>
      <c r="O53" s="627"/>
      <c r="P53" s="664"/>
      <c r="Q53" s="638"/>
      <c r="R53" s="644"/>
      <c r="S53" s="640"/>
      <c r="T53" s="642"/>
      <c r="U53" s="643"/>
      <c r="V53" s="647"/>
      <c r="W53" s="647"/>
      <c r="X53" s="665"/>
      <c r="Y53" s="649"/>
      <c r="Z53" s="627"/>
      <c r="AA53" s="627"/>
      <c r="AB53" s="3"/>
      <c r="AC53" s="3"/>
      <c r="AD53" s="3"/>
      <c r="AE53" s="3"/>
      <c r="AF53" s="3"/>
      <c r="AG53" s="3"/>
      <c r="AH53" s="502"/>
      <c r="AI53" s="3"/>
      <c r="AJ53" s="505"/>
      <c r="AK53" s="503"/>
      <c r="AL53" s="3"/>
      <c r="AM53" s="502"/>
      <c r="AN53" s="3"/>
      <c r="AO53" s="3"/>
      <c r="AP53" s="159"/>
      <c r="AQ53" s="159"/>
      <c r="AR53" s="159"/>
      <c r="AS53" s="160"/>
      <c r="AT53" s="160"/>
      <c r="AU53" s="159"/>
      <c r="AV53" s="159"/>
      <c r="AW53" s="160"/>
      <c r="AX53" s="3"/>
      <c r="AY53" s="150"/>
      <c r="AZ53" s="150"/>
      <c r="BA53" s="150"/>
      <c r="BB53" s="3"/>
      <c r="BC53" s="161"/>
      <c r="BD53" s="161"/>
      <c r="BE53" s="161"/>
      <c r="BF53" s="161"/>
      <c r="BG53" s="161"/>
      <c r="BH53" s="161"/>
      <c r="BI53" s="161"/>
      <c r="BJ53" s="161"/>
      <c r="BK53" s="146"/>
      <c r="BL53" s="146"/>
      <c r="BM53" s="146"/>
      <c r="BN53" s="146"/>
      <c r="BO53" s="146"/>
      <c r="BP53" s="146"/>
      <c r="BQ53" s="146"/>
      <c r="BR53" s="146"/>
      <c r="BS53" s="146"/>
    </row>
    <row r="54" spans="1:71" ht="18.75" x14ac:dyDescent="0.3">
      <c r="A54" s="625"/>
      <c r="B54" s="625"/>
      <c r="C54" s="633">
        <v>1</v>
      </c>
      <c r="D54" s="625"/>
      <c r="E54" s="625"/>
      <c r="F54" s="632">
        <v>2</v>
      </c>
      <c r="G54" s="625"/>
      <c r="H54" s="625"/>
      <c r="I54" s="625"/>
      <c r="J54" s="625"/>
      <c r="K54" s="632">
        <v>3</v>
      </c>
      <c r="L54" s="625"/>
      <c r="M54" s="625"/>
      <c r="N54" s="625"/>
      <c r="O54" s="625"/>
      <c r="P54" s="633">
        <v>4</v>
      </c>
      <c r="Q54" s="625"/>
      <c r="R54" s="625"/>
      <c r="S54" s="634">
        <v>5</v>
      </c>
      <c r="T54" s="625"/>
      <c r="U54" s="633">
        <v>6</v>
      </c>
      <c r="V54" s="625"/>
      <c r="W54" s="633">
        <v>7</v>
      </c>
      <c r="X54" s="625"/>
      <c r="Y54" s="633">
        <v>8</v>
      </c>
      <c r="Z54" s="625"/>
      <c r="AA54" s="625"/>
    </row>
    <row r="55" spans="1:71" x14ac:dyDescent="0.25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25"/>
      <c r="S55" s="625"/>
      <c r="T55" s="625"/>
      <c r="U55" s="625"/>
      <c r="V55" s="625"/>
      <c r="W55" s="625"/>
      <c r="X55" s="625"/>
      <c r="Y55" s="625"/>
      <c r="Z55" s="625"/>
      <c r="AA55" s="625"/>
    </row>
    <row r="56" spans="1:71" x14ac:dyDescent="0.25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25"/>
      <c r="S56" s="625"/>
      <c r="T56" s="625"/>
      <c r="U56" s="625"/>
      <c r="V56" s="625"/>
      <c r="W56" s="625"/>
      <c r="X56" s="625"/>
      <c r="Y56" s="625"/>
      <c r="Z56" s="625"/>
      <c r="AA56" s="625"/>
    </row>
    <row r="57" spans="1:71" x14ac:dyDescent="0.25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25"/>
      <c r="S57" s="625"/>
      <c r="T57" s="625"/>
      <c r="U57" s="625"/>
      <c r="V57" s="625"/>
      <c r="W57" s="625"/>
      <c r="X57" s="625"/>
      <c r="Y57" s="625"/>
      <c r="Z57" s="625"/>
      <c r="AA57" s="625"/>
    </row>
    <row r="58" spans="1:71" x14ac:dyDescent="0.25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25"/>
      <c r="S58" s="625"/>
      <c r="T58" s="625"/>
      <c r="U58" s="625"/>
      <c r="V58" s="625"/>
      <c r="W58" s="625"/>
      <c r="X58" s="625"/>
      <c r="Y58" s="625"/>
      <c r="Z58" s="625"/>
      <c r="AA58" s="625"/>
    </row>
    <row r="59" spans="1:71" x14ac:dyDescent="0.25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25"/>
      <c r="S59" s="625"/>
      <c r="T59" s="625"/>
      <c r="U59" s="625"/>
      <c r="V59" s="625"/>
      <c r="W59" s="625"/>
      <c r="X59" s="625"/>
      <c r="Y59" s="625"/>
      <c r="Z59" s="625"/>
      <c r="AA59" s="625"/>
    </row>
    <row r="60" spans="1:71" x14ac:dyDescent="0.25">
      <c r="A60" s="625"/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25"/>
      <c r="S60" s="625"/>
      <c r="T60" s="625"/>
      <c r="U60" s="625"/>
      <c r="V60" s="625"/>
      <c r="W60" s="625"/>
      <c r="X60" s="625"/>
      <c r="Y60" s="625"/>
      <c r="Z60" s="625"/>
      <c r="AA60" s="625"/>
    </row>
    <row r="61" spans="1:71" x14ac:dyDescent="0.25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25"/>
      <c r="S61" s="625"/>
      <c r="T61" s="625"/>
      <c r="U61" s="625"/>
      <c r="V61" s="625"/>
      <c r="W61" s="625"/>
      <c r="X61" s="625"/>
      <c r="Y61" s="625"/>
      <c r="Z61" s="625"/>
      <c r="AA61" s="625"/>
    </row>
    <row r="62" spans="1:71" x14ac:dyDescent="0.25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25"/>
      <c r="S62" s="625"/>
      <c r="T62" s="625"/>
      <c r="U62" s="625"/>
      <c r="V62" s="625"/>
      <c r="W62" s="625"/>
      <c r="X62" s="625"/>
      <c r="Y62" s="625"/>
      <c r="Z62" s="625"/>
      <c r="AA62" s="625"/>
    </row>
    <row r="63" spans="1:71" x14ac:dyDescent="0.25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25"/>
      <c r="S63" s="625"/>
      <c r="T63" s="625"/>
      <c r="U63" s="625"/>
      <c r="V63" s="625"/>
      <c r="W63" s="625"/>
      <c r="X63" s="625"/>
      <c r="Y63" s="625"/>
      <c r="Z63" s="625"/>
      <c r="AA63" s="625"/>
    </row>
    <row r="64" spans="1:71" x14ac:dyDescent="0.25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25"/>
      <c r="S64" s="625"/>
      <c r="T64" s="625"/>
      <c r="U64" s="625"/>
      <c r="V64" s="625"/>
      <c r="W64" s="625"/>
      <c r="X64" s="625"/>
      <c r="Y64" s="625"/>
      <c r="Z64" s="625"/>
      <c r="AA64" s="625"/>
    </row>
    <row r="65" spans="1:71" x14ac:dyDescent="0.25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25"/>
      <c r="S65" s="625"/>
      <c r="T65" s="625"/>
      <c r="U65" s="625"/>
      <c r="V65" s="625"/>
      <c r="W65" s="625"/>
      <c r="X65" s="625"/>
      <c r="Y65" s="625"/>
      <c r="Z65" s="625"/>
      <c r="AA65" s="625"/>
    </row>
    <row r="66" spans="1:71" x14ac:dyDescent="0.25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25"/>
      <c r="S66" s="625"/>
      <c r="T66" s="625"/>
      <c r="U66" s="625"/>
      <c r="V66" s="625"/>
      <c r="W66" s="625"/>
      <c r="X66" s="625"/>
      <c r="Y66" s="625"/>
      <c r="Z66" s="625"/>
      <c r="AA66" s="625"/>
    </row>
    <row r="67" spans="1:71" x14ac:dyDescent="0.25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25"/>
      <c r="S67" s="625"/>
      <c r="T67" s="625"/>
      <c r="U67" s="625"/>
      <c r="V67" s="625"/>
      <c r="W67" s="625"/>
      <c r="X67" s="625"/>
      <c r="Y67" s="625"/>
      <c r="Z67" s="625"/>
      <c r="AA67" s="625"/>
    </row>
    <row r="68" spans="1:71" x14ac:dyDescent="0.25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25"/>
      <c r="S68" s="625"/>
      <c r="T68" s="625"/>
      <c r="U68" s="625"/>
      <c r="V68" s="625"/>
      <c r="W68" s="625"/>
      <c r="X68" s="625"/>
      <c r="Y68" s="625"/>
      <c r="Z68" s="625"/>
      <c r="AA68" s="625"/>
    </row>
    <row r="69" spans="1:71" x14ac:dyDescent="0.25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25"/>
      <c r="S69" s="625"/>
      <c r="T69" s="625"/>
      <c r="U69" s="625"/>
      <c r="V69" s="625"/>
      <c r="W69" s="625"/>
      <c r="X69" s="625"/>
      <c r="Y69" s="625"/>
      <c r="Z69" s="625"/>
      <c r="AA69" s="625"/>
    </row>
    <row r="70" spans="1:71" x14ac:dyDescent="0.25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25"/>
      <c r="S70" s="625"/>
      <c r="T70" s="625"/>
      <c r="U70" s="625"/>
      <c r="V70" s="625"/>
      <c r="W70" s="625"/>
      <c r="X70" s="625"/>
      <c r="Y70" s="625"/>
      <c r="Z70" s="625"/>
      <c r="AA70" s="625"/>
    </row>
    <row r="71" spans="1:71" x14ac:dyDescent="0.25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25"/>
      <c r="S71" s="625"/>
      <c r="T71" s="625"/>
      <c r="U71" s="625"/>
      <c r="V71" s="625"/>
      <c r="W71" s="625"/>
      <c r="X71" s="625"/>
      <c r="Y71" s="625"/>
      <c r="Z71" s="625"/>
      <c r="AA71" s="625"/>
    </row>
    <row r="72" spans="1:71" x14ac:dyDescent="0.25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25"/>
      <c r="S72" s="625"/>
      <c r="T72" s="625"/>
      <c r="U72" s="625"/>
      <c r="V72" s="625"/>
      <c r="W72" s="625"/>
      <c r="X72" s="625"/>
      <c r="Y72" s="625"/>
      <c r="Z72" s="625"/>
      <c r="AA72" s="625"/>
    </row>
    <row r="73" spans="1:71" ht="15.75" thickBot="1" x14ac:dyDescent="0.3"/>
    <row r="74" spans="1:71" ht="14.25" customHeight="1" thickBot="1" x14ac:dyDescent="0.3">
      <c r="A74" s="915" t="s">
        <v>67</v>
      </c>
      <c r="B74" s="916"/>
      <c r="C74" s="916"/>
      <c r="D74" s="916"/>
      <c r="E74" s="916"/>
      <c r="F74" s="916"/>
      <c r="G74" s="931"/>
      <c r="H74" s="917" t="s">
        <v>1</v>
      </c>
      <c r="I74" s="902"/>
      <c r="J74" s="902"/>
      <c r="K74" s="902"/>
      <c r="L74" s="902"/>
      <c r="M74" s="902"/>
      <c r="N74" s="902"/>
      <c r="O74" s="903"/>
      <c r="P74" s="917" t="s">
        <v>0</v>
      </c>
      <c r="Q74" s="902"/>
      <c r="R74" s="902"/>
      <c r="S74" s="902"/>
      <c r="T74" s="902"/>
      <c r="U74" s="902"/>
      <c r="V74" s="902"/>
      <c r="W74" s="902"/>
      <c r="X74" s="903"/>
      <c r="Y74" s="918"/>
      <c r="Z74" s="919"/>
      <c r="AA74" s="919"/>
      <c r="AB74" s="919"/>
      <c r="AC74" s="919"/>
      <c r="AD74" s="919"/>
      <c r="AE74" s="919"/>
      <c r="AF74" s="932"/>
      <c r="AG74" s="888" t="s">
        <v>81</v>
      </c>
      <c r="AH74" s="889"/>
      <c r="AI74" s="889"/>
      <c r="AJ74" s="889"/>
      <c r="AK74" s="889"/>
      <c r="AL74" s="889"/>
      <c r="AM74" s="889"/>
      <c r="AN74" s="890"/>
      <c r="AO74" s="888" t="s">
        <v>83</v>
      </c>
      <c r="AP74" s="902"/>
      <c r="AQ74" s="902"/>
      <c r="AR74" s="902"/>
      <c r="AS74" s="902"/>
      <c r="AT74" s="902"/>
      <c r="AU74" s="902"/>
      <c r="AV74" s="902"/>
      <c r="AW74" s="903"/>
      <c r="AX74" s="900"/>
      <c r="AY74" s="900"/>
      <c r="AZ74" s="900"/>
      <c r="BA74" s="900"/>
      <c r="BB74" s="928"/>
      <c r="BC74" s="901" t="s">
        <v>1</v>
      </c>
      <c r="BD74" s="902"/>
      <c r="BE74" s="902"/>
      <c r="BF74" s="902"/>
      <c r="BG74" s="902"/>
      <c r="BH74" s="902"/>
      <c r="BI74" s="902"/>
      <c r="BJ74" s="903"/>
      <c r="BK74" s="901" t="s">
        <v>0</v>
      </c>
      <c r="BL74" s="902"/>
      <c r="BM74" s="902"/>
      <c r="BN74" s="902"/>
      <c r="BO74" s="902"/>
      <c r="BP74" s="902"/>
      <c r="BQ74" s="902"/>
      <c r="BR74" s="902"/>
      <c r="BS74" s="903"/>
    </row>
    <row r="75" spans="1:71" ht="15" customHeight="1" thickBot="1" x14ac:dyDescent="0.3">
      <c r="A75" s="907" t="s">
        <v>58</v>
      </c>
      <c r="B75" s="909" t="s">
        <v>63</v>
      </c>
      <c r="C75" s="909" t="s">
        <v>64</v>
      </c>
      <c r="D75" s="909" t="s">
        <v>82</v>
      </c>
      <c r="E75" s="911" t="s">
        <v>15</v>
      </c>
      <c r="F75" s="909" t="s">
        <v>16</v>
      </c>
      <c r="G75" s="929" t="s">
        <v>19</v>
      </c>
      <c r="H75" s="906"/>
      <c r="I75" s="904"/>
      <c r="J75" s="904"/>
      <c r="K75" s="904"/>
      <c r="L75" s="904"/>
      <c r="M75" s="904"/>
      <c r="N75" s="904"/>
      <c r="O75" s="905"/>
      <c r="P75" s="906"/>
      <c r="Q75" s="904"/>
      <c r="R75" s="904"/>
      <c r="S75" s="904"/>
      <c r="T75" s="904"/>
      <c r="U75" s="904"/>
      <c r="V75" s="904"/>
      <c r="W75" s="904"/>
      <c r="X75" s="905"/>
      <c r="Y75" s="912" t="s">
        <v>40</v>
      </c>
      <c r="Z75" s="914" t="s">
        <v>58</v>
      </c>
      <c r="AA75" s="914" t="s">
        <v>63</v>
      </c>
      <c r="AB75" s="914" t="s">
        <v>64</v>
      </c>
      <c r="AC75" s="914" t="s">
        <v>82</v>
      </c>
      <c r="AD75" s="912" t="s">
        <v>41</v>
      </c>
      <c r="AE75" s="914" t="s">
        <v>16</v>
      </c>
      <c r="AF75" s="912" t="s">
        <v>19</v>
      </c>
      <c r="AG75" s="891"/>
      <c r="AH75" s="892"/>
      <c r="AI75" s="892"/>
      <c r="AJ75" s="892"/>
      <c r="AK75" s="892"/>
      <c r="AL75" s="892"/>
      <c r="AM75" s="892"/>
      <c r="AN75" s="893"/>
      <c r="AO75" s="906"/>
      <c r="AP75" s="904"/>
      <c r="AQ75" s="904"/>
      <c r="AR75" s="904"/>
      <c r="AS75" s="904"/>
      <c r="AT75" s="904"/>
      <c r="AU75" s="904"/>
      <c r="AV75" s="904"/>
      <c r="AW75" s="905"/>
      <c r="AX75" s="897" t="s">
        <v>15</v>
      </c>
      <c r="AY75" s="899" t="s">
        <v>64</v>
      </c>
      <c r="AZ75" s="899" t="s">
        <v>65</v>
      </c>
      <c r="BA75" s="899" t="s">
        <v>16</v>
      </c>
      <c r="BB75" s="897" t="s">
        <v>19</v>
      </c>
      <c r="BC75" s="904"/>
      <c r="BD75" s="904"/>
      <c r="BE75" s="904"/>
      <c r="BF75" s="904"/>
      <c r="BG75" s="904"/>
      <c r="BH75" s="904"/>
      <c r="BI75" s="904"/>
      <c r="BJ75" s="905"/>
      <c r="BK75" s="906"/>
      <c r="BL75" s="904"/>
      <c r="BM75" s="904"/>
      <c r="BN75" s="904"/>
      <c r="BO75" s="904"/>
      <c r="BP75" s="904"/>
      <c r="BQ75" s="904"/>
      <c r="BR75" s="904"/>
      <c r="BS75" s="905"/>
    </row>
    <row r="76" spans="1:71" ht="15.75" thickBot="1" x14ac:dyDescent="0.3">
      <c r="A76" s="908"/>
      <c r="B76" s="910"/>
      <c r="C76" s="910"/>
      <c r="D76" s="910"/>
      <c r="E76" s="910"/>
      <c r="F76" s="910"/>
      <c r="G76" s="936"/>
      <c r="H76" s="103" t="s">
        <v>9</v>
      </c>
      <c r="I76" s="104" t="s">
        <v>5</v>
      </c>
      <c r="J76" s="104" t="s">
        <v>8</v>
      </c>
      <c r="K76" s="104" t="s">
        <v>4</v>
      </c>
      <c r="L76" s="104" t="s">
        <v>10</v>
      </c>
      <c r="M76" s="104" t="s">
        <v>6</v>
      </c>
      <c r="N76" s="104" t="s">
        <v>7</v>
      </c>
      <c r="O76" s="105" t="s">
        <v>20</v>
      </c>
      <c r="P76" s="103" t="s">
        <v>22</v>
      </c>
      <c r="Q76" s="104" t="s">
        <v>23</v>
      </c>
      <c r="R76" s="104" t="s">
        <v>24</v>
      </c>
      <c r="S76" s="104" t="s">
        <v>25</v>
      </c>
      <c r="T76" s="104" t="s">
        <v>26</v>
      </c>
      <c r="U76" s="104" t="s">
        <v>27</v>
      </c>
      <c r="V76" s="104" t="s">
        <v>28</v>
      </c>
      <c r="W76" s="104" t="s">
        <v>29</v>
      </c>
      <c r="X76" s="105" t="s">
        <v>30</v>
      </c>
      <c r="Y76" s="913"/>
      <c r="Z76" s="921"/>
      <c r="AA76" s="921"/>
      <c r="AB76" s="921"/>
      <c r="AC76" s="921"/>
      <c r="AD76" s="913"/>
      <c r="AE76" s="913"/>
      <c r="AF76" s="913"/>
      <c r="AG76" s="109" t="s">
        <v>9</v>
      </c>
      <c r="AH76" s="110" t="s">
        <v>5</v>
      </c>
      <c r="AI76" s="110" t="s">
        <v>8</v>
      </c>
      <c r="AJ76" s="110" t="s">
        <v>4</v>
      </c>
      <c r="AK76" s="110" t="s">
        <v>10</v>
      </c>
      <c r="AL76" s="110" t="s">
        <v>6</v>
      </c>
      <c r="AM76" s="110" t="s">
        <v>7</v>
      </c>
      <c r="AN76" s="111" t="s">
        <v>20</v>
      </c>
      <c r="AO76" s="106" t="s">
        <v>22</v>
      </c>
      <c r="AP76" s="107" t="s">
        <v>23</v>
      </c>
      <c r="AQ76" s="107" t="s">
        <v>24</v>
      </c>
      <c r="AR76" s="107" t="s">
        <v>25</v>
      </c>
      <c r="AS76" s="107" t="s">
        <v>26</v>
      </c>
      <c r="AT76" s="107" t="s">
        <v>27</v>
      </c>
      <c r="AU76" s="107" t="s">
        <v>28</v>
      </c>
      <c r="AV76" s="107" t="s">
        <v>29</v>
      </c>
      <c r="AW76" s="108" t="s">
        <v>30</v>
      </c>
      <c r="AX76" s="898"/>
      <c r="AY76" s="898"/>
      <c r="AZ76" s="898"/>
      <c r="BA76" s="898"/>
      <c r="BB76" s="937"/>
      <c r="BC76" s="132" t="s">
        <v>9</v>
      </c>
      <c r="BD76" s="132" t="s">
        <v>5</v>
      </c>
      <c r="BE76" s="132" t="s">
        <v>8</v>
      </c>
      <c r="BF76" s="132" t="s">
        <v>4</v>
      </c>
      <c r="BG76" s="132" t="s">
        <v>10</v>
      </c>
      <c r="BH76" s="132" t="s">
        <v>6</v>
      </c>
      <c r="BI76" s="132" t="s">
        <v>7</v>
      </c>
      <c r="BJ76" s="132" t="s">
        <v>20</v>
      </c>
      <c r="BK76" s="131" t="s">
        <v>22</v>
      </c>
      <c r="BL76" s="131" t="s">
        <v>23</v>
      </c>
      <c r="BM76" s="131" t="s">
        <v>24</v>
      </c>
      <c r="BN76" s="131" t="s">
        <v>25</v>
      </c>
      <c r="BO76" s="131" t="s">
        <v>26</v>
      </c>
      <c r="BP76" s="131" t="s">
        <v>27</v>
      </c>
      <c r="BQ76" s="131" t="s">
        <v>28</v>
      </c>
      <c r="BR76" s="131" t="s">
        <v>29</v>
      </c>
      <c r="BS76" s="132" t="s">
        <v>30</v>
      </c>
    </row>
    <row r="77" spans="1:71" x14ac:dyDescent="0.25">
      <c r="A77" s="114">
        <v>130</v>
      </c>
      <c r="B77" s="115">
        <v>100</v>
      </c>
      <c r="C77" s="115">
        <v>10</v>
      </c>
      <c r="D77" s="182">
        <v>102.645691121938</v>
      </c>
      <c r="E77" s="378" t="s">
        <v>9</v>
      </c>
      <c r="F77" s="431">
        <v>45.239729896080902</v>
      </c>
      <c r="G77" s="210" t="s">
        <v>21</v>
      </c>
      <c r="H77" s="114">
        <v>202.64599999999999</v>
      </c>
      <c r="I77" s="115">
        <v>6.6484800000000002</v>
      </c>
      <c r="J77" s="115">
        <v>79.781800000000004</v>
      </c>
      <c r="K77" s="115">
        <v>2.0264600000000002</v>
      </c>
      <c r="L77" s="311">
        <v>1.2591799999999999E-3</v>
      </c>
      <c r="M77" s="115">
        <v>2026.46</v>
      </c>
      <c r="N77" s="115">
        <v>2.2161599999999999</v>
      </c>
      <c r="O77" s="117">
        <v>2026457</v>
      </c>
      <c r="P77" s="114">
        <v>67197</v>
      </c>
      <c r="Q77" s="115">
        <v>671.97</v>
      </c>
      <c r="R77" s="115">
        <v>6.7196999999999996</v>
      </c>
      <c r="S77" s="115">
        <v>6.7197000000000007E-2</v>
      </c>
      <c r="T77" s="115">
        <v>104.15600000000001</v>
      </c>
      <c r="U77" s="115">
        <v>0.723302</v>
      </c>
      <c r="V77" s="311">
        <v>6.7197000000000003E-4</v>
      </c>
      <c r="W77" s="116">
        <v>6.7196992292597002E-6</v>
      </c>
      <c r="X77" s="125">
        <v>1.6604738413908299E-5</v>
      </c>
      <c r="Y77" s="434">
        <v>1</v>
      </c>
      <c r="Z77" s="8">
        <v>130</v>
      </c>
      <c r="AA77" s="260">
        <v>100</v>
      </c>
      <c r="AB77" s="260">
        <v>10</v>
      </c>
      <c r="AC77" s="493">
        <v>102.64569</v>
      </c>
      <c r="AD77" s="509" t="s">
        <v>9</v>
      </c>
      <c r="AE77" s="479">
        <v>45.239699999999999</v>
      </c>
      <c r="AF77" s="18" t="s">
        <v>21</v>
      </c>
      <c r="AG77" s="187">
        <f>AA77+AC77</f>
        <v>202.64569</v>
      </c>
      <c r="AH77" s="7">
        <v>6.6484899999999998</v>
      </c>
      <c r="AI77" s="7">
        <v>79.781899999999993</v>
      </c>
      <c r="AJ77" s="7">
        <v>2.0264600000000002</v>
      </c>
      <c r="AK77" s="301">
        <v>1.2591799999999999E-3</v>
      </c>
      <c r="AL77" s="7">
        <v>2026.46</v>
      </c>
      <c r="AM77" s="7">
        <v>2.2161599999999999</v>
      </c>
      <c r="AN77" s="14">
        <v>2026460</v>
      </c>
      <c r="AO77" s="8">
        <v>67197</v>
      </c>
      <c r="AP77" s="12">
        <f>(Z77*Z77)/2*(AE85-SIN(AE85))</f>
        <v>671.96992292597236</v>
      </c>
      <c r="AQ77" s="7">
        <v>6.7196999999999996</v>
      </c>
      <c r="AR77" s="7">
        <v>6.7197000000000007E-2</v>
      </c>
      <c r="AS77" s="7">
        <v>104.15600000000001</v>
      </c>
      <c r="AT77" s="7">
        <v>0.723302</v>
      </c>
      <c r="AU77" s="21">
        <v>6.7197000000000003E-4</v>
      </c>
      <c r="AV77" s="384">
        <v>6.7197000000000002E-6</v>
      </c>
      <c r="AW77" s="306">
        <v>1.6604740318449101E-5</v>
      </c>
      <c r="AX77" s="442" t="s">
        <v>9</v>
      </c>
      <c r="AY77" s="469">
        <f>(100*(C77-AB77))/AB77</f>
        <v>0</v>
      </c>
      <c r="AZ77" s="468">
        <f>(100*(D77-AC77))/AC77</f>
        <v>1.0930200756651528E-6</v>
      </c>
      <c r="BA77" s="470">
        <f>(100*(F77-AE77))/AE77</f>
        <v>6.6083729342399054E-5</v>
      </c>
      <c r="BB77" s="273" t="s">
        <v>21</v>
      </c>
      <c r="BC77" s="133">
        <f>(100*(H77-AG77))/AG77</f>
        <v>1.5297635986470345E-4</v>
      </c>
      <c r="BD77" s="91">
        <f t="shared" ref="BD77:BJ77" si="42">(100*(I77-AH77))/AH77</f>
        <v>-1.5041009311319447E-4</v>
      </c>
      <c r="BE77" s="91">
        <f t="shared" si="42"/>
        <v>-1.253417128309915E-4</v>
      </c>
      <c r="BF77" s="91">
        <f t="shared" si="42"/>
        <v>0</v>
      </c>
      <c r="BG77" s="91">
        <f t="shared" si="42"/>
        <v>0</v>
      </c>
      <c r="BH77" s="91">
        <f t="shared" si="42"/>
        <v>0</v>
      </c>
      <c r="BI77" s="423">
        <f t="shared" si="42"/>
        <v>0</v>
      </c>
      <c r="BJ77" s="471">
        <f t="shared" si="42"/>
        <v>-1.4804141211768307E-4</v>
      </c>
      <c r="BK77" s="138">
        <f>(100*(P77-AO77))/AO77</f>
        <v>0</v>
      </c>
      <c r="BL77" s="93">
        <f>(100*(Q77-AP77))/AP77</f>
        <v>1.1469862718928272E-5</v>
      </c>
      <c r="BM77" s="93">
        <f t="shared" ref="BM77:BS84" si="43">(100*(R77-AQ77))/AQ77</f>
        <v>0</v>
      </c>
      <c r="BN77" s="93">
        <f t="shared" si="43"/>
        <v>0</v>
      </c>
      <c r="BO77" s="93">
        <f t="shared" si="43"/>
        <v>0</v>
      </c>
      <c r="BP77" s="93">
        <f t="shared" si="43"/>
        <v>0</v>
      </c>
      <c r="BQ77" s="93">
        <f t="shared" si="43"/>
        <v>0</v>
      </c>
      <c r="BR77" s="93">
        <f t="shared" si="43"/>
        <v>-1.1469861750672645E-5</v>
      </c>
      <c r="BS77" s="95">
        <f t="shared" si="43"/>
        <v>-1.1469862011344434E-5</v>
      </c>
    </row>
    <row r="78" spans="1:71" x14ac:dyDescent="0.25">
      <c r="A78" s="118">
        <v>80</v>
      </c>
      <c r="B78" s="1">
        <v>105.83008</v>
      </c>
      <c r="C78" s="1">
        <v>20</v>
      </c>
      <c r="D78" s="119">
        <v>115.637516393372</v>
      </c>
      <c r="E78" s="379" t="s">
        <v>5</v>
      </c>
      <c r="F78" s="211">
        <v>82.819270533938607</v>
      </c>
      <c r="G78" s="211" t="s">
        <v>21</v>
      </c>
      <c r="H78" s="118">
        <v>6750.33</v>
      </c>
      <c r="I78" s="1">
        <v>221.46799999999999</v>
      </c>
      <c r="J78" s="1">
        <v>2657.61</v>
      </c>
      <c r="K78" s="1">
        <v>67.503299999999996</v>
      </c>
      <c r="L78" s="1">
        <v>4.1944599999999999E-2</v>
      </c>
      <c r="M78" s="1">
        <v>67503.3</v>
      </c>
      <c r="N78" s="1">
        <v>73.822500000000005</v>
      </c>
      <c r="O78" s="119">
        <v>67503323</v>
      </c>
      <c r="P78" s="118">
        <v>134765048</v>
      </c>
      <c r="Q78" s="1">
        <v>1347650</v>
      </c>
      <c r="R78" s="1">
        <v>13476.5</v>
      </c>
      <c r="S78" s="1">
        <v>134.76499999999999</v>
      </c>
      <c r="T78" s="1">
        <v>208886</v>
      </c>
      <c r="U78" s="1">
        <v>1450.6</v>
      </c>
      <c r="V78" s="1">
        <v>1.34765</v>
      </c>
      <c r="W78" s="52">
        <v>1.3476500000000001E-2</v>
      </c>
      <c r="X78" s="119">
        <v>3.3301200000000003E-2</v>
      </c>
      <c r="Y78" s="435">
        <v>2</v>
      </c>
      <c r="Z78" s="15">
        <v>80</v>
      </c>
      <c r="AA78" s="2">
        <v>105.83008</v>
      </c>
      <c r="AB78" s="2">
        <v>20</v>
      </c>
      <c r="AC78" s="16">
        <v>115.63746999999999</v>
      </c>
      <c r="AD78" s="35" t="s">
        <v>5</v>
      </c>
      <c r="AE78" s="35">
        <v>82.819299999999998</v>
      </c>
      <c r="AF78" s="19" t="s">
        <v>21</v>
      </c>
      <c r="AG78" s="15">
        <v>6750.34</v>
      </c>
      <c r="AH78" s="402">
        <f>AA78+AC78</f>
        <v>221.46754999999999</v>
      </c>
      <c r="AI78" s="2">
        <v>2657.62</v>
      </c>
      <c r="AJ78" s="2">
        <v>67.503399999999999</v>
      </c>
      <c r="AK78" s="2">
        <v>4.1944700000000001E-2</v>
      </c>
      <c r="AL78" s="2">
        <v>67503.399999999994</v>
      </c>
      <c r="AM78" s="2">
        <v>73.822699999999998</v>
      </c>
      <c r="AN78" s="16">
        <v>67503446</v>
      </c>
      <c r="AO78" s="15">
        <v>134765150</v>
      </c>
      <c r="AP78" s="2">
        <v>1347651</v>
      </c>
      <c r="AQ78" s="2">
        <v>13476.5</v>
      </c>
      <c r="AR78" s="2">
        <v>134.76499999999999</v>
      </c>
      <c r="AS78" s="2">
        <v>208886</v>
      </c>
      <c r="AT78" s="2">
        <f>(Z78*Z78)/2*(AE86-SIN(AE86))</f>
        <v>1450.5988987415788</v>
      </c>
      <c r="AU78" s="2">
        <v>1.34765</v>
      </c>
      <c r="AV78" s="342">
        <v>1.3476500000000001E-2</v>
      </c>
      <c r="AW78" s="42">
        <v>3.3301200000000003E-2</v>
      </c>
      <c r="AX78" s="426" t="s">
        <v>5</v>
      </c>
      <c r="AY78" s="217">
        <f t="shared" ref="AY78:AY100" si="44">(100*(C78-AB78))/AB78</f>
        <v>0</v>
      </c>
      <c r="AZ78" s="73">
        <f t="shared" ref="AZ78:AZ100" si="45">(100*(D78-AC78))/AC78</f>
        <v>4.0119670555521367E-5</v>
      </c>
      <c r="BA78" s="230">
        <f t="shared" ref="BA78:BA100" si="46">(100*(F78-AE78))/AE78</f>
        <v>-3.5578737554843565E-5</v>
      </c>
      <c r="BB78" s="274" t="s">
        <v>21</v>
      </c>
      <c r="BC78" s="134">
        <f t="shared" ref="BC78:BC84" si="47">(100*(H78-AG78))/AG78</f>
        <v>-1.4814068625014856E-4</v>
      </c>
      <c r="BD78" s="82">
        <f t="shared" ref="BD78:BD84" si="48">(100*(I78-AH78))/AH78</f>
        <v>2.0319003845065681E-4</v>
      </c>
      <c r="BE78" s="82">
        <f t="shared" ref="BE78:BE84" si="49">(100*(J78-AI78))/AI78</f>
        <v>-3.7627651807871446E-4</v>
      </c>
      <c r="BF78" s="82">
        <f t="shared" ref="BF78:BF84" si="50">(100*(K78-AJ78))/AJ78</f>
        <v>-1.4814068625183273E-4</v>
      </c>
      <c r="BG78" s="82">
        <f t="shared" ref="BG78:BG84" si="51">(100*(L78-AK78))/AK78</f>
        <v>-2.3840914347432587E-4</v>
      </c>
      <c r="BH78" s="82">
        <f t="shared" ref="BH78:BH84" si="52">(100*(M78-AL78))/AL78</f>
        <v>-1.4814068623398061E-4</v>
      </c>
      <c r="BI78" s="424">
        <f t="shared" ref="BI78:BI84" si="53">(100*(N78-AM78))/AM78</f>
        <v>-2.7091937844650558E-4</v>
      </c>
      <c r="BJ78" s="472">
        <f t="shared" ref="BJ78:BJ84" si="54">(100*(O78-AN78))/AN78</f>
        <v>-1.8221291991522921E-4</v>
      </c>
      <c r="BK78" s="139">
        <f t="shared" ref="BK78:BK84" si="55">(100*(P78-AO78))/AO78</f>
        <v>-7.5687223291778333E-5</v>
      </c>
      <c r="BL78" s="80">
        <f t="shared" ref="BL78:BL84" si="56">(100*(Q78-AP78))/AP78</f>
        <v>-7.4203187620533809E-5</v>
      </c>
      <c r="BM78" s="80">
        <f t="shared" ref="BM78:BM84" si="57">(100*(R78-AQ78))/AQ78</f>
        <v>0</v>
      </c>
      <c r="BN78" s="80">
        <f t="shared" ref="BN78:BN84" si="58">(100*(S78-AR78))/AR78</f>
        <v>0</v>
      </c>
      <c r="BO78" s="80">
        <f t="shared" ref="BO78:BO84" si="59">(100*(T78-AS78))/AS78</f>
        <v>0</v>
      </c>
      <c r="BP78" s="80">
        <f t="shared" si="43"/>
        <v>7.5917500152099436E-5</v>
      </c>
      <c r="BQ78" s="80">
        <f t="shared" ref="BQ78:BQ84" si="60">(100*(V78-AU78))/AU78</f>
        <v>0</v>
      </c>
      <c r="BR78" s="80">
        <f t="shared" ref="BR78:BR84" si="61">(100*(W78-AV78))/AV78</f>
        <v>0</v>
      </c>
      <c r="BS78" s="96">
        <f t="shared" ref="BS78:BS84" si="62">(100*(X78-AW78))/AW78</f>
        <v>0</v>
      </c>
    </row>
    <row r="79" spans="1:71" x14ac:dyDescent="0.25">
      <c r="A79" s="118">
        <v>70</v>
      </c>
      <c r="B79" s="1">
        <v>140</v>
      </c>
      <c r="C79" s="1">
        <v>70</v>
      </c>
      <c r="D79" s="119">
        <v>219.91148575128599</v>
      </c>
      <c r="E79" s="379" t="s">
        <v>8</v>
      </c>
      <c r="F79" s="211">
        <v>180</v>
      </c>
      <c r="G79" s="211" t="s">
        <v>21</v>
      </c>
      <c r="H79" s="118">
        <v>914.17499999999995</v>
      </c>
      <c r="I79" s="1">
        <v>29.992599999999999</v>
      </c>
      <c r="J79" s="1">
        <v>359.911</v>
      </c>
      <c r="K79" s="1">
        <v>9.14175</v>
      </c>
      <c r="L79" s="1">
        <v>5.6804200000000003E-3</v>
      </c>
      <c r="M79" s="1">
        <v>9141.75</v>
      </c>
      <c r="N79" s="1">
        <v>9.9975400000000008</v>
      </c>
      <c r="O79" s="119">
        <v>9141752</v>
      </c>
      <c r="P79" s="118">
        <v>4965733</v>
      </c>
      <c r="Q79" s="1">
        <v>49657.3</v>
      </c>
      <c r="R79" s="1">
        <v>496.57299999999998</v>
      </c>
      <c r="S79" s="1">
        <v>4.9657299999999998</v>
      </c>
      <c r="T79" s="1">
        <v>7696.9</v>
      </c>
      <c r="U79" s="1">
        <v>53.450699999999998</v>
      </c>
      <c r="V79" s="78">
        <v>4.9657300000000001E-2</v>
      </c>
      <c r="W79" s="316">
        <v>4.9657300000000004E-4</v>
      </c>
      <c r="X79" s="393">
        <v>1.2270600000000001E-3</v>
      </c>
      <c r="Y79" s="435">
        <v>3</v>
      </c>
      <c r="Z79" s="15">
        <v>70</v>
      </c>
      <c r="AA79" s="2">
        <v>140</v>
      </c>
      <c r="AB79" s="2">
        <v>70</v>
      </c>
      <c r="AC79" s="16">
        <v>219.91148999999999</v>
      </c>
      <c r="AD79" s="35" t="s">
        <v>8</v>
      </c>
      <c r="AE79" s="35">
        <v>180</v>
      </c>
      <c r="AF79" s="19" t="s">
        <v>21</v>
      </c>
      <c r="AG79" s="15">
        <v>914.17399999999998</v>
      </c>
      <c r="AH79" s="2">
        <v>29.992599999999999</v>
      </c>
      <c r="AI79" s="186">
        <f>AA79+AC79</f>
        <v>359.91148999999996</v>
      </c>
      <c r="AJ79" s="2">
        <v>9.1417400000000004</v>
      </c>
      <c r="AK79" s="2">
        <v>5.6804100000000003E-3</v>
      </c>
      <c r="AL79" s="2">
        <v>9141.74</v>
      </c>
      <c r="AM79" s="2">
        <v>9.9975299999999994</v>
      </c>
      <c r="AN79" s="16">
        <v>9141739</v>
      </c>
      <c r="AO79" s="28">
        <v>4965732</v>
      </c>
      <c r="AP79" s="340">
        <v>49657.3</v>
      </c>
      <c r="AQ79" s="2">
        <v>496.57299999999998</v>
      </c>
      <c r="AR79" s="2">
        <v>4.9657299999999998</v>
      </c>
      <c r="AS79" s="2">
        <f>(Z79*Z79)/2*(AE87-SIN(AE87))</f>
        <v>7696.9020012949777</v>
      </c>
      <c r="AT79" s="2">
        <v>53.450699999999998</v>
      </c>
      <c r="AU79" s="24">
        <v>4.9657300000000001E-2</v>
      </c>
      <c r="AV79" s="302">
        <v>4.9657300000000004E-4</v>
      </c>
      <c r="AW79" s="362">
        <v>1.2270600000000001E-3</v>
      </c>
      <c r="AX79" s="426" t="s">
        <v>8</v>
      </c>
      <c r="AY79" s="217">
        <f t="shared" si="44"/>
        <v>0</v>
      </c>
      <c r="AZ79" s="73">
        <f t="shared" si="45"/>
        <v>-1.932010915929488E-6</v>
      </c>
      <c r="BA79" s="230">
        <f t="shared" si="46"/>
        <v>0</v>
      </c>
      <c r="BB79" s="274" t="s">
        <v>21</v>
      </c>
      <c r="BC79" s="134">
        <f t="shared" si="47"/>
        <v>1.0938836588837062E-4</v>
      </c>
      <c r="BD79" s="82">
        <f t="shared" si="48"/>
        <v>0</v>
      </c>
      <c r="BE79" s="82">
        <f t="shared" si="49"/>
        <v>-1.3614458375768465E-4</v>
      </c>
      <c r="BF79" s="82">
        <f t="shared" si="50"/>
        <v>1.093883658868161E-4</v>
      </c>
      <c r="BG79" s="82">
        <f t="shared" si="51"/>
        <v>1.7604363065237564E-4</v>
      </c>
      <c r="BH79" s="82">
        <f t="shared" si="52"/>
        <v>1.0938836589334502E-4</v>
      </c>
      <c r="BI79" s="424">
        <f t="shared" si="53"/>
        <v>1.0002470611638855E-4</v>
      </c>
      <c r="BJ79" s="472">
        <f t="shared" si="54"/>
        <v>1.4220489121380517E-4</v>
      </c>
      <c r="BK79" s="139">
        <f t="shared" si="55"/>
        <v>2.0138017919613865E-5</v>
      </c>
      <c r="BL79" s="80">
        <f t="shared" si="56"/>
        <v>0</v>
      </c>
      <c r="BM79" s="80">
        <f t="shared" si="57"/>
        <v>0</v>
      </c>
      <c r="BN79" s="80">
        <f t="shared" si="58"/>
        <v>0</v>
      </c>
      <c r="BO79" s="80">
        <f t="shared" si="59"/>
        <v>-2.6001305171033735E-5</v>
      </c>
      <c r="BP79" s="80">
        <f t="shared" si="43"/>
        <v>0</v>
      </c>
      <c r="BQ79" s="80">
        <f t="shared" si="60"/>
        <v>0</v>
      </c>
      <c r="BR79" s="80">
        <f t="shared" si="61"/>
        <v>0</v>
      </c>
      <c r="BS79" s="96">
        <f t="shared" si="62"/>
        <v>0</v>
      </c>
    </row>
    <row r="80" spans="1:71" x14ac:dyDescent="0.25">
      <c r="A80" s="118">
        <v>654</v>
      </c>
      <c r="B80" s="1">
        <v>1277.6794400000001</v>
      </c>
      <c r="C80" s="1">
        <v>794</v>
      </c>
      <c r="D80" s="430">
        <v>2336.7840523018499</v>
      </c>
      <c r="E80" s="379" t="s">
        <v>4</v>
      </c>
      <c r="F80" s="432">
        <v>204.72150432778801</v>
      </c>
      <c r="G80" s="211" t="s">
        <v>21</v>
      </c>
      <c r="H80" s="118">
        <v>361446</v>
      </c>
      <c r="I80" s="1">
        <v>11858.5</v>
      </c>
      <c r="J80" s="1">
        <v>142302</v>
      </c>
      <c r="K80" s="1">
        <v>3614.46</v>
      </c>
      <c r="L80" s="1">
        <v>2.2459199999999999</v>
      </c>
      <c r="M80" s="1">
        <v>3614463</v>
      </c>
      <c r="N80" s="1">
        <v>3952.83</v>
      </c>
      <c r="O80" s="119">
        <v>3614463492</v>
      </c>
      <c r="P80" s="120">
        <v>853565517309</v>
      </c>
      <c r="Q80" s="1">
        <v>8535655173</v>
      </c>
      <c r="R80" s="1">
        <v>85356552</v>
      </c>
      <c r="S80" s="1">
        <v>853566</v>
      </c>
      <c r="T80" s="1">
        <v>1323029198</v>
      </c>
      <c r="U80" s="1">
        <v>9187703</v>
      </c>
      <c r="V80" s="1">
        <v>8535.66</v>
      </c>
      <c r="W80" s="1">
        <v>85.3566</v>
      </c>
      <c r="X80" s="119">
        <v>210.92099999999999</v>
      </c>
      <c r="Y80" s="435">
        <v>4</v>
      </c>
      <c r="Z80" s="15">
        <v>654</v>
      </c>
      <c r="AA80" s="2">
        <v>1277.6794400000001</v>
      </c>
      <c r="AB80" s="2">
        <v>794</v>
      </c>
      <c r="AC80" s="16">
        <v>2336.7852699999999</v>
      </c>
      <c r="AD80" s="35" t="s">
        <v>4</v>
      </c>
      <c r="AE80" s="480">
        <v>204.7216</v>
      </c>
      <c r="AF80" s="19" t="s">
        <v>21</v>
      </c>
      <c r="AG80" s="15">
        <v>361446</v>
      </c>
      <c r="AH80" s="2">
        <v>11858.5</v>
      </c>
      <c r="AI80" s="2">
        <v>142302</v>
      </c>
      <c r="AJ80" s="186">
        <f>AA80+AC80</f>
        <v>3614.4647100000002</v>
      </c>
      <c r="AK80" s="2">
        <v>2.2459199999999999</v>
      </c>
      <c r="AL80" s="2">
        <v>3614460</v>
      </c>
      <c r="AM80" s="2">
        <v>3952.82</v>
      </c>
      <c r="AN80" s="16">
        <v>3614460000</v>
      </c>
      <c r="AO80" s="28">
        <v>853564000000</v>
      </c>
      <c r="AP80" s="2">
        <v>8535640000</v>
      </c>
      <c r="AQ80" s="2">
        <v>85356400</v>
      </c>
      <c r="AR80" s="2">
        <v>853564</v>
      </c>
      <c r="AS80" s="2">
        <v>1323026846</v>
      </c>
      <c r="AT80" s="2">
        <v>9187686</v>
      </c>
      <c r="AU80" s="2">
        <v>8535.64</v>
      </c>
      <c r="AV80" s="2">
        <v>85.356399999999994</v>
      </c>
      <c r="AW80" s="474">
        <v>210.92</v>
      </c>
      <c r="AX80" s="426" t="s">
        <v>4</v>
      </c>
      <c r="AY80" s="217">
        <f t="shared" si="44"/>
        <v>0</v>
      </c>
      <c r="AZ80" s="73">
        <f t="shared" si="45"/>
        <v>-5.2109972002599487E-5</v>
      </c>
      <c r="BA80" s="230">
        <f t="shared" si="46"/>
        <v>-4.6732837171949852E-5</v>
      </c>
      <c r="BB80" s="274" t="s">
        <v>21</v>
      </c>
      <c r="BC80" s="134">
        <f t="shared" si="47"/>
        <v>0</v>
      </c>
      <c r="BD80" s="82">
        <f t="shared" si="48"/>
        <v>0</v>
      </c>
      <c r="BE80" s="82">
        <f t="shared" si="49"/>
        <v>0</v>
      </c>
      <c r="BF80" s="82">
        <f t="shared" si="50"/>
        <v>-1.3030975201191541E-4</v>
      </c>
      <c r="BG80" s="82">
        <f t="shared" si="51"/>
        <v>0</v>
      </c>
      <c r="BH80" s="82">
        <f t="shared" si="52"/>
        <v>8.2999950200029874E-5</v>
      </c>
      <c r="BI80" s="424">
        <f t="shared" si="53"/>
        <v>2.529839456328275E-4</v>
      </c>
      <c r="BJ80" s="472">
        <f t="shared" si="54"/>
        <v>9.6611942032834782E-5</v>
      </c>
      <c r="BK80" s="139">
        <f t="shared" si="55"/>
        <v>1.7776159725574182E-4</v>
      </c>
      <c r="BL80" s="80">
        <f t="shared" si="56"/>
        <v>1.7776054285325999E-4</v>
      </c>
      <c r="BM80" s="80">
        <f t="shared" si="57"/>
        <v>1.7807686359780871E-4</v>
      </c>
      <c r="BN80" s="80">
        <f t="shared" si="58"/>
        <v>2.3431166262869569E-4</v>
      </c>
      <c r="BO80" s="80">
        <f t="shared" si="59"/>
        <v>1.7777417042677305E-4</v>
      </c>
      <c r="BP80" s="80">
        <f t="shared" si="43"/>
        <v>1.8503026768655351E-4</v>
      </c>
      <c r="BQ80" s="80">
        <f t="shared" si="60"/>
        <v>2.3431166263381022E-4</v>
      </c>
      <c r="BR80" s="80">
        <f t="shared" si="61"/>
        <v>2.3431166263647403E-4</v>
      </c>
      <c r="BS80" s="96">
        <f t="shared" si="62"/>
        <v>4.7411340792944003E-4</v>
      </c>
    </row>
    <row r="81" spans="1:71" x14ac:dyDescent="0.25">
      <c r="A81" s="118">
        <v>110</v>
      </c>
      <c r="B81" s="1">
        <v>172.92773</v>
      </c>
      <c r="C81" s="1">
        <v>42</v>
      </c>
      <c r="D81" s="372">
        <v>198.96114353911699</v>
      </c>
      <c r="E81" s="379" t="s">
        <v>10</v>
      </c>
      <c r="F81" s="451">
        <v>103.63303465352701</v>
      </c>
      <c r="G81" s="211" t="s">
        <v>21</v>
      </c>
      <c r="H81" s="120">
        <v>59849713</v>
      </c>
      <c r="I81" s="1">
        <v>1963573</v>
      </c>
      <c r="J81" s="1">
        <v>23562879</v>
      </c>
      <c r="K81" s="1">
        <v>598497</v>
      </c>
      <c r="L81" s="1">
        <v>371.88900000000001</v>
      </c>
      <c r="M81" s="1">
        <v>598497127</v>
      </c>
      <c r="N81" s="1">
        <v>654524</v>
      </c>
      <c r="O81" s="164">
        <v>598497127297</v>
      </c>
      <c r="P81" s="120">
        <v>1.31139387110574E+16</v>
      </c>
      <c r="Q81" s="59">
        <v>131139387110574</v>
      </c>
      <c r="R81" s="59">
        <v>1311393871106</v>
      </c>
      <c r="S81" s="1">
        <v>13113938711</v>
      </c>
      <c r="T81" s="59">
        <v>20326645655430</v>
      </c>
      <c r="U81" s="59">
        <v>141157261496</v>
      </c>
      <c r="V81" s="1">
        <v>131139387</v>
      </c>
      <c r="W81" s="1">
        <v>1311394</v>
      </c>
      <c r="X81" s="119">
        <v>3240525</v>
      </c>
      <c r="Y81" s="435">
        <v>5</v>
      </c>
      <c r="Z81" s="15">
        <v>110</v>
      </c>
      <c r="AA81" s="2">
        <v>172.92773</v>
      </c>
      <c r="AB81" s="2">
        <v>42</v>
      </c>
      <c r="AC81" s="438">
        <v>198.96120999999999</v>
      </c>
      <c r="AD81" s="35" t="s">
        <v>10</v>
      </c>
      <c r="AE81" s="441">
        <v>103.6331</v>
      </c>
      <c r="AF81" s="19" t="s">
        <v>21</v>
      </c>
      <c r="AG81" s="15">
        <v>59849733</v>
      </c>
      <c r="AH81" s="2">
        <v>1963574</v>
      </c>
      <c r="AI81" s="2">
        <v>23562887</v>
      </c>
      <c r="AJ81" s="2">
        <v>598497</v>
      </c>
      <c r="AK81" s="186">
        <f>AA81+AC81</f>
        <v>371.88893999999999</v>
      </c>
      <c r="AL81" s="2">
        <v>598497331</v>
      </c>
      <c r="AM81" s="2">
        <v>654525</v>
      </c>
      <c r="AN81" s="185">
        <v>598497330816</v>
      </c>
      <c r="AO81" s="28">
        <v>1.3113938711E+16</v>
      </c>
      <c r="AP81" s="29">
        <v>131139387110000</v>
      </c>
      <c r="AQ81" s="29">
        <v>1311393871100</v>
      </c>
      <c r="AR81" s="2">
        <f>(Z81*Z81)/2*(AE89-SIN(AE89))*1609.344*1609.344</f>
        <v>13113938711.057394</v>
      </c>
      <c r="AS81" s="29">
        <v>20326645655341</v>
      </c>
      <c r="AT81" s="29">
        <v>141157261495</v>
      </c>
      <c r="AU81" s="2">
        <v>131139387</v>
      </c>
      <c r="AV81" s="2">
        <v>1311394</v>
      </c>
      <c r="AW81" s="42">
        <v>3240525</v>
      </c>
      <c r="AX81" s="426" t="s">
        <v>10</v>
      </c>
      <c r="AY81" s="217">
        <f t="shared" si="44"/>
        <v>0</v>
      </c>
      <c r="AZ81" s="73">
        <f t="shared" si="45"/>
        <v>-3.3403939896119883E-5</v>
      </c>
      <c r="BA81" s="230">
        <f t="shared" si="46"/>
        <v>-6.3055599990360616E-5</v>
      </c>
      <c r="BB81" s="274" t="s">
        <v>21</v>
      </c>
      <c r="BC81" s="134">
        <f t="shared" si="47"/>
        <v>-3.3417024600594289E-5</v>
      </c>
      <c r="BD81" s="82">
        <f t="shared" si="48"/>
        <v>-5.0927543346978523E-5</v>
      </c>
      <c r="BE81" s="82">
        <f t="shared" si="49"/>
        <v>-3.3951697005549449E-5</v>
      </c>
      <c r="BF81" s="82">
        <f t="shared" si="50"/>
        <v>0</v>
      </c>
      <c r="BG81" s="82">
        <f t="shared" si="51"/>
        <v>1.613384899778004E-5</v>
      </c>
      <c r="BH81" s="82">
        <f t="shared" si="52"/>
        <v>-3.4085365035654607E-5</v>
      </c>
      <c r="BI81" s="424">
        <f t="shared" si="53"/>
        <v>-1.5278255223253505E-4</v>
      </c>
      <c r="BJ81" s="472">
        <f t="shared" si="54"/>
        <v>-3.4004997102078836E-5</v>
      </c>
      <c r="BK81" s="139">
        <f t="shared" si="55"/>
        <v>4.3770221338500507E-10</v>
      </c>
      <c r="BL81" s="80">
        <f t="shared" si="56"/>
        <v>4.3770221338500507E-10</v>
      </c>
      <c r="BM81" s="80">
        <f t="shared" si="57"/>
        <v>4.5752844604704359E-10</v>
      </c>
      <c r="BN81" s="80">
        <f t="shared" si="58"/>
        <v>-4.3765667184007436E-10</v>
      </c>
      <c r="BO81" s="80">
        <f t="shared" si="59"/>
        <v>4.3784892750671084E-10</v>
      </c>
      <c r="BP81" s="80">
        <f t="shared" si="43"/>
        <v>7.0842972540624238E-10</v>
      </c>
      <c r="BQ81" s="80">
        <f t="shared" si="60"/>
        <v>0</v>
      </c>
      <c r="BR81" s="80">
        <f t="shared" si="61"/>
        <v>0</v>
      </c>
      <c r="BS81" s="96">
        <f t="shared" si="62"/>
        <v>0</v>
      </c>
    </row>
    <row r="82" spans="1:71" x14ac:dyDescent="0.25">
      <c r="A82" s="118">
        <v>37.249969999999998</v>
      </c>
      <c r="B82" s="1">
        <v>70</v>
      </c>
      <c r="C82" s="1">
        <v>24.5</v>
      </c>
      <c r="D82" s="119">
        <v>90.998260113258496</v>
      </c>
      <c r="E82" s="379" t="s">
        <v>6</v>
      </c>
      <c r="F82" s="211">
        <v>139.96833413619899</v>
      </c>
      <c r="G82" s="211" t="s">
        <v>21</v>
      </c>
      <c r="H82" s="118">
        <v>16.099799999999998</v>
      </c>
      <c r="I82" s="1">
        <v>0.52820999999999996</v>
      </c>
      <c r="J82" s="1">
        <v>6.3385100000000003</v>
      </c>
      <c r="K82" s="1">
        <v>0.160998</v>
      </c>
      <c r="L82" s="326">
        <v>1.0004E-4</v>
      </c>
      <c r="M82" s="1">
        <v>160.99799999999999</v>
      </c>
      <c r="N82" s="1">
        <v>0.17607</v>
      </c>
      <c r="O82" s="119">
        <v>160998</v>
      </c>
      <c r="P82" s="374">
        <v>1248.5899999999999</v>
      </c>
      <c r="Q82" s="347">
        <v>12.485900000000001</v>
      </c>
      <c r="R82" s="78">
        <v>0.124859</v>
      </c>
      <c r="S82" s="326">
        <v>1.2485899999999999E-3</v>
      </c>
      <c r="T82" s="348">
        <v>1.93533</v>
      </c>
      <c r="U82" s="78">
        <v>1.34398E-2</v>
      </c>
      <c r="V82" s="49">
        <v>1.2485942972919101E-5</v>
      </c>
      <c r="W82" s="58">
        <v>1.2485942972919101E-7</v>
      </c>
      <c r="X82" s="388">
        <v>3.0853437013004401E-7</v>
      </c>
      <c r="Y82" s="435">
        <v>6</v>
      </c>
      <c r="Z82" s="15">
        <v>37.249969999999998</v>
      </c>
      <c r="AA82" s="2">
        <v>70</v>
      </c>
      <c r="AB82" s="2">
        <v>24.5</v>
      </c>
      <c r="AC82" s="16">
        <v>90.998170000000002</v>
      </c>
      <c r="AD82" s="35" t="s">
        <v>6</v>
      </c>
      <c r="AE82" s="19">
        <v>139.96809999999999</v>
      </c>
      <c r="AF82" s="19" t="s">
        <v>21</v>
      </c>
      <c r="AG82" s="15">
        <v>16.099799999999998</v>
      </c>
      <c r="AH82" s="2">
        <v>0.52820900000000004</v>
      </c>
      <c r="AI82" s="2">
        <v>6.3384999999999998</v>
      </c>
      <c r="AJ82" s="2">
        <v>0.160998</v>
      </c>
      <c r="AK82" s="309">
        <v>1.0004E-4</v>
      </c>
      <c r="AL82" s="186">
        <f>AA82+AC82</f>
        <v>160.99817000000002</v>
      </c>
      <c r="AM82" s="2">
        <v>0.17607</v>
      </c>
      <c r="AN82" s="16">
        <v>160998</v>
      </c>
      <c r="AO82" s="15">
        <f>(Z82*Z82)/2*(AE90-SIN(AE90))</f>
        <v>1248.5942972919195</v>
      </c>
      <c r="AP82" s="2">
        <v>12.485900000000001</v>
      </c>
      <c r="AQ82" s="2">
        <v>0.124859</v>
      </c>
      <c r="AR82" s="23">
        <v>1.2485899999999999E-3</v>
      </c>
      <c r="AS82" s="2">
        <v>1.9353199999999999</v>
      </c>
      <c r="AT82" s="342">
        <v>1.3439700000000001E-2</v>
      </c>
      <c r="AU82" s="31">
        <v>1.24859E-5</v>
      </c>
      <c r="AV82" s="360">
        <v>1.2485899999999999E-7</v>
      </c>
      <c r="AW82" s="385">
        <v>3.0853330824608801E-7</v>
      </c>
      <c r="AX82" s="426" t="s">
        <v>6</v>
      </c>
      <c r="AY82" s="217">
        <f t="shared" si="44"/>
        <v>0</v>
      </c>
      <c r="AZ82" s="73">
        <f t="shared" si="45"/>
        <v>9.9027550218080542E-5</v>
      </c>
      <c r="BA82" s="230">
        <f t="shared" si="46"/>
        <v>1.6727825768707522E-4</v>
      </c>
      <c r="BB82" s="274" t="s">
        <v>21</v>
      </c>
      <c r="BC82" s="134">
        <f t="shared" si="47"/>
        <v>0</v>
      </c>
      <c r="BD82" s="82">
        <f t="shared" si="48"/>
        <v>1.8931900060728486E-4</v>
      </c>
      <c r="BE82" s="82">
        <f t="shared" si="49"/>
        <v>1.5776603298114068E-4</v>
      </c>
      <c r="BF82" s="82">
        <f t="shared" si="50"/>
        <v>0</v>
      </c>
      <c r="BG82" s="82">
        <f t="shared" si="51"/>
        <v>0</v>
      </c>
      <c r="BH82" s="82">
        <f t="shared" si="52"/>
        <v>-1.0559126232648395E-4</v>
      </c>
      <c r="BI82" s="424">
        <f t="shared" si="53"/>
        <v>0</v>
      </c>
      <c r="BJ82" s="472">
        <f t="shared" si="54"/>
        <v>0</v>
      </c>
      <c r="BK82" s="139">
        <f t="shared" si="55"/>
        <v>-3.4417039456905357E-4</v>
      </c>
      <c r="BL82" s="80">
        <f t="shared" si="56"/>
        <v>0</v>
      </c>
      <c r="BM82" s="80">
        <f t="shared" si="57"/>
        <v>0</v>
      </c>
      <c r="BN82" s="80">
        <f t="shared" si="58"/>
        <v>0</v>
      </c>
      <c r="BO82" s="80">
        <f t="shared" si="59"/>
        <v>5.1671041481850613E-4</v>
      </c>
      <c r="BP82" s="80">
        <f t="shared" si="43"/>
        <v>7.4406422761970966E-4</v>
      </c>
      <c r="BQ82" s="80">
        <f t="shared" si="60"/>
        <v>3.4417157834561055E-4</v>
      </c>
      <c r="BR82" s="80">
        <f t="shared" si="61"/>
        <v>3.4417157835493843E-4</v>
      </c>
      <c r="BS82" s="96">
        <f t="shared" si="62"/>
        <v>3.4417157811389871E-4</v>
      </c>
    </row>
    <row r="83" spans="1:71" x14ac:dyDescent="0.25">
      <c r="A83" s="118">
        <v>88</v>
      </c>
      <c r="B83" s="1">
        <v>118.34216000000001</v>
      </c>
      <c r="C83" s="1">
        <v>22.504899999999999</v>
      </c>
      <c r="D83" s="119">
        <v>129.79025121898201</v>
      </c>
      <c r="E83" s="379" t="s">
        <v>7</v>
      </c>
      <c r="F83" s="211">
        <v>84.504927463526698</v>
      </c>
      <c r="G83" s="211" t="s">
        <v>21</v>
      </c>
      <c r="H83" s="118">
        <v>22689.200000000001</v>
      </c>
      <c r="I83" s="1">
        <v>744.39700000000005</v>
      </c>
      <c r="J83" s="1">
        <v>8932.77</v>
      </c>
      <c r="K83" s="1">
        <v>226.892</v>
      </c>
      <c r="L83" s="1">
        <v>0.140984</v>
      </c>
      <c r="M83" s="1">
        <v>226892</v>
      </c>
      <c r="N83" s="1">
        <v>248.13200000000001</v>
      </c>
      <c r="O83" s="119">
        <v>226892277</v>
      </c>
      <c r="P83" s="118">
        <v>1552324852</v>
      </c>
      <c r="Q83" s="1">
        <v>15523249</v>
      </c>
      <c r="R83" s="1">
        <v>155232</v>
      </c>
      <c r="S83" s="1">
        <v>1552.32</v>
      </c>
      <c r="T83" s="1">
        <v>2406108</v>
      </c>
      <c r="U83" s="1">
        <v>16709.099999999999</v>
      </c>
      <c r="V83" s="1">
        <v>15.523199999999999</v>
      </c>
      <c r="W83" s="1">
        <v>0.15523200000000001</v>
      </c>
      <c r="X83" s="119">
        <v>0.38358799999999998</v>
      </c>
      <c r="Y83" s="435">
        <v>7</v>
      </c>
      <c r="Z83" s="15">
        <v>88</v>
      </c>
      <c r="AA83" s="2">
        <v>118.34216000000001</v>
      </c>
      <c r="AB83" s="2">
        <v>22.504899999999999</v>
      </c>
      <c r="AC83" s="16">
        <v>129.79028</v>
      </c>
      <c r="AD83" s="35" t="s">
        <v>7</v>
      </c>
      <c r="AE83" s="19">
        <v>84.504900000000006</v>
      </c>
      <c r="AF83" s="19" t="s">
        <v>21</v>
      </c>
      <c r="AG83" s="15">
        <v>22689.200000000001</v>
      </c>
      <c r="AH83" s="2">
        <v>744.39599999999996</v>
      </c>
      <c r="AI83" s="2">
        <v>8932.75</v>
      </c>
      <c r="AJ83" s="2">
        <v>226.892</v>
      </c>
      <c r="AK83" s="2">
        <v>0.140984</v>
      </c>
      <c r="AL83" s="2">
        <v>226892</v>
      </c>
      <c r="AM83" s="186">
        <f>AA83+AC83</f>
        <v>248.13244</v>
      </c>
      <c r="AN83" s="16">
        <v>226891901</v>
      </c>
      <c r="AO83" s="15">
        <v>1552320000</v>
      </c>
      <c r="AP83" s="2">
        <v>15523200</v>
      </c>
      <c r="AQ83" s="2">
        <v>155232</v>
      </c>
      <c r="AR83" s="2">
        <f>(Z83*Z83)/2*(AE91-SIN(AE91))*0.9144*0.9144</f>
        <v>1552.3248521272735</v>
      </c>
      <c r="AS83" s="2">
        <v>2406101</v>
      </c>
      <c r="AT83" s="2">
        <v>16709</v>
      </c>
      <c r="AU83" s="2">
        <v>15.523199999999999</v>
      </c>
      <c r="AV83" s="2">
        <v>0.15523200000000001</v>
      </c>
      <c r="AW83" s="42">
        <v>0.38358700000000001</v>
      </c>
      <c r="AX83" s="426" t="s">
        <v>7</v>
      </c>
      <c r="AY83" s="217">
        <f t="shared" si="44"/>
        <v>0</v>
      </c>
      <c r="AZ83" s="73">
        <f t="shared" si="45"/>
        <v>-2.2175018027869122E-5</v>
      </c>
      <c r="BA83" s="230">
        <f t="shared" si="46"/>
        <v>3.2499330443462627E-5</v>
      </c>
      <c r="BB83" s="274" t="s">
        <v>21</v>
      </c>
      <c r="BC83" s="134">
        <f t="shared" si="47"/>
        <v>0</v>
      </c>
      <c r="BD83" s="82">
        <f t="shared" si="48"/>
        <v>1.3433710015771713E-4</v>
      </c>
      <c r="BE83" s="82">
        <f t="shared" si="49"/>
        <v>2.2389521704331317E-4</v>
      </c>
      <c r="BF83" s="82">
        <f t="shared" si="50"/>
        <v>0</v>
      </c>
      <c r="BG83" s="82">
        <f t="shared" si="51"/>
        <v>0</v>
      </c>
      <c r="BH83" s="82">
        <f t="shared" si="52"/>
        <v>0</v>
      </c>
      <c r="BI83" s="424">
        <f t="shared" si="53"/>
        <v>-1.7732465775033423E-4</v>
      </c>
      <c r="BJ83" s="472">
        <f t="shared" si="54"/>
        <v>1.6571768244825981E-4</v>
      </c>
      <c r="BK83" s="139">
        <f t="shared" si="55"/>
        <v>3.1256441970727684E-4</v>
      </c>
      <c r="BL83" s="80">
        <f t="shared" si="56"/>
        <v>3.1565656565656568E-4</v>
      </c>
      <c r="BM83" s="80">
        <f t="shared" si="57"/>
        <v>0</v>
      </c>
      <c r="BN83" s="80">
        <f t="shared" si="58"/>
        <v>-3.1257164162066338E-4</v>
      </c>
      <c r="BO83" s="80">
        <f t="shared" si="59"/>
        <v>2.9092710572000097E-4</v>
      </c>
      <c r="BP83" s="80">
        <f t="shared" si="43"/>
        <v>5.9847986114396317E-4</v>
      </c>
      <c r="BQ83" s="80">
        <f t="shared" si="60"/>
        <v>0</v>
      </c>
      <c r="BR83" s="80">
        <f t="shared" si="61"/>
        <v>0</v>
      </c>
      <c r="BS83" s="96">
        <f t="shared" si="62"/>
        <v>2.6069705177006637E-4</v>
      </c>
    </row>
    <row r="84" spans="1:71" ht="15.75" thickBot="1" x14ac:dyDescent="0.3">
      <c r="A84" s="121">
        <v>123.2</v>
      </c>
      <c r="B84" s="55">
        <v>65.679079999999999</v>
      </c>
      <c r="C84" s="55">
        <v>4.4573999999999998</v>
      </c>
      <c r="D84" s="122">
        <v>66.482818208749293</v>
      </c>
      <c r="E84" s="380" t="s">
        <v>20</v>
      </c>
      <c r="F84" s="212">
        <v>30.918708551110701</v>
      </c>
      <c r="G84" s="212" t="s">
        <v>21</v>
      </c>
      <c r="H84" s="121">
        <v>1.3216200000000001E-2</v>
      </c>
      <c r="I84" s="329">
        <v>4.33602E-4</v>
      </c>
      <c r="J84" s="55">
        <v>5.2032199999999997E-3</v>
      </c>
      <c r="K84" s="329">
        <v>1.3216200000000001E-4</v>
      </c>
      <c r="L84" s="67">
        <v>8.2121596258319694E-8</v>
      </c>
      <c r="M84" s="66">
        <v>0.132162</v>
      </c>
      <c r="N84" s="329">
        <v>1.4453400000000001E-4</v>
      </c>
      <c r="O84" s="122">
        <v>132.16200000000001</v>
      </c>
      <c r="P84" s="446">
        <v>1.9588900000000001E-4</v>
      </c>
      <c r="Q84" s="333">
        <v>1.9588930039860498E-6</v>
      </c>
      <c r="R84" s="67">
        <v>1.9588930039860499E-8</v>
      </c>
      <c r="S84" s="79">
        <v>1.9588930039860499E-10</v>
      </c>
      <c r="T84" s="58">
        <v>3.0362902287588397E-7</v>
      </c>
      <c r="U84" s="447">
        <v>2.1085348810825298E-9</v>
      </c>
      <c r="V84" s="448">
        <v>1.9588930039860501E-12</v>
      </c>
      <c r="W84" s="449">
        <v>1.95889300398605E-14</v>
      </c>
      <c r="X84" s="450">
        <v>4.8405300300333501E-14</v>
      </c>
      <c r="Y84" s="436">
        <v>8</v>
      </c>
      <c r="Z84" s="494">
        <v>123.2</v>
      </c>
      <c r="AA84" s="495">
        <v>65.679079999999999</v>
      </c>
      <c r="AB84" s="495">
        <v>4.4573999999999998</v>
      </c>
      <c r="AC84" s="496">
        <v>66.482789999999994</v>
      </c>
      <c r="AD84" s="286" t="s">
        <v>20</v>
      </c>
      <c r="AE84" s="20">
        <v>30.918700000000001</v>
      </c>
      <c r="AF84" s="20" t="s">
        <v>21</v>
      </c>
      <c r="AG84" s="17">
        <v>1.3216200000000001E-2</v>
      </c>
      <c r="AH84" s="318">
        <v>4.33602E-4</v>
      </c>
      <c r="AI84" s="9">
        <v>5.2032299999999997E-3</v>
      </c>
      <c r="AJ84" s="37">
        <v>1.3216200000000001E-4</v>
      </c>
      <c r="AK84" s="206">
        <v>8.2121659508470496E-8</v>
      </c>
      <c r="AL84" s="9">
        <v>0.132162</v>
      </c>
      <c r="AM84" s="318">
        <v>1.4453400000000001E-4</v>
      </c>
      <c r="AN84" s="467">
        <f>AA84+AC84</f>
        <v>132.16186999999999</v>
      </c>
      <c r="AO84" s="17">
        <f>(Z84*Z84)/2*(AE92-SIN(AE92))/1000/1000</f>
        <v>1.958893003986062E-4</v>
      </c>
      <c r="AP84" s="416">
        <v>1.9588900000000001E-6</v>
      </c>
      <c r="AQ84" s="400">
        <v>1.9588899999999999E-8</v>
      </c>
      <c r="AR84" s="417">
        <v>1.95889E-10</v>
      </c>
      <c r="AS84" s="416">
        <v>3.0362855725711498E-7</v>
      </c>
      <c r="AT84" s="38">
        <v>2.1085316476188498E-9</v>
      </c>
      <c r="AU84" s="418">
        <v>1.9588899999999999E-12</v>
      </c>
      <c r="AV84" s="36">
        <v>1.9588900000000001E-14</v>
      </c>
      <c r="AW84" s="475">
        <v>4.8405226070221602E-14</v>
      </c>
      <c r="AX84" s="443" t="s">
        <v>20</v>
      </c>
      <c r="AY84" s="484">
        <f t="shared" si="44"/>
        <v>0</v>
      </c>
      <c r="AZ84" s="485">
        <f t="shared" si="45"/>
        <v>4.2430152674243641E-5</v>
      </c>
      <c r="BA84" s="486">
        <f t="shared" si="46"/>
        <v>2.7656760146863898E-5</v>
      </c>
      <c r="BB84" s="275" t="s">
        <v>21</v>
      </c>
      <c r="BC84" s="135">
        <f t="shared" si="47"/>
        <v>0</v>
      </c>
      <c r="BD84" s="98">
        <f t="shared" si="48"/>
        <v>0</v>
      </c>
      <c r="BE84" s="98">
        <f t="shared" si="49"/>
        <v>-1.9218831379624987E-4</v>
      </c>
      <c r="BF84" s="98">
        <f t="shared" si="50"/>
        <v>0</v>
      </c>
      <c r="BG84" s="98">
        <f t="shared" si="51"/>
        <v>-7.7020059240590804E-5</v>
      </c>
      <c r="BH84" s="98">
        <f t="shared" si="52"/>
        <v>0</v>
      </c>
      <c r="BI84" s="425">
        <f t="shared" si="53"/>
        <v>0</v>
      </c>
      <c r="BJ84" s="473">
        <f t="shared" si="54"/>
        <v>9.8364225636972359E-5</v>
      </c>
      <c r="BK84" s="487">
        <f t="shared" si="55"/>
        <v>-1.533512068191024E-4</v>
      </c>
      <c r="BL84" s="488">
        <f t="shared" si="56"/>
        <v>1.5335144136099718E-4</v>
      </c>
      <c r="BM84" s="488">
        <f t="shared" si="57"/>
        <v>1.5335144137721237E-4</v>
      </c>
      <c r="BN84" s="488">
        <f t="shared" si="58"/>
        <v>1.5335144137298967E-4</v>
      </c>
      <c r="BO84" s="488">
        <f t="shared" si="59"/>
        <v>1.5335144138018059E-4</v>
      </c>
      <c r="BP84" s="488">
        <f t="shared" si="43"/>
        <v>1.53351441683125E-4</v>
      </c>
      <c r="BQ84" s="488">
        <f t="shared" si="60"/>
        <v>1.5335144138783511E-4</v>
      </c>
      <c r="BR84" s="488">
        <f t="shared" si="61"/>
        <v>1.5335144137108243E-4</v>
      </c>
      <c r="BS84" s="489">
        <f t="shared" si="62"/>
        <v>1.53351441415625E-4</v>
      </c>
    </row>
    <row r="85" spans="1:71" x14ac:dyDescent="0.25">
      <c r="A85" s="114">
        <v>130</v>
      </c>
      <c r="B85" s="115">
        <v>100</v>
      </c>
      <c r="C85" s="115">
        <v>10</v>
      </c>
      <c r="D85" s="182">
        <v>102.645691121938</v>
      </c>
      <c r="E85" s="378" t="s">
        <v>9</v>
      </c>
      <c r="F85" s="481">
        <v>0.78958223939952399</v>
      </c>
      <c r="G85" s="245" t="s">
        <v>31</v>
      </c>
      <c r="H85" s="114">
        <v>202.64599999999999</v>
      </c>
      <c r="I85" s="115">
        <v>6.6484800000000002</v>
      </c>
      <c r="J85" s="115">
        <v>79.781800000000004</v>
      </c>
      <c r="K85" s="115">
        <v>2.0264600000000002</v>
      </c>
      <c r="L85" s="311">
        <v>1.2591799999999999E-3</v>
      </c>
      <c r="M85" s="115">
        <v>2026.46</v>
      </c>
      <c r="N85" s="115">
        <v>2.2161599999999999</v>
      </c>
      <c r="O85" s="117">
        <v>2026457</v>
      </c>
      <c r="P85" s="114">
        <v>67197</v>
      </c>
      <c r="Q85" s="115">
        <v>671.97</v>
      </c>
      <c r="R85" s="115">
        <v>6.7196999999999996</v>
      </c>
      <c r="S85" s="115">
        <v>6.7197000000000007E-2</v>
      </c>
      <c r="T85" s="115">
        <v>104.15600000000001</v>
      </c>
      <c r="U85" s="115">
        <v>0.723302</v>
      </c>
      <c r="V85" s="311">
        <v>6.7197000000000003E-4</v>
      </c>
      <c r="W85" s="116">
        <v>6.7196992292597002E-6</v>
      </c>
      <c r="X85" s="125">
        <v>1.6604738413908299E-5</v>
      </c>
      <c r="Y85" s="434">
        <v>1</v>
      </c>
      <c r="Z85" s="8">
        <v>130</v>
      </c>
      <c r="AA85" s="260">
        <v>100</v>
      </c>
      <c r="AB85" s="260">
        <v>10</v>
      </c>
      <c r="AC85" s="493">
        <v>102.64569</v>
      </c>
      <c r="AD85" s="285" t="s">
        <v>9</v>
      </c>
      <c r="AE85" s="410">
        <v>0.78958223939952399</v>
      </c>
      <c r="AF85" s="18" t="s">
        <v>31</v>
      </c>
      <c r="AG85" s="187">
        <f>AA85+AC85</f>
        <v>202.64569</v>
      </c>
      <c r="AH85" s="7">
        <v>6.6484899999999998</v>
      </c>
      <c r="AI85" s="7">
        <v>79.781899999999993</v>
      </c>
      <c r="AJ85" s="7">
        <v>2.0264600000000002</v>
      </c>
      <c r="AK85" s="301">
        <v>1.2591799999999999E-3</v>
      </c>
      <c r="AL85" s="7">
        <v>2026.46</v>
      </c>
      <c r="AM85" s="7">
        <v>2.2161599999999999</v>
      </c>
      <c r="AN85" s="14">
        <v>2026460</v>
      </c>
      <c r="AO85" s="8">
        <v>67197</v>
      </c>
      <c r="AP85" s="12">
        <f>(Z85*Z85)/2*(AE85-SIN(AE85))</f>
        <v>671.96992292597236</v>
      </c>
      <c r="AQ85" s="7">
        <v>6.7196999999999996</v>
      </c>
      <c r="AR85" s="7">
        <v>6.7197000000000007E-2</v>
      </c>
      <c r="AS85" s="7">
        <v>104.15600000000001</v>
      </c>
      <c r="AT85" s="7">
        <v>0.723302</v>
      </c>
      <c r="AU85" s="21">
        <v>6.7197000000000003E-4</v>
      </c>
      <c r="AV85" s="384">
        <v>6.7197000000000002E-6</v>
      </c>
      <c r="AW85" s="306">
        <v>1.6604740318449101E-5</v>
      </c>
      <c r="AX85" s="442" t="s">
        <v>9</v>
      </c>
      <c r="AY85" s="216">
        <f t="shared" si="44"/>
        <v>0</v>
      </c>
      <c r="AZ85" s="90">
        <f t="shared" si="45"/>
        <v>1.0930200756651528E-6</v>
      </c>
      <c r="BA85" s="229">
        <f t="shared" si="46"/>
        <v>0</v>
      </c>
      <c r="BB85" s="237" t="s">
        <v>31</v>
      </c>
      <c r="BC85" s="133">
        <f t="shared" ref="BC85:BC100" si="63">(100*(H85-AG85))/AG85</f>
        <v>1.5297635986470345E-4</v>
      </c>
      <c r="BD85" s="91">
        <f t="shared" ref="BD85:BD100" si="64">(100*(I85-AH85))/AH85</f>
        <v>-1.5041009311319447E-4</v>
      </c>
      <c r="BE85" s="91">
        <f t="shared" ref="BE85:BE100" si="65">(100*(J85-AI85))/AI85</f>
        <v>-1.253417128309915E-4</v>
      </c>
      <c r="BF85" s="91">
        <f t="shared" ref="BF85:BF100" si="66">(100*(K85-AJ85))/AJ85</f>
        <v>0</v>
      </c>
      <c r="BG85" s="91">
        <f t="shared" ref="BG85:BG100" si="67">(100*(L85-AK85))/AK85</f>
        <v>0</v>
      </c>
      <c r="BH85" s="91">
        <f t="shared" ref="BH85:BH100" si="68">(100*(M85-AL85))/AL85</f>
        <v>0</v>
      </c>
      <c r="BI85" s="91">
        <f t="shared" ref="BI85:BI100" si="69">(100*(N85-AM85))/AM85</f>
        <v>0</v>
      </c>
      <c r="BJ85" s="419">
        <f t="shared" ref="BJ85:BJ100" si="70">(100*(O85-AN85))/AN85</f>
        <v>-1.4804141211768307E-4</v>
      </c>
      <c r="BK85" s="138">
        <f t="shared" ref="BK85:BK100" si="71">(100*(P85-AO85))/AO85</f>
        <v>0</v>
      </c>
      <c r="BL85" s="93">
        <f t="shared" ref="BL85:BL100" si="72">(100*(Q85-AP85))/AP85</f>
        <v>1.1469862718928272E-5</v>
      </c>
      <c r="BM85" s="93">
        <f t="shared" ref="BM85:BM100" si="73">(100*(R85-AQ85))/AQ85</f>
        <v>0</v>
      </c>
      <c r="BN85" s="93">
        <f t="shared" ref="BN85:BN100" si="74">(100*(S85-AR85))/AR85</f>
        <v>0</v>
      </c>
      <c r="BO85" s="93">
        <f t="shared" ref="BO85:BO98" si="75">(100*(T85-AS85))/AS85</f>
        <v>0</v>
      </c>
      <c r="BP85" s="93">
        <f t="shared" ref="BP85:BP98" si="76">(100*(U85-AT85))/AT85</f>
        <v>0</v>
      </c>
      <c r="BQ85" s="93">
        <f t="shared" ref="BQ85:BQ98" si="77">(100*(V85-AU85))/AU85</f>
        <v>0</v>
      </c>
      <c r="BR85" s="93">
        <f t="shared" ref="BR85:BR98" si="78">(100*(W85-AV85))/AV85</f>
        <v>-1.1469861750672645E-5</v>
      </c>
      <c r="BS85" s="95">
        <f t="shared" ref="BS85:BS98" si="79">(100*(X85-AW85))/AW85</f>
        <v>-1.1469862011344434E-5</v>
      </c>
    </row>
    <row r="86" spans="1:71" x14ac:dyDescent="0.25">
      <c r="A86" s="118">
        <v>80</v>
      </c>
      <c r="B86" s="1">
        <v>105.83008</v>
      </c>
      <c r="C86" s="1">
        <v>20</v>
      </c>
      <c r="D86" s="119">
        <v>115.637516393372</v>
      </c>
      <c r="E86" s="379" t="s">
        <v>5</v>
      </c>
      <c r="F86" s="481">
        <v>1.44546895491715</v>
      </c>
      <c r="G86" s="211" t="s">
        <v>31</v>
      </c>
      <c r="H86" s="118">
        <v>6750.33</v>
      </c>
      <c r="I86" s="1">
        <v>221.46799999999999</v>
      </c>
      <c r="J86" s="1">
        <v>2657.61</v>
      </c>
      <c r="K86" s="1">
        <v>67.503299999999996</v>
      </c>
      <c r="L86" s="1">
        <v>4.1944599999999999E-2</v>
      </c>
      <c r="M86" s="1">
        <v>67503.3</v>
      </c>
      <c r="N86" s="1">
        <v>73.822500000000005</v>
      </c>
      <c r="O86" s="119">
        <v>67503323</v>
      </c>
      <c r="P86" s="118">
        <v>134765048</v>
      </c>
      <c r="Q86" s="1">
        <v>1347650</v>
      </c>
      <c r="R86" s="1">
        <v>13476.5</v>
      </c>
      <c r="S86" s="1">
        <v>134.76499999999999</v>
      </c>
      <c r="T86" s="1">
        <v>208886</v>
      </c>
      <c r="U86" s="1">
        <v>1450.6</v>
      </c>
      <c r="V86" s="1">
        <v>1.34765</v>
      </c>
      <c r="W86" s="52">
        <v>1.3476500000000001E-2</v>
      </c>
      <c r="X86" s="119">
        <v>3.3301200000000003E-2</v>
      </c>
      <c r="Y86" s="435">
        <v>2</v>
      </c>
      <c r="Z86" s="15">
        <v>80</v>
      </c>
      <c r="AA86" s="2">
        <v>105.83008</v>
      </c>
      <c r="AB86" s="2">
        <v>20</v>
      </c>
      <c r="AC86" s="16">
        <v>115.63746999999999</v>
      </c>
      <c r="AD86" s="35" t="s">
        <v>5</v>
      </c>
      <c r="AE86" s="410">
        <v>1.44546895491715</v>
      </c>
      <c r="AF86" s="19" t="s">
        <v>31</v>
      </c>
      <c r="AG86" s="15">
        <v>6750.34</v>
      </c>
      <c r="AH86" s="402">
        <f>AA86+AC86</f>
        <v>221.46754999999999</v>
      </c>
      <c r="AI86" s="2">
        <v>2657.62</v>
      </c>
      <c r="AJ86" s="2">
        <v>67.503399999999999</v>
      </c>
      <c r="AK86" s="2">
        <v>4.1944700000000001E-2</v>
      </c>
      <c r="AL86" s="2">
        <v>67503.399999999994</v>
      </c>
      <c r="AM86" s="2">
        <v>73.822699999999998</v>
      </c>
      <c r="AN86" s="16">
        <v>67503446</v>
      </c>
      <c r="AO86" s="15">
        <v>134765150</v>
      </c>
      <c r="AP86" s="2">
        <v>1347651</v>
      </c>
      <c r="AQ86" s="2">
        <v>13476.5</v>
      </c>
      <c r="AR86" s="2">
        <v>134.76499999999999</v>
      </c>
      <c r="AS86" s="2">
        <v>208886</v>
      </c>
      <c r="AT86" s="2">
        <f>(Z86*Z86)/2*(AE86-SIN(AE86))</f>
        <v>1450.5988987415788</v>
      </c>
      <c r="AU86" s="2">
        <v>1.34765</v>
      </c>
      <c r="AV86" s="342">
        <v>1.3476500000000001E-2</v>
      </c>
      <c r="AW86" s="42">
        <v>3.3301200000000003E-2</v>
      </c>
      <c r="AX86" s="426" t="s">
        <v>5</v>
      </c>
      <c r="AY86" s="217">
        <f t="shared" si="44"/>
        <v>0</v>
      </c>
      <c r="AZ86" s="73">
        <f t="shared" si="45"/>
        <v>4.0119670555521367E-5</v>
      </c>
      <c r="BA86" s="230">
        <f t="shared" si="46"/>
        <v>0</v>
      </c>
      <c r="BB86" s="238" t="s">
        <v>31</v>
      </c>
      <c r="BC86" s="134">
        <f t="shared" si="63"/>
        <v>-1.4814068625014856E-4</v>
      </c>
      <c r="BD86" s="82">
        <f t="shared" si="64"/>
        <v>2.0319003845065681E-4</v>
      </c>
      <c r="BE86" s="82">
        <f t="shared" si="65"/>
        <v>-3.7627651807871446E-4</v>
      </c>
      <c r="BF86" s="82">
        <f t="shared" si="66"/>
        <v>-1.4814068625183273E-4</v>
      </c>
      <c r="BG86" s="82">
        <f t="shared" si="67"/>
        <v>-2.3840914347432587E-4</v>
      </c>
      <c r="BH86" s="82">
        <f t="shared" si="68"/>
        <v>-1.4814068623398061E-4</v>
      </c>
      <c r="BI86" s="82">
        <f t="shared" si="69"/>
        <v>-2.7091937844650558E-4</v>
      </c>
      <c r="BJ86" s="420">
        <f t="shared" si="70"/>
        <v>-1.8221291991522921E-4</v>
      </c>
      <c r="BK86" s="139">
        <f t="shared" si="71"/>
        <v>-7.5687223291778333E-5</v>
      </c>
      <c r="BL86" s="80">
        <f t="shared" si="72"/>
        <v>-7.4203187620533809E-5</v>
      </c>
      <c r="BM86" s="80">
        <f t="shared" si="73"/>
        <v>0</v>
      </c>
      <c r="BN86" s="80">
        <f t="shared" si="74"/>
        <v>0</v>
      </c>
      <c r="BO86" s="80">
        <f t="shared" si="75"/>
        <v>0</v>
      </c>
      <c r="BP86" s="80">
        <f t="shared" si="76"/>
        <v>7.5917500152099436E-5</v>
      </c>
      <c r="BQ86" s="80">
        <f t="shared" si="77"/>
        <v>0</v>
      </c>
      <c r="BR86" s="80">
        <f t="shared" si="78"/>
        <v>0</v>
      </c>
      <c r="BS86" s="96">
        <f t="shared" si="79"/>
        <v>0</v>
      </c>
    </row>
    <row r="87" spans="1:71" x14ac:dyDescent="0.25">
      <c r="A87" s="118">
        <v>70</v>
      </c>
      <c r="B87" s="1">
        <v>140</v>
      </c>
      <c r="C87" s="1">
        <v>70</v>
      </c>
      <c r="D87" s="119">
        <v>219.91148575128599</v>
      </c>
      <c r="E87" s="379" t="s">
        <v>8</v>
      </c>
      <c r="F87" s="482">
        <v>3.14159265358979</v>
      </c>
      <c r="G87" s="211" t="s">
        <v>31</v>
      </c>
      <c r="H87" s="118">
        <v>914.17499999999995</v>
      </c>
      <c r="I87" s="1">
        <v>29.992599999999999</v>
      </c>
      <c r="J87" s="1">
        <v>359.911</v>
      </c>
      <c r="K87" s="1">
        <v>9.14175</v>
      </c>
      <c r="L87" s="1">
        <v>5.6804200000000003E-3</v>
      </c>
      <c r="M87" s="1">
        <v>9141.75</v>
      </c>
      <c r="N87" s="1">
        <v>9.9975400000000008</v>
      </c>
      <c r="O87" s="119">
        <v>9141752</v>
      </c>
      <c r="P87" s="118">
        <v>4965733</v>
      </c>
      <c r="Q87" s="1">
        <v>49657.3</v>
      </c>
      <c r="R87" s="1">
        <v>496.57299999999998</v>
      </c>
      <c r="S87" s="1">
        <v>4.9657299999999998</v>
      </c>
      <c r="T87" s="1">
        <v>7696.9</v>
      </c>
      <c r="U87" s="1">
        <v>53.450699999999998</v>
      </c>
      <c r="V87" s="78">
        <v>4.9657300000000001E-2</v>
      </c>
      <c r="W87" s="316">
        <v>4.9657300000000004E-4</v>
      </c>
      <c r="X87" s="393">
        <v>1.2270600000000001E-3</v>
      </c>
      <c r="Y87" s="435">
        <v>3</v>
      </c>
      <c r="Z87" s="15">
        <v>70</v>
      </c>
      <c r="AA87" s="2">
        <v>140</v>
      </c>
      <c r="AB87" s="2">
        <v>70</v>
      </c>
      <c r="AC87" s="16">
        <v>219.91148999999999</v>
      </c>
      <c r="AD87" s="35" t="s">
        <v>8</v>
      </c>
      <c r="AE87" s="476">
        <v>3.14159265358979</v>
      </c>
      <c r="AF87" s="19" t="s">
        <v>31</v>
      </c>
      <c r="AG87" s="15">
        <v>914.17399999999998</v>
      </c>
      <c r="AH87" s="2">
        <v>29.992599999999999</v>
      </c>
      <c r="AI87" s="186">
        <f>AA87+AC87</f>
        <v>359.91148999999996</v>
      </c>
      <c r="AJ87" s="2">
        <v>9.1417400000000004</v>
      </c>
      <c r="AK87" s="2">
        <v>5.6804100000000003E-3</v>
      </c>
      <c r="AL87" s="2">
        <v>9141.74</v>
      </c>
      <c r="AM87" s="2">
        <v>9.9975299999999994</v>
      </c>
      <c r="AN87" s="16">
        <v>9141739</v>
      </c>
      <c r="AO87" s="28">
        <v>4965732</v>
      </c>
      <c r="AP87" s="340">
        <v>49657.3</v>
      </c>
      <c r="AQ87" s="2">
        <v>496.57299999999998</v>
      </c>
      <c r="AR87" s="2">
        <v>4.9657299999999998</v>
      </c>
      <c r="AS87" s="2">
        <f>(Z87*Z87)/2*(AE87-SIN(AE87))</f>
        <v>7696.9020012949777</v>
      </c>
      <c r="AT87" s="2">
        <v>53.450699999999998</v>
      </c>
      <c r="AU87" s="24">
        <v>4.9657300000000001E-2</v>
      </c>
      <c r="AV87" s="302">
        <v>4.9657300000000004E-4</v>
      </c>
      <c r="AW87" s="362">
        <v>1.2270600000000001E-3</v>
      </c>
      <c r="AX87" s="426" t="s">
        <v>8</v>
      </c>
      <c r="AY87" s="217">
        <f t="shared" si="44"/>
        <v>0</v>
      </c>
      <c r="AZ87" s="73">
        <f t="shared" si="45"/>
        <v>-1.932010915929488E-6</v>
      </c>
      <c r="BA87" s="230">
        <f t="shared" si="46"/>
        <v>0</v>
      </c>
      <c r="BB87" s="238" t="s">
        <v>31</v>
      </c>
      <c r="BC87" s="134">
        <f t="shared" si="63"/>
        <v>1.0938836588837062E-4</v>
      </c>
      <c r="BD87" s="82">
        <f t="shared" si="64"/>
        <v>0</v>
      </c>
      <c r="BE87" s="82">
        <f t="shared" si="65"/>
        <v>-1.3614458375768465E-4</v>
      </c>
      <c r="BF87" s="82">
        <f t="shared" si="66"/>
        <v>1.093883658868161E-4</v>
      </c>
      <c r="BG87" s="82">
        <f t="shared" si="67"/>
        <v>1.7604363065237564E-4</v>
      </c>
      <c r="BH87" s="82">
        <f t="shared" si="68"/>
        <v>1.0938836589334502E-4</v>
      </c>
      <c r="BI87" s="82">
        <f t="shared" si="69"/>
        <v>1.0002470611638855E-4</v>
      </c>
      <c r="BJ87" s="420">
        <f t="shared" si="70"/>
        <v>1.4220489121380517E-4</v>
      </c>
      <c r="BK87" s="139">
        <f t="shared" si="71"/>
        <v>2.0138017919613865E-5</v>
      </c>
      <c r="BL87" s="80">
        <f t="shared" si="72"/>
        <v>0</v>
      </c>
      <c r="BM87" s="80">
        <f t="shared" si="73"/>
        <v>0</v>
      </c>
      <c r="BN87" s="80">
        <f t="shared" si="74"/>
        <v>0</v>
      </c>
      <c r="BO87" s="80">
        <f t="shared" si="75"/>
        <v>-2.6001305171033735E-5</v>
      </c>
      <c r="BP87" s="80">
        <f t="shared" si="76"/>
        <v>0</v>
      </c>
      <c r="BQ87" s="80">
        <f t="shared" si="77"/>
        <v>0</v>
      </c>
      <c r="BR87" s="80">
        <f t="shared" si="78"/>
        <v>0</v>
      </c>
      <c r="BS87" s="96">
        <f t="shared" si="79"/>
        <v>0</v>
      </c>
    </row>
    <row r="88" spans="1:71" x14ac:dyDescent="0.25">
      <c r="A88" s="118">
        <v>654</v>
      </c>
      <c r="B88" s="1">
        <v>1277.6794400000001</v>
      </c>
      <c r="C88" s="1">
        <v>794</v>
      </c>
      <c r="D88" s="430">
        <v>2336.7840523018499</v>
      </c>
      <c r="E88" s="379" t="s">
        <v>4</v>
      </c>
      <c r="F88" s="508">
        <v>3.5730643001557301</v>
      </c>
      <c r="G88" s="211" t="s">
        <v>31</v>
      </c>
      <c r="H88" s="118">
        <v>361446</v>
      </c>
      <c r="I88" s="1">
        <v>11858.5</v>
      </c>
      <c r="J88" s="1">
        <v>142302</v>
      </c>
      <c r="K88" s="1">
        <v>3614.46</v>
      </c>
      <c r="L88" s="1">
        <v>2.2459199999999999</v>
      </c>
      <c r="M88" s="1">
        <v>3614463</v>
      </c>
      <c r="N88" s="1">
        <v>3952.83</v>
      </c>
      <c r="O88" s="119">
        <v>3614463492</v>
      </c>
      <c r="P88" s="120">
        <v>853565517309</v>
      </c>
      <c r="Q88" s="1">
        <v>8535655173</v>
      </c>
      <c r="R88" s="1">
        <v>85356552</v>
      </c>
      <c r="S88" s="1">
        <v>853566</v>
      </c>
      <c r="T88" s="1">
        <v>1323029198</v>
      </c>
      <c r="U88" s="1">
        <v>9187703</v>
      </c>
      <c r="V88" s="1">
        <v>8535.66</v>
      </c>
      <c r="W88" s="1">
        <v>85.3566</v>
      </c>
      <c r="X88" s="119">
        <v>210.92099999999999</v>
      </c>
      <c r="Y88" s="435">
        <v>4</v>
      </c>
      <c r="Z88" s="15">
        <v>654</v>
      </c>
      <c r="AA88" s="2">
        <v>1277.6794400000001</v>
      </c>
      <c r="AB88" s="2">
        <v>794</v>
      </c>
      <c r="AC88" s="16">
        <v>2336.7852699999999</v>
      </c>
      <c r="AD88" s="35" t="s">
        <v>4</v>
      </c>
      <c r="AE88" s="476">
        <v>3.5730599999999999</v>
      </c>
      <c r="AF88" s="19" t="s">
        <v>31</v>
      </c>
      <c r="AG88" s="15">
        <v>361446</v>
      </c>
      <c r="AH88" s="2">
        <v>11858.5</v>
      </c>
      <c r="AI88" s="2">
        <v>142302</v>
      </c>
      <c r="AJ88" s="186">
        <f>AA88+AC88</f>
        <v>3614.4647100000002</v>
      </c>
      <c r="AK88" s="2">
        <v>2.2459199999999999</v>
      </c>
      <c r="AL88" s="2">
        <v>3614460</v>
      </c>
      <c r="AM88" s="2">
        <v>3952.82</v>
      </c>
      <c r="AN88" s="16">
        <v>3614460000</v>
      </c>
      <c r="AO88" s="28">
        <v>853564000000</v>
      </c>
      <c r="AP88" s="2">
        <v>8535640000</v>
      </c>
      <c r="AQ88" s="2">
        <v>85356400</v>
      </c>
      <c r="AR88" s="2">
        <v>853564</v>
      </c>
      <c r="AS88" s="2">
        <v>1323026846</v>
      </c>
      <c r="AT88" s="2">
        <v>9187686</v>
      </c>
      <c r="AU88" s="2">
        <v>8535.64</v>
      </c>
      <c r="AV88" s="2">
        <v>85.356399999999994</v>
      </c>
      <c r="AW88" s="474">
        <v>210.92</v>
      </c>
      <c r="AX88" s="426" t="s">
        <v>4</v>
      </c>
      <c r="AY88" s="217">
        <f t="shared" si="44"/>
        <v>0</v>
      </c>
      <c r="AZ88" s="73">
        <f t="shared" si="45"/>
        <v>-5.2109972002599487E-5</v>
      </c>
      <c r="BA88" s="230">
        <f t="shared" si="46"/>
        <v>1.2034938484558401E-4</v>
      </c>
      <c r="BB88" s="238" t="s">
        <v>31</v>
      </c>
      <c r="BC88" s="134">
        <f t="shared" si="63"/>
        <v>0</v>
      </c>
      <c r="BD88" s="82">
        <f t="shared" si="64"/>
        <v>0</v>
      </c>
      <c r="BE88" s="82">
        <f t="shared" si="65"/>
        <v>0</v>
      </c>
      <c r="BF88" s="82">
        <f t="shared" si="66"/>
        <v>-1.3030975201191541E-4</v>
      </c>
      <c r="BG88" s="82">
        <f t="shared" si="67"/>
        <v>0</v>
      </c>
      <c r="BH88" s="82">
        <f t="shared" si="68"/>
        <v>8.2999950200029874E-5</v>
      </c>
      <c r="BI88" s="82">
        <f t="shared" si="69"/>
        <v>2.529839456328275E-4</v>
      </c>
      <c r="BJ88" s="420">
        <f t="shared" si="70"/>
        <v>9.6611942032834782E-5</v>
      </c>
      <c r="BK88" s="139">
        <f t="shared" si="71"/>
        <v>1.7776159725574182E-4</v>
      </c>
      <c r="BL88" s="80">
        <f t="shared" si="72"/>
        <v>1.7776054285325999E-4</v>
      </c>
      <c r="BM88" s="80">
        <f t="shared" si="73"/>
        <v>1.7807686359780871E-4</v>
      </c>
      <c r="BN88" s="80">
        <f t="shared" si="74"/>
        <v>2.3431166262869569E-4</v>
      </c>
      <c r="BO88" s="80">
        <f t="shared" si="75"/>
        <v>1.7777417042677305E-4</v>
      </c>
      <c r="BP88" s="80">
        <f t="shared" si="76"/>
        <v>1.8503026768655351E-4</v>
      </c>
      <c r="BQ88" s="80">
        <f t="shared" si="77"/>
        <v>2.3431166263381022E-4</v>
      </c>
      <c r="BR88" s="80">
        <f t="shared" si="78"/>
        <v>2.3431166263647403E-4</v>
      </c>
      <c r="BS88" s="96">
        <f t="shared" si="79"/>
        <v>4.7411340792944003E-4</v>
      </c>
    </row>
    <row r="89" spans="1:71" x14ac:dyDescent="0.25">
      <c r="A89" s="118">
        <v>110</v>
      </c>
      <c r="B89" s="1">
        <v>172.92773</v>
      </c>
      <c r="C89" s="1">
        <v>42</v>
      </c>
      <c r="D89" s="372">
        <v>198.96114353911699</v>
      </c>
      <c r="E89" s="379" t="s">
        <v>10</v>
      </c>
      <c r="F89" s="482">
        <v>1.8087376685374299</v>
      </c>
      <c r="G89" s="211" t="s">
        <v>31</v>
      </c>
      <c r="H89" s="120">
        <v>59849713</v>
      </c>
      <c r="I89" s="1">
        <v>1963573</v>
      </c>
      <c r="J89" s="1">
        <v>23562879</v>
      </c>
      <c r="K89" s="1">
        <v>598497</v>
      </c>
      <c r="L89" s="1">
        <v>371.88900000000001</v>
      </c>
      <c r="M89" s="1">
        <v>598497127</v>
      </c>
      <c r="N89" s="1">
        <v>654524</v>
      </c>
      <c r="O89" s="164">
        <v>598497127297</v>
      </c>
      <c r="P89" s="120">
        <v>1.31139387110574E+16</v>
      </c>
      <c r="Q89" s="59">
        <v>131139387110574</v>
      </c>
      <c r="R89" s="59">
        <v>1311393871106</v>
      </c>
      <c r="S89" s="1">
        <v>13113938711</v>
      </c>
      <c r="T89" s="59">
        <v>20326645655430</v>
      </c>
      <c r="U89" s="59">
        <v>141157261496</v>
      </c>
      <c r="V89" s="1">
        <v>131139387</v>
      </c>
      <c r="W89" s="1">
        <v>1311394</v>
      </c>
      <c r="X89" s="119">
        <v>3240525</v>
      </c>
      <c r="Y89" s="435">
        <v>5</v>
      </c>
      <c r="Z89" s="15">
        <v>110</v>
      </c>
      <c r="AA89" s="2">
        <v>172.92773</v>
      </c>
      <c r="AB89" s="2">
        <v>42</v>
      </c>
      <c r="AC89" s="438">
        <v>198.96120999999999</v>
      </c>
      <c r="AD89" s="35" t="s">
        <v>10</v>
      </c>
      <c r="AE89" s="476">
        <v>1.8087376685374299</v>
      </c>
      <c r="AF89" s="19" t="s">
        <v>31</v>
      </c>
      <c r="AG89" s="15">
        <v>59849733</v>
      </c>
      <c r="AH89" s="2">
        <v>1963574</v>
      </c>
      <c r="AI89" s="2">
        <v>23562887</v>
      </c>
      <c r="AJ89" s="2">
        <v>598497</v>
      </c>
      <c r="AK89" s="186">
        <f>AA89+AC89</f>
        <v>371.88893999999999</v>
      </c>
      <c r="AL89" s="2">
        <v>598497331</v>
      </c>
      <c r="AM89" s="2">
        <v>654525</v>
      </c>
      <c r="AN89" s="185">
        <v>598497330816</v>
      </c>
      <c r="AO89" s="28">
        <v>1.3113938711E+16</v>
      </c>
      <c r="AP89" s="29">
        <v>131139387110000</v>
      </c>
      <c r="AQ89" s="29">
        <v>1311393871100</v>
      </c>
      <c r="AR89" s="2">
        <f>(Z89*Z89)/2*(AE89-SIN(AE89))*1609.344*1609.344</f>
        <v>13113938711.057394</v>
      </c>
      <c r="AS89" s="29">
        <v>20326645655341</v>
      </c>
      <c r="AT89" s="29">
        <v>141157261495</v>
      </c>
      <c r="AU89" s="2">
        <v>131139387</v>
      </c>
      <c r="AV89" s="2">
        <v>1311394</v>
      </c>
      <c r="AW89" s="42">
        <v>3240525</v>
      </c>
      <c r="AX89" s="426" t="s">
        <v>10</v>
      </c>
      <c r="AY89" s="217">
        <f t="shared" si="44"/>
        <v>0</v>
      </c>
      <c r="AZ89" s="73">
        <f t="shared" si="45"/>
        <v>-3.3403939896119883E-5</v>
      </c>
      <c r="BA89" s="230">
        <f t="shared" si="46"/>
        <v>0</v>
      </c>
      <c r="BB89" s="238" t="s">
        <v>31</v>
      </c>
      <c r="BC89" s="134">
        <f t="shared" si="63"/>
        <v>-3.3417024600594289E-5</v>
      </c>
      <c r="BD89" s="82">
        <f t="shared" si="64"/>
        <v>-5.0927543346978523E-5</v>
      </c>
      <c r="BE89" s="82">
        <f t="shared" si="65"/>
        <v>-3.3951697005549449E-5</v>
      </c>
      <c r="BF89" s="82">
        <f t="shared" si="66"/>
        <v>0</v>
      </c>
      <c r="BG89" s="82">
        <f t="shared" si="67"/>
        <v>1.613384899778004E-5</v>
      </c>
      <c r="BH89" s="82">
        <f t="shared" si="68"/>
        <v>-3.4085365035654607E-5</v>
      </c>
      <c r="BI89" s="82">
        <f t="shared" si="69"/>
        <v>-1.5278255223253505E-4</v>
      </c>
      <c r="BJ89" s="420">
        <f t="shared" si="70"/>
        <v>-3.4004997102078836E-5</v>
      </c>
      <c r="BK89" s="139">
        <f t="shared" si="71"/>
        <v>4.3770221338500507E-10</v>
      </c>
      <c r="BL89" s="80">
        <f t="shared" si="72"/>
        <v>4.3770221338500507E-10</v>
      </c>
      <c r="BM89" s="80">
        <f t="shared" si="73"/>
        <v>4.5752844604704359E-10</v>
      </c>
      <c r="BN89" s="80">
        <f t="shared" si="74"/>
        <v>-4.3765667184007436E-10</v>
      </c>
      <c r="BO89" s="80">
        <f t="shared" si="75"/>
        <v>4.3784892750671084E-10</v>
      </c>
      <c r="BP89" s="80">
        <f t="shared" si="76"/>
        <v>7.0842972540624238E-10</v>
      </c>
      <c r="BQ89" s="80">
        <f t="shared" si="77"/>
        <v>0</v>
      </c>
      <c r="BR89" s="80">
        <f t="shared" si="78"/>
        <v>0</v>
      </c>
      <c r="BS89" s="96">
        <f t="shared" si="79"/>
        <v>0</v>
      </c>
    </row>
    <row r="90" spans="1:71" x14ac:dyDescent="0.25">
      <c r="A90" s="118">
        <v>37.249969999999998</v>
      </c>
      <c r="B90" s="1">
        <v>70</v>
      </c>
      <c r="C90" s="1">
        <v>24.5</v>
      </c>
      <c r="D90" s="119">
        <v>90.998260113258496</v>
      </c>
      <c r="E90" s="379" t="s">
        <v>6</v>
      </c>
      <c r="F90" s="482">
        <v>2.4429082792082499</v>
      </c>
      <c r="G90" s="211" t="s">
        <v>31</v>
      </c>
      <c r="H90" s="118">
        <v>16.099799999999998</v>
      </c>
      <c r="I90" s="1">
        <v>0.52820999999999996</v>
      </c>
      <c r="J90" s="1">
        <v>6.3385100000000003</v>
      </c>
      <c r="K90" s="1">
        <v>0.160998</v>
      </c>
      <c r="L90" s="326">
        <v>1.0004E-4</v>
      </c>
      <c r="M90" s="1">
        <v>160.99799999999999</v>
      </c>
      <c r="N90" s="1">
        <v>0.17607</v>
      </c>
      <c r="O90" s="119">
        <v>160998</v>
      </c>
      <c r="P90" s="374">
        <v>1248.5899999999999</v>
      </c>
      <c r="Q90" s="347">
        <v>12.485900000000001</v>
      </c>
      <c r="R90" s="78">
        <v>0.124859</v>
      </c>
      <c r="S90" s="326">
        <v>1.2485899999999999E-3</v>
      </c>
      <c r="T90" s="348">
        <v>1.93533</v>
      </c>
      <c r="U90" s="78">
        <v>1.34398E-2</v>
      </c>
      <c r="V90" s="49">
        <v>1.2485942972919101E-5</v>
      </c>
      <c r="W90" s="58">
        <v>1.2485942972919101E-7</v>
      </c>
      <c r="X90" s="388">
        <v>3.0853437013004401E-7</v>
      </c>
      <c r="Y90" s="435">
        <v>6</v>
      </c>
      <c r="Z90" s="15">
        <v>37.249969999999998</v>
      </c>
      <c r="AA90" s="2">
        <v>70</v>
      </c>
      <c r="AB90" s="2">
        <v>24.5</v>
      </c>
      <c r="AC90" s="16">
        <v>90.998170000000002</v>
      </c>
      <c r="AD90" s="35" t="s">
        <v>6</v>
      </c>
      <c r="AE90" s="476">
        <v>2.4429082792082499</v>
      </c>
      <c r="AF90" s="19" t="s">
        <v>31</v>
      </c>
      <c r="AG90" s="15">
        <v>16.099799999999998</v>
      </c>
      <c r="AH90" s="2">
        <v>0.52820900000000004</v>
      </c>
      <c r="AI90" s="2">
        <v>6.3384999999999998</v>
      </c>
      <c r="AJ90" s="2">
        <v>0.160998</v>
      </c>
      <c r="AK90" s="309">
        <v>1.0004E-4</v>
      </c>
      <c r="AL90" s="186">
        <f>AA90+AC90</f>
        <v>160.99817000000002</v>
      </c>
      <c r="AM90" s="2">
        <v>0.17607</v>
      </c>
      <c r="AN90" s="16">
        <v>160998</v>
      </c>
      <c r="AO90" s="15">
        <f>(Z90*Z90)/2*(AE90-SIN(AE90))</f>
        <v>1248.5942972919195</v>
      </c>
      <c r="AP90" s="2">
        <v>12.485900000000001</v>
      </c>
      <c r="AQ90" s="2">
        <v>0.124859</v>
      </c>
      <c r="AR90" s="23">
        <v>1.2485899999999999E-3</v>
      </c>
      <c r="AS90" s="2">
        <v>1.9353199999999999</v>
      </c>
      <c r="AT90" s="342">
        <v>1.3439700000000001E-2</v>
      </c>
      <c r="AU90" s="31">
        <v>1.24859E-5</v>
      </c>
      <c r="AV90" s="360">
        <v>1.2485899999999999E-7</v>
      </c>
      <c r="AW90" s="385">
        <v>3.0853330824608801E-7</v>
      </c>
      <c r="AX90" s="426" t="s">
        <v>6</v>
      </c>
      <c r="AY90" s="217">
        <f t="shared" si="44"/>
        <v>0</v>
      </c>
      <c r="AZ90" s="73">
        <f t="shared" si="45"/>
        <v>9.9027550218080542E-5</v>
      </c>
      <c r="BA90" s="230">
        <f t="shared" si="46"/>
        <v>0</v>
      </c>
      <c r="BB90" s="238" t="s">
        <v>31</v>
      </c>
      <c r="BC90" s="134">
        <f t="shared" si="63"/>
        <v>0</v>
      </c>
      <c r="BD90" s="82">
        <f t="shared" si="64"/>
        <v>1.8931900060728486E-4</v>
      </c>
      <c r="BE90" s="82">
        <f t="shared" si="65"/>
        <v>1.5776603298114068E-4</v>
      </c>
      <c r="BF90" s="82">
        <f t="shared" si="66"/>
        <v>0</v>
      </c>
      <c r="BG90" s="82">
        <f t="shared" si="67"/>
        <v>0</v>
      </c>
      <c r="BH90" s="82">
        <f t="shared" si="68"/>
        <v>-1.0559126232648395E-4</v>
      </c>
      <c r="BI90" s="82">
        <f t="shared" si="69"/>
        <v>0</v>
      </c>
      <c r="BJ90" s="420">
        <f t="shared" si="70"/>
        <v>0</v>
      </c>
      <c r="BK90" s="139">
        <f t="shared" si="71"/>
        <v>-3.4417039456905357E-4</v>
      </c>
      <c r="BL90" s="80">
        <f t="shared" si="72"/>
        <v>0</v>
      </c>
      <c r="BM90" s="80">
        <f t="shared" si="73"/>
        <v>0</v>
      </c>
      <c r="BN90" s="80">
        <f t="shared" si="74"/>
        <v>0</v>
      </c>
      <c r="BO90" s="80">
        <f t="shared" si="75"/>
        <v>5.1671041481850613E-4</v>
      </c>
      <c r="BP90" s="80">
        <f t="shared" si="76"/>
        <v>7.4406422761970966E-4</v>
      </c>
      <c r="BQ90" s="80">
        <f t="shared" si="77"/>
        <v>3.4417157834561055E-4</v>
      </c>
      <c r="BR90" s="80">
        <f t="shared" si="78"/>
        <v>3.4417157835493843E-4</v>
      </c>
      <c r="BS90" s="96">
        <f t="shared" si="79"/>
        <v>3.4417157811389871E-4</v>
      </c>
    </row>
    <row r="91" spans="1:71" x14ac:dyDescent="0.25">
      <c r="A91" s="118">
        <v>88</v>
      </c>
      <c r="B91" s="1">
        <v>118.34216000000001</v>
      </c>
      <c r="C91" s="1">
        <v>22.504899999999999</v>
      </c>
      <c r="D91" s="119">
        <v>129.79025121898201</v>
      </c>
      <c r="E91" s="379" t="s">
        <v>7</v>
      </c>
      <c r="F91" s="482">
        <v>1.47488921839752</v>
      </c>
      <c r="G91" s="211" t="s">
        <v>31</v>
      </c>
      <c r="H91" s="118">
        <v>22689.200000000001</v>
      </c>
      <c r="I91" s="1">
        <v>744.39700000000005</v>
      </c>
      <c r="J91" s="1">
        <v>8932.77</v>
      </c>
      <c r="K91" s="1">
        <v>226.892</v>
      </c>
      <c r="L91" s="1">
        <v>0.140984</v>
      </c>
      <c r="M91" s="1">
        <v>226892</v>
      </c>
      <c r="N91" s="1">
        <v>248.13200000000001</v>
      </c>
      <c r="O91" s="119">
        <v>226892277</v>
      </c>
      <c r="P91" s="118">
        <v>1552324852</v>
      </c>
      <c r="Q91" s="1">
        <v>15523249</v>
      </c>
      <c r="R91" s="1">
        <v>155232</v>
      </c>
      <c r="S91" s="1">
        <v>1552.32</v>
      </c>
      <c r="T91" s="1">
        <v>2406108</v>
      </c>
      <c r="U91" s="1">
        <v>16709.099999999999</v>
      </c>
      <c r="V91" s="1">
        <v>15.523199999999999</v>
      </c>
      <c r="W91" s="1">
        <v>0.15523200000000001</v>
      </c>
      <c r="X91" s="119">
        <v>0.38358799999999998</v>
      </c>
      <c r="Y91" s="435">
        <v>7</v>
      </c>
      <c r="Z91" s="15">
        <v>88</v>
      </c>
      <c r="AA91" s="2">
        <v>118.34216000000001</v>
      </c>
      <c r="AB91" s="2">
        <v>22.504899999999999</v>
      </c>
      <c r="AC91" s="16">
        <v>129.79028</v>
      </c>
      <c r="AD91" s="35" t="s">
        <v>7</v>
      </c>
      <c r="AE91" s="476">
        <v>1.47488921839752</v>
      </c>
      <c r="AF91" s="19" t="s">
        <v>31</v>
      </c>
      <c r="AG91" s="15">
        <v>22689.200000000001</v>
      </c>
      <c r="AH91" s="2">
        <v>744.39599999999996</v>
      </c>
      <c r="AI91" s="2">
        <v>8932.75</v>
      </c>
      <c r="AJ91" s="2">
        <v>226.892</v>
      </c>
      <c r="AK91" s="2">
        <v>0.140984</v>
      </c>
      <c r="AL91" s="2">
        <v>226892</v>
      </c>
      <c r="AM91" s="186">
        <f>AA91+AC91</f>
        <v>248.13244</v>
      </c>
      <c r="AN91" s="16">
        <v>226891901</v>
      </c>
      <c r="AO91" s="15">
        <v>1552320000</v>
      </c>
      <c r="AP91" s="2">
        <v>15523200</v>
      </c>
      <c r="AQ91" s="2">
        <v>155232</v>
      </c>
      <c r="AR91" s="2">
        <f>(Z91*Z91)/2*(AE91-SIN(AE91))*0.9144*0.9144</f>
        <v>1552.3248521272735</v>
      </c>
      <c r="AS91" s="2">
        <v>2406101</v>
      </c>
      <c r="AT91" s="2">
        <v>16709</v>
      </c>
      <c r="AU91" s="2">
        <v>15.523199999999999</v>
      </c>
      <c r="AV91" s="2">
        <v>0.15523200000000001</v>
      </c>
      <c r="AW91" s="42">
        <v>0.38358700000000001</v>
      </c>
      <c r="AX91" s="426" t="s">
        <v>7</v>
      </c>
      <c r="AY91" s="217">
        <f t="shared" si="44"/>
        <v>0</v>
      </c>
      <c r="AZ91" s="73">
        <f t="shared" si="45"/>
        <v>-2.2175018027869122E-5</v>
      </c>
      <c r="BA91" s="230">
        <f t="shared" si="46"/>
        <v>0</v>
      </c>
      <c r="BB91" s="238" t="s">
        <v>31</v>
      </c>
      <c r="BC91" s="134">
        <f t="shared" si="63"/>
        <v>0</v>
      </c>
      <c r="BD91" s="82">
        <f t="shared" si="64"/>
        <v>1.3433710015771713E-4</v>
      </c>
      <c r="BE91" s="82">
        <f t="shared" si="65"/>
        <v>2.2389521704331317E-4</v>
      </c>
      <c r="BF91" s="82">
        <f t="shared" si="66"/>
        <v>0</v>
      </c>
      <c r="BG91" s="82">
        <f t="shared" si="67"/>
        <v>0</v>
      </c>
      <c r="BH91" s="82">
        <f t="shared" si="68"/>
        <v>0</v>
      </c>
      <c r="BI91" s="82">
        <f t="shared" si="69"/>
        <v>-1.7732465775033423E-4</v>
      </c>
      <c r="BJ91" s="420">
        <f t="shared" si="70"/>
        <v>1.6571768244825981E-4</v>
      </c>
      <c r="BK91" s="139">
        <f t="shared" si="71"/>
        <v>3.1256441970727684E-4</v>
      </c>
      <c r="BL91" s="80">
        <f t="shared" si="72"/>
        <v>3.1565656565656568E-4</v>
      </c>
      <c r="BM91" s="80">
        <f t="shared" si="73"/>
        <v>0</v>
      </c>
      <c r="BN91" s="80">
        <f t="shared" si="74"/>
        <v>-3.1257164162066338E-4</v>
      </c>
      <c r="BO91" s="80">
        <f t="shared" si="75"/>
        <v>2.9092710572000097E-4</v>
      </c>
      <c r="BP91" s="80">
        <f t="shared" si="76"/>
        <v>5.9847986114396317E-4</v>
      </c>
      <c r="BQ91" s="80">
        <f t="shared" si="77"/>
        <v>0</v>
      </c>
      <c r="BR91" s="80">
        <f t="shared" si="78"/>
        <v>0</v>
      </c>
      <c r="BS91" s="96">
        <f t="shared" si="79"/>
        <v>2.6069705177006637E-4</v>
      </c>
    </row>
    <row r="92" spans="1:71" ht="15.75" thickBot="1" x14ac:dyDescent="0.3">
      <c r="A92" s="121">
        <v>123.2</v>
      </c>
      <c r="B92" s="55">
        <v>65.679079999999999</v>
      </c>
      <c r="C92" s="55">
        <v>4.4573999999999998</v>
      </c>
      <c r="D92" s="122">
        <v>66.482818208749293</v>
      </c>
      <c r="E92" s="380" t="s">
        <v>20</v>
      </c>
      <c r="F92" s="483">
        <v>0.53963326468140704</v>
      </c>
      <c r="G92" s="212" t="s">
        <v>31</v>
      </c>
      <c r="H92" s="121">
        <v>1.3216200000000001E-2</v>
      </c>
      <c r="I92" s="329">
        <v>4.33602E-4</v>
      </c>
      <c r="J92" s="55">
        <v>5.2032199999999997E-3</v>
      </c>
      <c r="K92" s="329">
        <v>1.3216200000000001E-4</v>
      </c>
      <c r="L92" s="67">
        <v>8.2121596258319694E-8</v>
      </c>
      <c r="M92" s="66">
        <v>0.132162</v>
      </c>
      <c r="N92" s="329">
        <v>1.4453400000000001E-4</v>
      </c>
      <c r="O92" s="122">
        <v>132.16200000000001</v>
      </c>
      <c r="P92" s="446">
        <v>1.9588900000000001E-4</v>
      </c>
      <c r="Q92" s="333">
        <v>1.9588930039860498E-6</v>
      </c>
      <c r="R92" s="67">
        <v>1.9588930039860499E-8</v>
      </c>
      <c r="S92" s="79">
        <v>1.9588930039860499E-10</v>
      </c>
      <c r="T92" s="58">
        <v>3.0362902287588397E-7</v>
      </c>
      <c r="U92" s="447">
        <v>2.1085348810825298E-9</v>
      </c>
      <c r="V92" s="448">
        <v>1.9588930039860501E-12</v>
      </c>
      <c r="W92" s="449">
        <v>1.95889300398605E-14</v>
      </c>
      <c r="X92" s="450">
        <v>4.8405300300333501E-14</v>
      </c>
      <c r="Y92" s="436">
        <v>8</v>
      </c>
      <c r="Z92" s="494">
        <v>123.2</v>
      </c>
      <c r="AA92" s="495">
        <v>65.679079999999999</v>
      </c>
      <c r="AB92" s="495">
        <v>4.4573999999999998</v>
      </c>
      <c r="AC92" s="496">
        <v>66.482789999999994</v>
      </c>
      <c r="AD92" s="286" t="s">
        <v>20</v>
      </c>
      <c r="AE92" s="477">
        <v>0.53963326468140704</v>
      </c>
      <c r="AF92" s="20" t="s">
        <v>31</v>
      </c>
      <c r="AG92" s="17">
        <v>1.3216200000000001E-2</v>
      </c>
      <c r="AH92" s="318">
        <v>4.33602E-4</v>
      </c>
      <c r="AI92" s="9">
        <v>5.2032299999999997E-3</v>
      </c>
      <c r="AJ92" s="37">
        <v>1.3216200000000001E-4</v>
      </c>
      <c r="AK92" s="206">
        <v>8.2121659508470496E-8</v>
      </c>
      <c r="AL92" s="9">
        <v>0.132162</v>
      </c>
      <c r="AM92" s="318">
        <v>1.4453400000000001E-4</v>
      </c>
      <c r="AN92" s="467">
        <f>AA92+AC92</f>
        <v>132.16186999999999</v>
      </c>
      <c r="AO92" s="17">
        <f>(Z92*Z92)/2*(AE92-SIN(AE92))/1000/1000</f>
        <v>1.958893003986062E-4</v>
      </c>
      <c r="AP92" s="416">
        <v>1.9588900000000001E-6</v>
      </c>
      <c r="AQ92" s="400">
        <v>1.9588899999999999E-8</v>
      </c>
      <c r="AR92" s="417">
        <v>1.95889E-10</v>
      </c>
      <c r="AS92" s="416">
        <v>3.0362855725711498E-7</v>
      </c>
      <c r="AT92" s="38">
        <v>2.1085316476188498E-9</v>
      </c>
      <c r="AU92" s="418">
        <v>1.9588899999999999E-12</v>
      </c>
      <c r="AV92" s="36">
        <v>1.9588900000000001E-14</v>
      </c>
      <c r="AW92" s="475">
        <v>4.8405226070221602E-14</v>
      </c>
      <c r="AX92" s="443" t="s">
        <v>20</v>
      </c>
      <c r="AY92" s="218">
        <f t="shared" si="44"/>
        <v>0</v>
      </c>
      <c r="AZ92" s="97">
        <f t="shared" si="45"/>
        <v>4.2430152674243641E-5</v>
      </c>
      <c r="BA92" s="231">
        <f t="shared" si="46"/>
        <v>0</v>
      </c>
      <c r="BB92" s="239" t="s">
        <v>31</v>
      </c>
      <c r="BC92" s="135">
        <f t="shared" si="63"/>
        <v>0</v>
      </c>
      <c r="BD92" s="98">
        <f t="shared" si="64"/>
        <v>0</v>
      </c>
      <c r="BE92" s="98">
        <f t="shared" si="65"/>
        <v>-1.9218831379624987E-4</v>
      </c>
      <c r="BF92" s="98">
        <f t="shared" si="66"/>
        <v>0</v>
      </c>
      <c r="BG92" s="98">
        <f t="shared" si="67"/>
        <v>-7.7020059240590804E-5</v>
      </c>
      <c r="BH92" s="98">
        <f t="shared" si="68"/>
        <v>0</v>
      </c>
      <c r="BI92" s="98">
        <f t="shared" si="69"/>
        <v>0</v>
      </c>
      <c r="BJ92" s="421">
        <f t="shared" si="70"/>
        <v>9.8364225636972359E-5</v>
      </c>
      <c r="BK92" s="140">
        <f t="shared" si="71"/>
        <v>-1.533512068191024E-4</v>
      </c>
      <c r="BL92" s="100">
        <f t="shared" si="72"/>
        <v>1.5335144136099718E-4</v>
      </c>
      <c r="BM92" s="100">
        <f t="shared" si="73"/>
        <v>1.5335144137721237E-4</v>
      </c>
      <c r="BN92" s="100">
        <f t="shared" si="74"/>
        <v>1.5335144137298967E-4</v>
      </c>
      <c r="BO92" s="100">
        <f t="shared" si="75"/>
        <v>1.5335144138018059E-4</v>
      </c>
      <c r="BP92" s="100">
        <f t="shared" si="76"/>
        <v>1.53351441683125E-4</v>
      </c>
      <c r="BQ92" s="100">
        <f t="shared" si="77"/>
        <v>1.5335144138783511E-4</v>
      </c>
      <c r="BR92" s="100">
        <f t="shared" si="78"/>
        <v>1.5335144137108243E-4</v>
      </c>
      <c r="BS92" s="102">
        <f t="shared" si="79"/>
        <v>1.53351441415625E-4</v>
      </c>
    </row>
    <row r="93" spans="1:71" x14ac:dyDescent="0.25">
      <c r="A93" s="114">
        <v>130</v>
      </c>
      <c r="B93" s="115">
        <v>100</v>
      </c>
      <c r="C93" s="115">
        <v>10</v>
      </c>
      <c r="D93" s="182">
        <v>102.645691121938</v>
      </c>
      <c r="E93" s="378" t="s">
        <v>9</v>
      </c>
      <c r="F93" s="481">
        <v>50.266366551201003</v>
      </c>
      <c r="G93" s="245" t="s">
        <v>32</v>
      </c>
      <c r="H93" s="114">
        <v>202.64599999999999</v>
      </c>
      <c r="I93" s="115">
        <v>6.6484800000000002</v>
      </c>
      <c r="J93" s="115">
        <v>79.781800000000004</v>
      </c>
      <c r="K93" s="115">
        <v>2.0264600000000002</v>
      </c>
      <c r="L93" s="311">
        <v>1.2591799999999999E-3</v>
      </c>
      <c r="M93" s="115">
        <v>2026.46</v>
      </c>
      <c r="N93" s="115">
        <v>2.2161599999999999</v>
      </c>
      <c r="O93" s="117">
        <v>2026457</v>
      </c>
      <c r="P93" s="114">
        <v>67197</v>
      </c>
      <c r="Q93" s="115">
        <v>671.97</v>
      </c>
      <c r="R93" s="115">
        <v>6.7196999999999996</v>
      </c>
      <c r="S93" s="115">
        <v>6.7197000000000007E-2</v>
      </c>
      <c r="T93" s="115">
        <v>104.15600000000001</v>
      </c>
      <c r="U93" s="115">
        <v>0.723302</v>
      </c>
      <c r="V93" s="311">
        <v>6.7197000000000003E-4</v>
      </c>
      <c r="W93" s="116">
        <v>6.7196992292597002E-6</v>
      </c>
      <c r="X93" s="125">
        <v>1.6604738413908299E-5</v>
      </c>
      <c r="Y93" s="434">
        <v>1</v>
      </c>
      <c r="Z93" s="8">
        <v>130</v>
      </c>
      <c r="AA93" s="260">
        <v>100</v>
      </c>
      <c r="AB93" s="260">
        <v>10</v>
      </c>
      <c r="AC93" s="493">
        <v>102.64569</v>
      </c>
      <c r="AD93" s="285" t="s">
        <v>9</v>
      </c>
      <c r="AE93" s="410">
        <v>50.266366551201003</v>
      </c>
      <c r="AF93" s="18" t="s">
        <v>32</v>
      </c>
      <c r="AG93" s="187">
        <f>AA93+AC93</f>
        <v>202.64569</v>
      </c>
      <c r="AH93" s="7">
        <v>6.6484899999999998</v>
      </c>
      <c r="AI93" s="7">
        <v>79.781899999999993</v>
      </c>
      <c r="AJ93" s="7">
        <v>2.0264600000000002</v>
      </c>
      <c r="AK93" s="301">
        <v>1.2591799999999999E-3</v>
      </c>
      <c r="AL93" s="7">
        <v>2026.46</v>
      </c>
      <c r="AM93" s="7">
        <v>2.2161599999999999</v>
      </c>
      <c r="AN93" s="14">
        <v>2026460</v>
      </c>
      <c r="AO93" s="8">
        <v>67197</v>
      </c>
      <c r="AP93" s="12">
        <f>(Z93*Z93)/2*(AE85-SIN(AE85))</f>
        <v>671.96992292597236</v>
      </c>
      <c r="AQ93" s="7">
        <v>6.7196999999999996</v>
      </c>
      <c r="AR93" s="7">
        <v>6.7197000000000007E-2</v>
      </c>
      <c r="AS93" s="7">
        <v>104.15600000000001</v>
      </c>
      <c r="AT93" s="7">
        <v>0.723302</v>
      </c>
      <c r="AU93" s="21">
        <v>6.7197000000000003E-4</v>
      </c>
      <c r="AV93" s="384">
        <v>6.7197000000000002E-6</v>
      </c>
      <c r="AW93" s="306">
        <v>1.6604740318449101E-5</v>
      </c>
      <c r="AX93" s="444" t="s">
        <v>9</v>
      </c>
      <c r="AY93" s="216">
        <f t="shared" si="44"/>
        <v>0</v>
      </c>
      <c r="AZ93" s="90">
        <f t="shared" si="45"/>
        <v>1.0930200756651528E-6</v>
      </c>
      <c r="BA93" s="229">
        <f t="shared" si="46"/>
        <v>0</v>
      </c>
      <c r="BB93" s="240" t="s">
        <v>32</v>
      </c>
      <c r="BC93" s="133">
        <f t="shared" si="63"/>
        <v>1.5297635986470345E-4</v>
      </c>
      <c r="BD93" s="91">
        <f t="shared" si="64"/>
        <v>-1.5041009311319447E-4</v>
      </c>
      <c r="BE93" s="91">
        <f t="shared" si="65"/>
        <v>-1.253417128309915E-4</v>
      </c>
      <c r="BF93" s="91">
        <f t="shared" si="66"/>
        <v>0</v>
      </c>
      <c r="BG93" s="91">
        <f t="shared" si="67"/>
        <v>0</v>
      </c>
      <c r="BH93" s="91">
        <f t="shared" si="68"/>
        <v>0</v>
      </c>
      <c r="BI93" s="91">
        <f t="shared" si="69"/>
        <v>0</v>
      </c>
      <c r="BJ93" s="419">
        <f t="shared" si="70"/>
        <v>-1.4804141211768307E-4</v>
      </c>
      <c r="BK93" s="138">
        <f t="shared" si="71"/>
        <v>0</v>
      </c>
      <c r="BL93" s="93">
        <f t="shared" si="72"/>
        <v>1.1469862718928272E-5</v>
      </c>
      <c r="BM93" s="93">
        <f t="shared" si="73"/>
        <v>0</v>
      </c>
      <c r="BN93" s="93">
        <f t="shared" si="74"/>
        <v>0</v>
      </c>
      <c r="BO93" s="93">
        <f t="shared" si="75"/>
        <v>0</v>
      </c>
      <c r="BP93" s="93">
        <f t="shared" si="76"/>
        <v>0</v>
      </c>
      <c r="BQ93" s="93">
        <f t="shared" si="77"/>
        <v>0</v>
      </c>
      <c r="BR93" s="93">
        <f t="shared" si="78"/>
        <v>-1.1469861750672645E-5</v>
      </c>
      <c r="BS93" s="95">
        <f t="shared" si="79"/>
        <v>-1.1469862011344434E-5</v>
      </c>
    </row>
    <row r="94" spans="1:71" x14ac:dyDescent="0.25">
      <c r="A94" s="118">
        <v>80</v>
      </c>
      <c r="B94" s="1">
        <v>105.83008</v>
      </c>
      <c r="C94" s="1">
        <v>20</v>
      </c>
      <c r="D94" s="119">
        <v>115.637516393372</v>
      </c>
      <c r="E94" s="379" t="s">
        <v>5</v>
      </c>
      <c r="F94" s="482">
        <v>92.021411704376206</v>
      </c>
      <c r="G94" s="211" t="s">
        <v>32</v>
      </c>
      <c r="H94" s="118">
        <v>6750.33</v>
      </c>
      <c r="I94" s="1">
        <v>221.46799999999999</v>
      </c>
      <c r="J94" s="1">
        <v>2657.61</v>
      </c>
      <c r="K94" s="1">
        <v>67.503299999999996</v>
      </c>
      <c r="L94" s="1">
        <v>4.1944599999999999E-2</v>
      </c>
      <c r="M94" s="1">
        <v>67503.3</v>
      </c>
      <c r="N94" s="1">
        <v>73.822500000000005</v>
      </c>
      <c r="O94" s="119">
        <v>67503323</v>
      </c>
      <c r="P94" s="118">
        <v>134765048</v>
      </c>
      <c r="Q94" s="1">
        <v>1347650</v>
      </c>
      <c r="R94" s="1">
        <v>13476.5</v>
      </c>
      <c r="S94" s="1">
        <v>134.76499999999999</v>
      </c>
      <c r="T94" s="1">
        <v>208886</v>
      </c>
      <c r="U94" s="1">
        <v>1450.6</v>
      </c>
      <c r="V94" s="1">
        <v>1.34765</v>
      </c>
      <c r="W94" s="52">
        <v>1.3476500000000001E-2</v>
      </c>
      <c r="X94" s="119">
        <v>3.3301200000000003E-2</v>
      </c>
      <c r="Y94" s="435">
        <v>2</v>
      </c>
      <c r="Z94" s="15">
        <v>80</v>
      </c>
      <c r="AA94" s="2">
        <v>105.83008</v>
      </c>
      <c r="AB94" s="2">
        <v>20</v>
      </c>
      <c r="AC94" s="16">
        <v>115.63746999999999</v>
      </c>
      <c r="AD94" s="35" t="s">
        <v>5</v>
      </c>
      <c r="AE94" s="476">
        <v>92.021411704376206</v>
      </c>
      <c r="AF94" s="19" t="s">
        <v>32</v>
      </c>
      <c r="AG94" s="15">
        <v>6750.34</v>
      </c>
      <c r="AH94" s="402">
        <f>AA94+AC94</f>
        <v>221.46754999999999</v>
      </c>
      <c r="AI94" s="2">
        <v>2657.62</v>
      </c>
      <c r="AJ94" s="2">
        <v>67.503399999999999</v>
      </c>
      <c r="AK94" s="2">
        <v>4.1944700000000001E-2</v>
      </c>
      <c r="AL94" s="2">
        <v>67503.399999999994</v>
      </c>
      <c r="AM94" s="2">
        <v>73.822699999999998</v>
      </c>
      <c r="AN94" s="16">
        <v>67503446</v>
      </c>
      <c r="AO94" s="15">
        <v>134765150</v>
      </c>
      <c r="AP94" s="2">
        <v>1347651</v>
      </c>
      <c r="AQ94" s="2">
        <v>13476.5</v>
      </c>
      <c r="AR94" s="2">
        <v>134.76499999999999</v>
      </c>
      <c r="AS94" s="2">
        <v>208886</v>
      </c>
      <c r="AT94" s="2">
        <f>(Z94*Z94)/2*(AE86-SIN(AE86))</f>
        <v>1450.5988987415788</v>
      </c>
      <c r="AU94" s="2">
        <v>1.34765</v>
      </c>
      <c r="AV94" s="342">
        <v>1.3476500000000001E-2</v>
      </c>
      <c r="AW94" s="42">
        <v>3.3301200000000003E-2</v>
      </c>
      <c r="AX94" s="426" t="s">
        <v>5</v>
      </c>
      <c r="AY94" s="217">
        <f t="shared" si="44"/>
        <v>0</v>
      </c>
      <c r="AZ94" s="73">
        <f t="shared" si="45"/>
        <v>4.0119670555521367E-5</v>
      </c>
      <c r="BA94" s="230">
        <f t="shared" si="46"/>
        <v>0</v>
      </c>
      <c r="BB94" s="238" t="s">
        <v>32</v>
      </c>
      <c r="BC94" s="134">
        <f t="shared" si="63"/>
        <v>-1.4814068625014856E-4</v>
      </c>
      <c r="BD94" s="82">
        <f t="shared" si="64"/>
        <v>2.0319003845065681E-4</v>
      </c>
      <c r="BE94" s="82">
        <f t="shared" si="65"/>
        <v>-3.7627651807871446E-4</v>
      </c>
      <c r="BF94" s="82">
        <f t="shared" si="66"/>
        <v>-1.4814068625183273E-4</v>
      </c>
      <c r="BG94" s="82">
        <f t="shared" si="67"/>
        <v>-2.3840914347432587E-4</v>
      </c>
      <c r="BH94" s="82">
        <f t="shared" si="68"/>
        <v>-1.4814068623398061E-4</v>
      </c>
      <c r="BI94" s="82">
        <f t="shared" si="69"/>
        <v>-2.7091937844650558E-4</v>
      </c>
      <c r="BJ94" s="420">
        <f t="shared" si="70"/>
        <v>-1.8221291991522921E-4</v>
      </c>
      <c r="BK94" s="139">
        <f t="shared" si="71"/>
        <v>-7.5687223291778333E-5</v>
      </c>
      <c r="BL94" s="80">
        <f t="shared" si="72"/>
        <v>-7.4203187620533809E-5</v>
      </c>
      <c r="BM94" s="80">
        <f t="shared" si="73"/>
        <v>0</v>
      </c>
      <c r="BN94" s="80">
        <f t="shared" si="74"/>
        <v>0</v>
      </c>
      <c r="BO94" s="80">
        <f t="shared" si="75"/>
        <v>0</v>
      </c>
      <c r="BP94" s="80">
        <f t="shared" si="76"/>
        <v>7.5917500152099436E-5</v>
      </c>
      <c r="BQ94" s="80">
        <f t="shared" si="77"/>
        <v>0</v>
      </c>
      <c r="BR94" s="80">
        <f t="shared" si="78"/>
        <v>0</v>
      </c>
      <c r="BS94" s="96">
        <f t="shared" si="79"/>
        <v>0</v>
      </c>
    </row>
    <row r="95" spans="1:71" x14ac:dyDescent="0.25">
      <c r="A95" s="118">
        <v>70</v>
      </c>
      <c r="B95" s="1">
        <v>140</v>
      </c>
      <c r="C95" s="1">
        <v>70</v>
      </c>
      <c r="D95" s="119">
        <v>219.91148575128599</v>
      </c>
      <c r="E95" s="379" t="s">
        <v>8</v>
      </c>
      <c r="F95" s="482">
        <v>200</v>
      </c>
      <c r="G95" s="211" t="s">
        <v>32</v>
      </c>
      <c r="H95" s="118">
        <v>914.17499999999995</v>
      </c>
      <c r="I95" s="1">
        <v>29.992599999999999</v>
      </c>
      <c r="J95" s="1">
        <v>359.911</v>
      </c>
      <c r="K95" s="1">
        <v>9.14175</v>
      </c>
      <c r="L95" s="1">
        <v>5.6804200000000003E-3</v>
      </c>
      <c r="M95" s="1">
        <v>9141.75</v>
      </c>
      <c r="N95" s="1">
        <v>9.9975400000000008</v>
      </c>
      <c r="O95" s="119">
        <v>9141752</v>
      </c>
      <c r="P95" s="118">
        <v>4965733</v>
      </c>
      <c r="Q95" s="1">
        <v>49657.3</v>
      </c>
      <c r="R95" s="1">
        <v>496.57299999999998</v>
      </c>
      <c r="S95" s="1">
        <v>4.9657299999999998</v>
      </c>
      <c r="T95" s="1">
        <v>7696.9</v>
      </c>
      <c r="U95" s="1">
        <v>53.450699999999998</v>
      </c>
      <c r="V95" s="78">
        <v>4.9657300000000001E-2</v>
      </c>
      <c r="W95" s="316">
        <v>4.9657300000000004E-4</v>
      </c>
      <c r="X95" s="393">
        <v>1.2270600000000001E-3</v>
      </c>
      <c r="Y95" s="435">
        <v>3</v>
      </c>
      <c r="Z95" s="15">
        <v>70</v>
      </c>
      <c r="AA95" s="2">
        <v>140</v>
      </c>
      <c r="AB95" s="2">
        <v>70</v>
      </c>
      <c r="AC95" s="16">
        <v>219.91148999999999</v>
      </c>
      <c r="AD95" s="35" t="s">
        <v>8</v>
      </c>
      <c r="AE95" s="476">
        <v>200</v>
      </c>
      <c r="AF95" s="19" t="s">
        <v>32</v>
      </c>
      <c r="AG95" s="15">
        <v>914.17399999999998</v>
      </c>
      <c r="AH95" s="2">
        <v>29.992599999999999</v>
      </c>
      <c r="AI95" s="186">
        <f>AA95+AC95</f>
        <v>359.91148999999996</v>
      </c>
      <c r="AJ95" s="2">
        <v>9.1417400000000004</v>
      </c>
      <c r="AK95" s="2">
        <v>5.6804100000000003E-3</v>
      </c>
      <c r="AL95" s="2">
        <v>9141.74</v>
      </c>
      <c r="AM95" s="2">
        <v>9.9975299999999994</v>
      </c>
      <c r="AN95" s="16">
        <v>9141739</v>
      </c>
      <c r="AO95" s="28">
        <v>4965732</v>
      </c>
      <c r="AP95" s="340">
        <v>49657.3</v>
      </c>
      <c r="AQ95" s="2">
        <v>496.57299999999998</v>
      </c>
      <c r="AR95" s="2">
        <v>4.9657299999999998</v>
      </c>
      <c r="AS95" s="2">
        <f>(Z95*Z95)/2*(AE87-SIN(AE87))</f>
        <v>7696.9020012949777</v>
      </c>
      <c r="AT95" s="2">
        <v>53.450699999999998</v>
      </c>
      <c r="AU95" s="24">
        <v>4.9657300000000001E-2</v>
      </c>
      <c r="AV95" s="302">
        <v>4.9657300000000004E-4</v>
      </c>
      <c r="AW95" s="362">
        <v>1.2270600000000001E-3</v>
      </c>
      <c r="AX95" s="426" t="s">
        <v>8</v>
      </c>
      <c r="AY95" s="217">
        <f t="shared" si="44"/>
        <v>0</v>
      </c>
      <c r="AZ95" s="73">
        <f t="shared" si="45"/>
        <v>-1.932010915929488E-6</v>
      </c>
      <c r="BA95" s="230">
        <f t="shared" si="46"/>
        <v>0</v>
      </c>
      <c r="BB95" s="238" t="s">
        <v>32</v>
      </c>
      <c r="BC95" s="134">
        <f t="shared" si="63"/>
        <v>1.0938836588837062E-4</v>
      </c>
      <c r="BD95" s="82">
        <f t="shared" si="64"/>
        <v>0</v>
      </c>
      <c r="BE95" s="82">
        <f t="shared" si="65"/>
        <v>-1.3614458375768465E-4</v>
      </c>
      <c r="BF95" s="82">
        <f t="shared" si="66"/>
        <v>1.093883658868161E-4</v>
      </c>
      <c r="BG95" s="82">
        <f t="shared" si="67"/>
        <v>1.7604363065237564E-4</v>
      </c>
      <c r="BH95" s="82">
        <f t="shared" si="68"/>
        <v>1.0938836589334502E-4</v>
      </c>
      <c r="BI95" s="82">
        <f t="shared" si="69"/>
        <v>1.0002470611638855E-4</v>
      </c>
      <c r="BJ95" s="420">
        <f t="shared" si="70"/>
        <v>1.4220489121380517E-4</v>
      </c>
      <c r="BK95" s="139">
        <f t="shared" si="71"/>
        <v>2.0138017919613865E-5</v>
      </c>
      <c r="BL95" s="80">
        <f t="shared" si="72"/>
        <v>0</v>
      </c>
      <c r="BM95" s="80">
        <f t="shared" si="73"/>
        <v>0</v>
      </c>
      <c r="BN95" s="80">
        <f t="shared" si="74"/>
        <v>0</v>
      </c>
      <c r="BO95" s="80">
        <f t="shared" si="75"/>
        <v>-2.6001305171033735E-5</v>
      </c>
      <c r="BP95" s="80">
        <f t="shared" si="76"/>
        <v>0</v>
      </c>
      <c r="BQ95" s="80">
        <f t="shared" si="77"/>
        <v>0</v>
      </c>
      <c r="BR95" s="80">
        <f t="shared" si="78"/>
        <v>0</v>
      </c>
      <c r="BS95" s="96">
        <f t="shared" si="79"/>
        <v>0</v>
      </c>
    </row>
    <row r="96" spans="1:71" x14ac:dyDescent="0.25">
      <c r="A96" s="118">
        <v>654</v>
      </c>
      <c r="B96" s="1">
        <v>1277.6794400000001</v>
      </c>
      <c r="C96" s="1">
        <v>794</v>
      </c>
      <c r="D96" s="430">
        <v>2336.7840523018499</v>
      </c>
      <c r="E96" s="379" t="s">
        <v>4</v>
      </c>
      <c r="F96" s="248">
        <v>227.468338141987</v>
      </c>
      <c r="G96" s="211" t="s">
        <v>32</v>
      </c>
      <c r="H96" s="118">
        <v>361446</v>
      </c>
      <c r="I96" s="1">
        <v>11858.5</v>
      </c>
      <c r="J96" s="1">
        <v>142302</v>
      </c>
      <c r="K96" s="1">
        <v>3614.46</v>
      </c>
      <c r="L96" s="1">
        <v>2.2459199999999999</v>
      </c>
      <c r="M96" s="1">
        <v>3614463</v>
      </c>
      <c r="N96" s="1">
        <v>3952.83</v>
      </c>
      <c r="O96" s="119">
        <v>3614463492</v>
      </c>
      <c r="P96" s="120">
        <v>853565517309</v>
      </c>
      <c r="Q96" s="1">
        <v>8535655173</v>
      </c>
      <c r="R96" s="1">
        <v>85356552</v>
      </c>
      <c r="S96" s="1">
        <v>853566</v>
      </c>
      <c r="T96" s="1">
        <v>1323029198</v>
      </c>
      <c r="U96" s="1">
        <v>9187703</v>
      </c>
      <c r="V96" s="1">
        <v>8535.66</v>
      </c>
      <c r="W96" s="1">
        <v>85.3566</v>
      </c>
      <c r="X96" s="119">
        <v>210.92099999999999</v>
      </c>
      <c r="Y96" s="435">
        <v>4</v>
      </c>
      <c r="Z96" s="15">
        <v>654</v>
      </c>
      <c r="AA96" s="2">
        <v>1277.6794400000001</v>
      </c>
      <c r="AB96" s="2">
        <v>794</v>
      </c>
      <c r="AC96" s="16">
        <v>2336.7852699999999</v>
      </c>
      <c r="AD96" s="35" t="s">
        <v>4</v>
      </c>
      <c r="AE96" s="476">
        <v>227.46833000000001</v>
      </c>
      <c r="AF96" s="19" t="s">
        <v>32</v>
      </c>
      <c r="AG96" s="15">
        <v>361446</v>
      </c>
      <c r="AH96" s="2">
        <v>11858.5</v>
      </c>
      <c r="AI96" s="2">
        <v>142302</v>
      </c>
      <c r="AJ96" s="186">
        <f>AA96+AC96</f>
        <v>3614.4647100000002</v>
      </c>
      <c r="AK96" s="2">
        <v>2.2459199999999999</v>
      </c>
      <c r="AL96" s="2">
        <v>3614460</v>
      </c>
      <c r="AM96" s="2">
        <v>3952.82</v>
      </c>
      <c r="AN96" s="16">
        <v>3614460000</v>
      </c>
      <c r="AO96" s="28">
        <v>853564000000</v>
      </c>
      <c r="AP96" s="2">
        <v>8535640000</v>
      </c>
      <c r="AQ96" s="2">
        <v>85356400</v>
      </c>
      <c r="AR96" s="2">
        <v>853564</v>
      </c>
      <c r="AS96" s="2">
        <v>1323026846</v>
      </c>
      <c r="AT96" s="2">
        <v>9187686</v>
      </c>
      <c r="AU96" s="2">
        <v>8535.64</v>
      </c>
      <c r="AV96" s="2">
        <v>85.356399999999994</v>
      </c>
      <c r="AW96" s="474">
        <v>210.92</v>
      </c>
      <c r="AX96" s="426" t="s">
        <v>4</v>
      </c>
      <c r="AY96" s="217">
        <f t="shared" si="44"/>
        <v>0</v>
      </c>
      <c r="AZ96" s="73">
        <f t="shared" si="45"/>
        <v>-5.2109972002599487E-5</v>
      </c>
      <c r="BA96" s="230">
        <f t="shared" si="46"/>
        <v>3.5793936658014928E-6</v>
      </c>
      <c r="BB96" s="238" t="s">
        <v>32</v>
      </c>
      <c r="BC96" s="134">
        <f t="shared" si="63"/>
        <v>0</v>
      </c>
      <c r="BD96" s="82">
        <f t="shared" si="64"/>
        <v>0</v>
      </c>
      <c r="BE96" s="82">
        <f t="shared" si="65"/>
        <v>0</v>
      </c>
      <c r="BF96" s="82">
        <f t="shared" si="66"/>
        <v>-1.3030975201191541E-4</v>
      </c>
      <c r="BG96" s="82">
        <f t="shared" si="67"/>
        <v>0</v>
      </c>
      <c r="BH96" s="82">
        <f t="shared" si="68"/>
        <v>8.2999950200029874E-5</v>
      </c>
      <c r="BI96" s="82">
        <f t="shared" si="69"/>
        <v>2.529839456328275E-4</v>
      </c>
      <c r="BJ96" s="420">
        <f t="shared" si="70"/>
        <v>9.6611942032834782E-5</v>
      </c>
      <c r="BK96" s="139">
        <f t="shared" si="71"/>
        <v>1.7776159725574182E-4</v>
      </c>
      <c r="BL96" s="80">
        <f t="shared" si="72"/>
        <v>1.7776054285325999E-4</v>
      </c>
      <c r="BM96" s="80">
        <f t="shared" si="73"/>
        <v>1.7807686359780871E-4</v>
      </c>
      <c r="BN96" s="80">
        <f t="shared" si="74"/>
        <v>2.3431166262869569E-4</v>
      </c>
      <c r="BO96" s="80">
        <f t="shared" si="75"/>
        <v>1.7777417042677305E-4</v>
      </c>
      <c r="BP96" s="80">
        <f t="shared" si="76"/>
        <v>1.8503026768655351E-4</v>
      </c>
      <c r="BQ96" s="80">
        <f t="shared" si="77"/>
        <v>2.3431166263381022E-4</v>
      </c>
      <c r="BR96" s="80">
        <f t="shared" si="78"/>
        <v>2.3431166263647403E-4</v>
      </c>
      <c r="BS96" s="96">
        <f t="shared" si="79"/>
        <v>4.7411340792944003E-4</v>
      </c>
    </row>
    <row r="97" spans="1:71" x14ac:dyDescent="0.25">
      <c r="A97" s="118">
        <v>110</v>
      </c>
      <c r="B97" s="1">
        <v>172.92773</v>
      </c>
      <c r="C97" s="1">
        <v>42</v>
      </c>
      <c r="D97" s="372">
        <v>198.96114353911699</v>
      </c>
      <c r="E97" s="379" t="s">
        <v>10</v>
      </c>
      <c r="F97" s="482">
        <v>115.147816281697</v>
      </c>
      <c r="G97" s="211" t="s">
        <v>32</v>
      </c>
      <c r="H97" s="120">
        <v>59849713</v>
      </c>
      <c r="I97" s="1">
        <v>1963573</v>
      </c>
      <c r="J97" s="1">
        <v>23562879</v>
      </c>
      <c r="K97" s="1">
        <v>598497</v>
      </c>
      <c r="L97" s="1">
        <v>371.88900000000001</v>
      </c>
      <c r="M97" s="1">
        <v>598497127</v>
      </c>
      <c r="N97" s="1">
        <v>654524</v>
      </c>
      <c r="O97" s="164">
        <v>598497127297</v>
      </c>
      <c r="P97" s="120">
        <v>1.31139387110574E+16</v>
      </c>
      <c r="Q97" s="59">
        <v>131139387110574</v>
      </c>
      <c r="R97" s="59">
        <v>1311393871106</v>
      </c>
      <c r="S97" s="1">
        <v>13113938711</v>
      </c>
      <c r="T97" s="59">
        <v>20326645655430</v>
      </c>
      <c r="U97" s="59">
        <v>141157261496</v>
      </c>
      <c r="V97" s="1">
        <v>131139387</v>
      </c>
      <c r="W97" s="1">
        <v>1311394</v>
      </c>
      <c r="X97" s="119">
        <v>3240525</v>
      </c>
      <c r="Y97" s="435">
        <v>5</v>
      </c>
      <c r="Z97" s="15">
        <v>110</v>
      </c>
      <c r="AA97" s="2">
        <v>172.92773</v>
      </c>
      <c r="AB97" s="2">
        <v>42</v>
      </c>
      <c r="AC97" s="438">
        <v>198.96120999999999</v>
      </c>
      <c r="AD97" s="35" t="s">
        <v>10</v>
      </c>
      <c r="AE97" s="476">
        <v>115.147816281697</v>
      </c>
      <c r="AF97" s="19" t="s">
        <v>32</v>
      </c>
      <c r="AG97" s="15">
        <v>59849733</v>
      </c>
      <c r="AH97" s="2">
        <v>1963574</v>
      </c>
      <c r="AI97" s="2">
        <v>23562887</v>
      </c>
      <c r="AJ97" s="2">
        <v>598497</v>
      </c>
      <c r="AK97" s="186">
        <f>AA97+AC97</f>
        <v>371.88893999999999</v>
      </c>
      <c r="AL97" s="2">
        <v>598497331</v>
      </c>
      <c r="AM97" s="2">
        <v>654525</v>
      </c>
      <c r="AN97" s="185">
        <v>598497330816</v>
      </c>
      <c r="AO97" s="28">
        <v>1.3113938711E+16</v>
      </c>
      <c r="AP97" s="29">
        <v>131139387110000</v>
      </c>
      <c r="AQ97" s="29">
        <v>1311393871100</v>
      </c>
      <c r="AR97" s="2">
        <f>(Z97*Z97)/2*(AE89-SIN(AE89))*1609.344*1609.344</f>
        <v>13113938711.057394</v>
      </c>
      <c r="AS97" s="29">
        <v>20326645655341</v>
      </c>
      <c r="AT97" s="29">
        <v>141157261495</v>
      </c>
      <c r="AU97" s="2">
        <v>131139387</v>
      </c>
      <c r="AV97" s="2">
        <v>1311394</v>
      </c>
      <c r="AW97" s="42">
        <v>3240525</v>
      </c>
      <c r="AX97" s="426" t="s">
        <v>10</v>
      </c>
      <c r="AY97" s="217">
        <f t="shared" si="44"/>
        <v>0</v>
      </c>
      <c r="AZ97" s="73">
        <f t="shared" si="45"/>
        <v>-3.3403939896119883E-5</v>
      </c>
      <c r="BA97" s="230">
        <f t="shared" si="46"/>
        <v>0</v>
      </c>
      <c r="BB97" s="238" t="s">
        <v>32</v>
      </c>
      <c r="BC97" s="134">
        <f t="shared" si="63"/>
        <v>-3.3417024600594289E-5</v>
      </c>
      <c r="BD97" s="82">
        <f t="shared" si="64"/>
        <v>-5.0927543346978523E-5</v>
      </c>
      <c r="BE97" s="82">
        <f t="shared" si="65"/>
        <v>-3.3951697005549449E-5</v>
      </c>
      <c r="BF97" s="82">
        <f t="shared" si="66"/>
        <v>0</v>
      </c>
      <c r="BG97" s="82">
        <f t="shared" si="67"/>
        <v>1.613384899778004E-5</v>
      </c>
      <c r="BH97" s="82">
        <f t="shared" si="68"/>
        <v>-3.4085365035654607E-5</v>
      </c>
      <c r="BI97" s="82">
        <f t="shared" si="69"/>
        <v>-1.5278255223253505E-4</v>
      </c>
      <c r="BJ97" s="420">
        <f t="shared" si="70"/>
        <v>-3.4004997102078836E-5</v>
      </c>
      <c r="BK97" s="139">
        <f t="shared" si="71"/>
        <v>4.3770221338500507E-10</v>
      </c>
      <c r="BL97" s="80">
        <f t="shared" si="72"/>
        <v>4.3770221338500507E-10</v>
      </c>
      <c r="BM97" s="80">
        <f t="shared" si="73"/>
        <v>4.5752844604704359E-10</v>
      </c>
      <c r="BN97" s="80">
        <f t="shared" si="74"/>
        <v>-4.3765667184007436E-10</v>
      </c>
      <c r="BO97" s="80">
        <f t="shared" si="75"/>
        <v>4.3784892750671084E-10</v>
      </c>
      <c r="BP97" s="80">
        <f t="shared" si="76"/>
        <v>7.0842972540624238E-10</v>
      </c>
      <c r="BQ97" s="80">
        <f t="shared" si="77"/>
        <v>0</v>
      </c>
      <c r="BR97" s="80">
        <f t="shared" si="78"/>
        <v>0</v>
      </c>
      <c r="BS97" s="96">
        <f t="shared" si="79"/>
        <v>0</v>
      </c>
    </row>
    <row r="98" spans="1:71" x14ac:dyDescent="0.25">
      <c r="A98" s="118">
        <v>37.249969999999998</v>
      </c>
      <c r="B98" s="1">
        <v>70</v>
      </c>
      <c r="C98" s="1">
        <v>24.5</v>
      </c>
      <c r="D98" s="119">
        <v>90.998260113258496</v>
      </c>
      <c r="E98" s="379" t="s">
        <v>6</v>
      </c>
      <c r="F98" s="482">
        <v>155.520371262444</v>
      </c>
      <c r="G98" s="211" t="s">
        <v>32</v>
      </c>
      <c r="H98" s="118">
        <v>16.099799999999998</v>
      </c>
      <c r="I98" s="1">
        <v>0.52820999999999996</v>
      </c>
      <c r="J98" s="1">
        <v>6.3385100000000003</v>
      </c>
      <c r="K98" s="1">
        <v>0.160998</v>
      </c>
      <c r="L98" s="326">
        <v>1.0004E-4</v>
      </c>
      <c r="M98" s="1">
        <v>160.99799999999999</v>
      </c>
      <c r="N98" s="1">
        <v>0.17607</v>
      </c>
      <c r="O98" s="119">
        <v>160998</v>
      </c>
      <c r="P98" s="374">
        <v>1248.5899999999999</v>
      </c>
      <c r="Q98" s="347">
        <v>12.485900000000001</v>
      </c>
      <c r="R98" s="78">
        <v>0.124859</v>
      </c>
      <c r="S98" s="326">
        <v>1.2485899999999999E-3</v>
      </c>
      <c r="T98" s="348">
        <v>1.93533</v>
      </c>
      <c r="U98" s="78">
        <v>1.34398E-2</v>
      </c>
      <c r="V98" s="49">
        <v>1.2485942972919101E-5</v>
      </c>
      <c r="W98" s="58">
        <v>1.2485942972919101E-7</v>
      </c>
      <c r="X98" s="388">
        <v>3.0853437013004401E-7</v>
      </c>
      <c r="Y98" s="435">
        <v>6</v>
      </c>
      <c r="Z98" s="15">
        <v>37.249969999999998</v>
      </c>
      <c r="AA98" s="2">
        <v>70</v>
      </c>
      <c r="AB98" s="2">
        <v>24.5</v>
      </c>
      <c r="AC98" s="16">
        <v>90.998170000000002</v>
      </c>
      <c r="AD98" s="35" t="s">
        <v>6</v>
      </c>
      <c r="AE98" s="476">
        <v>155.520371262444</v>
      </c>
      <c r="AF98" s="19" t="s">
        <v>32</v>
      </c>
      <c r="AG98" s="15">
        <v>16.099799999999998</v>
      </c>
      <c r="AH98" s="2">
        <v>0.52820900000000004</v>
      </c>
      <c r="AI98" s="2">
        <v>6.3384999999999998</v>
      </c>
      <c r="AJ98" s="2">
        <v>0.160998</v>
      </c>
      <c r="AK98" s="309">
        <v>1.0004E-4</v>
      </c>
      <c r="AL98" s="186">
        <f>AA98+AC98</f>
        <v>160.99817000000002</v>
      </c>
      <c r="AM98" s="2">
        <v>0.17607</v>
      </c>
      <c r="AN98" s="16">
        <v>160998</v>
      </c>
      <c r="AO98" s="15">
        <f>(Z98*Z98)/2*(AE90-SIN(AE90))</f>
        <v>1248.5942972919195</v>
      </c>
      <c r="AP98" s="2">
        <v>12.485900000000001</v>
      </c>
      <c r="AQ98" s="2">
        <v>0.124859</v>
      </c>
      <c r="AR98" s="23">
        <v>1.2485899999999999E-3</v>
      </c>
      <c r="AS98" s="2">
        <v>1.9353199999999999</v>
      </c>
      <c r="AT98" s="342">
        <v>1.3439700000000001E-2</v>
      </c>
      <c r="AU98" s="31">
        <v>1.24859E-5</v>
      </c>
      <c r="AV98" s="360">
        <v>1.2485899999999999E-7</v>
      </c>
      <c r="AW98" s="385">
        <v>3.0853330824608801E-7</v>
      </c>
      <c r="AX98" s="426" t="s">
        <v>6</v>
      </c>
      <c r="AY98" s="217">
        <f t="shared" si="44"/>
        <v>0</v>
      </c>
      <c r="AZ98" s="73">
        <f t="shared" si="45"/>
        <v>9.9027550218080542E-5</v>
      </c>
      <c r="BA98" s="230">
        <f t="shared" si="46"/>
        <v>0</v>
      </c>
      <c r="BB98" s="238" t="s">
        <v>32</v>
      </c>
      <c r="BC98" s="134">
        <f t="shared" si="63"/>
        <v>0</v>
      </c>
      <c r="BD98" s="82">
        <f t="shared" si="64"/>
        <v>1.8931900060728486E-4</v>
      </c>
      <c r="BE98" s="82">
        <f t="shared" si="65"/>
        <v>1.5776603298114068E-4</v>
      </c>
      <c r="BF98" s="82">
        <f t="shared" si="66"/>
        <v>0</v>
      </c>
      <c r="BG98" s="82">
        <f t="shared" si="67"/>
        <v>0</v>
      </c>
      <c r="BH98" s="82">
        <f t="shared" si="68"/>
        <v>-1.0559126232648395E-4</v>
      </c>
      <c r="BI98" s="82">
        <f t="shared" si="69"/>
        <v>0</v>
      </c>
      <c r="BJ98" s="420">
        <f t="shared" si="70"/>
        <v>0</v>
      </c>
      <c r="BK98" s="139">
        <f t="shared" si="71"/>
        <v>-3.4417039456905357E-4</v>
      </c>
      <c r="BL98" s="80">
        <f t="shared" si="72"/>
        <v>0</v>
      </c>
      <c r="BM98" s="80">
        <f t="shared" si="73"/>
        <v>0</v>
      </c>
      <c r="BN98" s="80">
        <f t="shared" si="74"/>
        <v>0</v>
      </c>
      <c r="BO98" s="80">
        <f t="shared" si="75"/>
        <v>5.1671041481850613E-4</v>
      </c>
      <c r="BP98" s="80">
        <f t="shared" si="76"/>
        <v>7.4406422761970966E-4</v>
      </c>
      <c r="BQ98" s="80">
        <f t="shared" si="77"/>
        <v>3.4417157834561055E-4</v>
      </c>
      <c r="BR98" s="80">
        <f t="shared" si="78"/>
        <v>3.4417157835493843E-4</v>
      </c>
      <c r="BS98" s="96">
        <f t="shared" si="79"/>
        <v>3.4417157811389871E-4</v>
      </c>
    </row>
    <row r="99" spans="1:71" x14ac:dyDescent="0.25">
      <c r="A99" s="118">
        <v>88</v>
      </c>
      <c r="B99" s="1">
        <v>118.34216000000001</v>
      </c>
      <c r="C99" s="1">
        <v>22.504899999999999</v>
      </c>
      <c r="D99" s="119">
        <v>129.79025121898201</v>
      </c>
      <c r="E99" s="379" t="s">
        <v>7</v>
      </c>
      <c r="F99" s="482">
        <v>93.8943638483629</v>
      </c>
      <c r="G99" s="211" t="s">
        <v>32</v>
      </c>
      <c r="H99" s="118">
        <v>22689.200000000001</v>
      </c>
      <c r="I99" s="1">
        <v>744.39700000000005</v>
      </c>
      <c r="J99" s="1">
        <v>8932.77</v>
      </c>
      <c r="K99" s="1">
        <v>226.892</v>
      </c>
      <c r="L99" s="1">
        <v>0.140984</v>
      </c>
      <c r="M99" s="1">
        <v>226892</v>
      </c>
      <c r="N99" s="1">
        <v>248.13200000000001</v>
      </c>
      <c r="O99" s="119">
        <v>226892277</v>
      </c>
      <c r="P99" s="118">
        <v>1552324852</v>
      </c>
      <c r="Q99" s="1">
        <v>15523249</v>
      </c>
      <c r="R99" s="1">
        <v>155232</v>
      </c>
      <c r="S99" s="1">
        <v>1552.32</v>
      </c>
      <c r="T99" s="1">
        <v>2406108</v>
      </c>
      <c r="U99" s="1">
        <v>16709.099999999999</v>
      </c>
      <c r="V99" s="1">
        <v>15.523199999999999</v>
      </c>
      <c r="W99" s="1">
        <v>0.15523200000000001</v>
      </c>
      <c r="X99" s="119">
        <v>0.38358799999999998</v>
      </c>
      <c r="Y99" s="435">
        <v>7</v>
      </c>
      <c r="Z99" s="15">
        <v>88</v>
      </c>
      <c r="AA99" s="2">
        <v>118.34216000000001</v>
      </c>
      <c r="AB99" s="2">
        <v>22.504899999999999</v>
      </c>
      <c r="AC99" s="16">
        <v>129.79028</v>
      </c>
      <c r="AD99" s="35" t="s">
        <v>7</v>
      </c>
      <c r="AE99" s="476">
        <v>93.8943638483629</v>
      </c>
      <c r="AF99" s="19" t="s">
        <v>32</v>
      </c>
      <c r="AG99" s="15">
        <v>22689.200000000001</v>
      </c>
      <c r="AH99" s="2">
        <v>744.39599999999996</v>
      </c>
      <c r="AI99" s="2">
        <v>8932.75</v>
      </c>
      <c r="AJ99" s="2">
        <v>226.892</v>
      </c>
      <c r="AK99" s="2">
        <v>0.140984</v>
      </c>
      <c r="AL99" s="2">
        <v>226892</v>
      </c>
      <c r="AM99" s="186">
        <f>AA99+AC99</f>
        <v>248.13244</v>
      </c>
      <c r="AN99" s="16">
        <v>226891901</v>
      </c>
      <c r="AO99" s="15">
        <v>1552320000</v>
      </c>
      <c r="AP99" s="2">
        <v>15523200</v>
      </c>
      <c r="AQ99" s="2">
        <v>155232</v>
      </c>
      <c r="AR99" s="2">
        <f>(Z99*Z99)/2*(AE91-SIN(AE91))*0.9144*0.9144</f>
        <v>1552.3248521272735</v>
      </c>
      <c r="AS99" s="2">
        <v>2406101</v>
      </c>
      <c r="AT99" s="2">
        <v>16709</v>
      </c>
      <c r="AU99" s="2">
        <v>15.523199999999999</v>
      </c>
      <c r="AV99" s="2">
        <v>0.15523200000000001</v>
      </c>
      <c r="AW99" s="42">
        <v>0.38358700000000001</v>
      </c>
      <c r="AX99" s="426" t="s">
        <v>7</v>
      </c>
      <c r="AY99" s="217">
        <f t="shared" si="44"/>
        <v>0</v>
      </c>
      <c r="AZ99" s="73">
        <f t="shared" si="45"/>
        <v>-2.2175018027869122E-5</v>
      </c>
      <c r="BA99" s="230">
        <f t="shared" si="46"/>
        <v>0</v>
      </c>
      <c r="BB99" s="238" t="s">
        <v>32</v>
      </c>
      <c r="BC99" s="134">
        <f t="shared" si="63"/>
        <v>0</v>
      </c>
      <c r="BD99" s="82">
        <f t="shared" si="64"/>
        <v>1.3433710015771713E-4</v>
      </c>
      <c r="BE99" s="82">
        <f t="shared" si="65"/>
        <v>2.2389521704331317E-4</v>
      </c>
      <c r="BF99" s="82">
        <f t="shared" si="66"/>
        <v>0</v>
      </c>
      <c r="BG99" s="82">
        <f t="shared" si="67"/>
        <v>0</v>
      </c>
      <c r="BH99" s="82">
        <f t="shared" si="68"/>
        <v>0</v>
      </c>
      <c r="BI99" s="82">
        <f t="shared" si="69"/>
        <v>-1.7732465775033423E-4</v>
      </c>
      <c r="BJ99" s="420">
        <f t="shared" si="70"/>
        <v>1.6571768244825981E-4</v>
      </c>
      <c r="BK99" s="139">
        <f t="shared" si="71"/>
        <v>3.1256441970727684E-4</v>
      </c>
      <c r="BL99" s="80">
        <f t="shared" si="72"/>
        <v>3.1565656565656568E-4</v>
      </c>
      <c r="BM99" s="80">
        <f t="shared" si="73"/>
        <v>0</v>
      </c>
      <c r="BN99" s="80">
        <f t="shared" si="74"/>
        <v>-3.1257164162066338E-4</v>
      </c>
      <c r="BO99" s="80">
        <f t="shared" ref="BO99:BS100" si="80">(100*(T99-AS99))/AS99</f>
        <v>2.9092710572000097E-4</v>
      </c>
      <c r="BP99" s="80">
        <f t="shared" si="80"/>
        <v>5.9847986114396317E-4</v>
      </c>
      <c r="BQ99" s="80">
        <f t="shared" si="80"/>
        <v>0</v>
      </c>
      <c r="BR99" s="80">
        <f t="shared" si="80"/>
        <v>0</v>
      </c>
      <c r="BS99" s="96">
        <f t="shared" si="80"/>
        <v>2.6069705177006637E-4</v>
      </c>
    </row>
    <row r="100" spans="1:71" ht="15.75" thickBot="1" x14ac:dyDescent="0.3">
      <c r="A100" s="121">
        <v>123.2</v>
      </c>
      <c r="B100" s="55">
        <v>65.679079999999999</v>
      </c>
      <c r="C100" s="55">
        <v>4.4573999999999998</v>
      </c>
      <c r="D100" s="122">
        <v>66.482818208749293</v>
      </c>
      <c r="E100" s="380" t="s">
        <v>20</v>
      </c>
      <c r="F100" s="483">
        <v>34.354120612345199</v>
      </c>
      <c r="G100" s="212" t="s">
        <v>32</v>
      </c>
      <c r="H100" s="121">
        <v>1.3216200000000001E-2</v>
      </c>
      <c r="I100" s="329">
        <v>4.33602E-4</v>
      </c>
      <c r="J100" s="55">
        <v>5.2032199999999997E-3</v>
      </c>
      <c r="K100" s="329">
        <v>1.3216200000000001E-4</v>
      </c>
      <c r="L100" s="67">
        <v>8.2121596258319694E-8</v>
      </c>
      <c r="M100" s="66">
        <v>0.132162</v>
      </c>
      <c r="N100" s="329">
        <v>1.4453400000000001E-4</v>
      </c>
      <c r="O100" s="122">
        <v>132.16200000000001</v>
      </c>
      <c r="P100" s="446">
        <v>1.9588900000000001E-4</v>
      </c>
      <c r="Q100" s="333">
        <v>1.9588930039860498E-6</v>
      </c>
      <c r="R100" s="67">
        <v>1.9588930039860499E-8</v>
      </c>
      <c r="S100" s="79">
        <v>1.9588930039860499E-10</v>
      </c>
      <c r="T100" s="58">
        <v>3.0362902287588397E-7</v>
      </c>
      <c r="U100" s="447">
        <v>2.1085348810825298E-9</v>
      </c>
      <c r="V100" s="448">
        <v>1.9588930039860501E-12</v>
      </c>
      <c r="W100" s="449">
        <v>1.95889300398605E-14</v>
      </c>
      <c r="X100" s="450">
        <v>4.8405300300333501E-14</v>
      </c>
      <c r="Y100" s="436">
        <v>8</v>
      </c>
      <c r="Z100" s="17">
        <v>123.2</v>
      </c>
      <c r="AA100" s="9">
        <v>65.679079999999999</v>
      </c>
      <c r="AB100" s="9">
        <v>4.4573999999999998</v>
      </c>
      <c r="AC100" s="10">
        <v>66.482789999999994</v>
      </c>
      <c r="AD100" s="286" t="s">
        <v>20</v>
      </c>
      <c r="AE100" s="477">
        <v>34.354120612345199</v>
      </c>
      <c r="AF100" s="20" t="s">
        <v>32</v>
      </c>
      <c r="AG100" s="17">
        <v>1.3216200000000001E-2</v>
      </c>
      <c r="AH100" s="318">
        <v>4.33602E-4</v>
      </c>
      <c r="AI100" s="9">
        <v>5.2032299999999997E-3</v>
      </c>
      <c r="AJ100" s="37">
        <v>1.3216200000000001E-4</v>
      </c>
      <c r="AK100" s="206">
        <v>8.2121659508470496E-8</v>
      </c>
      <c r="AL100" s="9">
        <v>0.132162</v>
      </c>
      <c r="AM100" s="318">
        <v>1.4453400000000001E-4</v>
      </c>
      <c r="AN100" s="467">
        <f>AA100+AC100</f>
        <v>132.16186999999999</v>
      </c>
      <c r="AO100" s="17">
        <f>(Z100*Z100)/2*(AE92-SIN(AE92))/1000/1000</f>
        <v>1.958893003986062E-4</v>
      </c>
      <c r="AP100" s="416">
        <v>1.9588900000000001E-6</v>
      </c>
      <c r="AQ100" s="400">
        <v>1.9588899999999999E-8</v>
      </c>
      <c r="AR100" s="417">
        <v>1.95889E-10</v>
      </c>
      <c r="AS100" s="416">
        <v>3.0362855725711498E-7</v>
      </c>
      <c r="AT100" s="38">
        <v>2.1085316476188498E-9</v>
      </c>
      <c r="AU100" s="418">
        <v>1.9588899999999999E-12</v>
      </c>
      <c r="AV100" s="36">
        <v>1.9588900000000001E-14</v>
      </c>
      <c r="AW100" s="475">
        <v>4.8405226070221602E-14</v>
      </c>
      <c r="AX100" s="443" t="s">
        <v>20</v>
      </c>
      <c r="AY100" s="218">
        <f t="shared" si="44"/>
        <v>0</v>
      </c>
      <c r="AZ100" s="97">
        <f t="shared" si="45"/>
        <v>4.2430152674243641E-5</v>
      </c>
      <c r="BA100" s="231">
        <f t="shared" si="46"/>
        <v>0</v>
      </c>
      <c r="BB100" s="239" t="s">
        <v>32</v>
      </c>
      <c r="BC100" s="135">
        <f t="shared" si="63"/>
        <v>0</v>
      </c>
      <c r="BD100" s="98">
        <f t="shared" si="64"/>
        <v>0</v>
      </c>
      <c r="BE100" s="98">
        <f t="shared" si="65"/>
        <v>-1.9218831379624987E-4</v>
      </c>
      <c r="BF100" s="98">
        <f t="shared" si="66"/>
        <v>0</v>
      </c>
      <c r="BG100" s="98">
        <f t="shared" si="67"/>
        <v>-7.7020059240590804E-5</v>
      </c>
      <c r="BH100" s="98">
        <f t="shared" si="68"/>
        <v>0</v>
      </c>
      <c r="BI100" s="98">
        <f t="shared" si="69"/>
        <v>0</v>
      </c>
      <c r="BJ100" s="421">
        <f t="shared" si="70"/>
        <v>9.8364225636972359E-5</v>
      </c>
      <c r="BK100" s="140">
        <f t="shared" si="71"/>
        <v>-1.533512068191024E-4</v>
      </c>
      <c r="BL100" s="100">
        <f t="shared" si="72"/>
        <v>1.5335144136099718E-4</v>
      </c>
      <c r="BM100" s="100">
        <f t="shared" si="73"/>
        <v>1.5335144137721237E-4</v>
      </c>
      <c r="BN100" s="100">
        <f t="shared" si="74"/>
        <v>1.5335144137298967E-4</v>
      </c>
      <c r="BO100" s="100">
        <f t="shared" si="80"/>
        <v>1.5335144138018059E-4</v>
      </c>
      <c r="BP100" s="100">
        <f t="shared" si="80"/>
        <v>1.53351441683125E-4</v>
      </c>
      <c r="BQ100" s="100">
        <f t="shared" si="80"/>
        <v>1.5335144138783511E-4</v>
      </c>
      <c r="BR100" s="100">
        <f t="shared" si="80"/>
        <v>1.5335144137108243E-4</v>
      </c>
      <c r="BS100" s="102">
        <f t="shared" si="80"/>
        <v>1.53351441415625E-4</v>
      </c>
    </row>
    <row r="102" spans="1:71" ht="18.75" x14ac:dyDescent="0.3">
      <c r="A102" s="625"/>
      <c r="B102" s="625"/>
      <c r="C102" s="634">
        <v>1</v>
      </c>
      <c r="D102" s="625"/>
      <c r="E102" s="625"/>
      <c r="F102" s="625"/>
      <c r="G102" s="634">
        <v>2</v>
      </c>
      <c r="H102" s="625"/>
      <c r="I102" s="625"/>
      <c r="J102" s="625"/>
      <c r="K102" s="625"/>
      <c r="L102" s="633">
        <v>3</v>
      </c>
      <c r="M102" s="625"/>
      <c r="N102" s="625"/>
      <c r="O102" s="625"/>
      <c r="P102" s="633">
        <v>4</v>
      </c>
      <c r="Q102" s="625"/>
      <c r="R102" s="625"/>
      <c r="S102" s="633">
        <v>5</v>
      </c>
      <c r="T102" s="625"/>
      <c r="U102" s="632"/>
      <c r="V102" s="634">
        <v>6</v>
      </c>
      <c r="W102" s="632">
        <v>7</v>
      </c>
      <c r="X102" s="625"/>
      <c r="Y102" s="625"/>
      <c r="Z102" s="625"/>
      <c r="AA102" s="632">
        <v>8</v>
      </c>
      <c r="AB102" s="625"/>
      <c r="AC102" s="625"/>
      <c r="AD102" s="625"/>
    </row>
    <row r="103" spans="1:71" x14ac:dyDescent="0.25">
      <c r="A103" s="625"/>
      <c r="B103" s="625"/>
      <c r="C103" s="625"/>
      <c r="D103" s="625"/>
      <c r="E103" s="625"/>
      <c r="F103" s="625"/>
      <c r="G103" s="625"/>
      <c r="H103" s="625"/>
      <c r="I103" s="625"/>
      <c r="J103" s="625"/>
      <c r="K103" s="625"/>
      <c r="L103" s="625"/>
      <c r="M103" s="625"/>
      <c r="N103" s="625"/>
      <c r="O103" s="625"/>
      <c r="P103" s="625"/>
      <c r="Q103" s="625"/>
      <c r="R103" s="625"/>
      <c r="S103" s="625"/>
      <c r="T103" s="625"/>
      <c r="U103" s="625"/>
      <c r="V103" s="625"/>
      <c r="W103" s="625"/>
      <c r="X103" s="625"/>
      <c r="Y103" s="625"/>
      <c r="Z103" s="625"/>
      <c r="AA103" s="625"/>
      <c r="AB103" s="625"/>
      <c r="AC103" s="625"/>
      <c r="AD103" s="625"/>
    </row>
    <row r="104" spans="1:71" x14ac:dyDescent="0.25">
      <c r="A104" s="625"/>
      <c r="B104" s="625"/>
      <c r="C104" s="625"/>
      <c r="D104" s="625"/>
      <c r="E104" s="625"/>
      <c r="F104" s="625"/>
      <c r="G104" s="625"/>
      <c r="H104" s="625"/>
      <c r="I104" s="625"/>
      <c r="J104" s="625"/>
      <c r="K104" s="625"/>
      <c r="L104" s="625"/>
      <c r="M104" s="625"/>
      <c r="N104" s="625"/>
      <c r="O104" s="625"/>
      <c r="P104" s="625"/>
      <c r="Q104" s="625"/>
      <c r="R104" s="625"/>
      <c r="S104" s="625"/>
      <c r="T104" s="625"/>
      <c r="U104" s="625"/>
      <c r="V104" s="625"/>
      <c r="W104" s="625"/>
      <c r="X104" s="625"/>
      <c r="Y104" s="625"/>
      <c r="Z104" s="625"/>
      <c r="AA104" s="625"/>
      <c r="AB104" s="625"/>
      <c r="AC104" s="625"/>
      <c r="AD104" s="625"/>
    </row>
    <row r="105" spans="1:71" x14ac:dyDescent="0.25">
      <c r="A105" s="625"/>
      <c r="B105" s="625"/>
      <c r="C105" s="625"/>
      <c r="D105" s="625"/>
      <c r="E105" s="625"/>
      <c r="F105" s="625"/>
      <c r="G105" s="625"/>
      <c r="H105" s="625"/>
      <c r="I105" s="625"/>
      <c r="J105" s="625"/>
      <c r="K105" s="625"/>
      <c r="L105" s="625"/>
      <c r="M105" s="625"/>
      <c r="N105" s="625"/>
      <c r="O105" s="625"/>
      <c r="P105" s="625"/>
      <c r="Q105" s="625"/>
      <c r="R105" s="625"/>
      <c r="S105" s="625"/>
      <c r="T105" s="625"/>
      <c r="U105" s="625"/>
      <c r="V105" s="625"/>
      <c r="W105" s="625"/>
      <c r="X105" s="625"/>
      <c r="Y105" s="625"/>
      <c r="Z105" s="625"/>
      <c r="AA105" s="625"/>
      <c r="AB105" s="625"/>
      <c r="AC105" s="625"/>
      <c r="AD105" s="625"/>
    </row>
    <row r="106" spans="1:71" x14ac:dyDescent="0.25">
      <c r="A106" s="625"/>
      <c r="B106" s="625"/>
      <c r="C106" s="625"/>
      <c r="D106" s="625"/>
      <c r="E106" s="625"/>
      <c r="F106" s="625"/>
      <c r="G106" s="625"/>
      <c r="H106" s="625"/>
      <c r="I106" s="625"/>
      <c r="J106" s="625"/>
      <c r="K106" s="625"/>
      <c r="L106" s="625"/>
      <c r="M106" s="625"/>
      <c r="N106" s="625"/>
      <c r="O106" s="625"/>
      <c r="P106" s="625"/>
      <c r="Q106" s="625"/>
      <c r="R106" s="625"/>
      <c r="S106" s="625"/>
      <c r="T106" s="625"/>
      <c r="U106" s="625"/>
      <c r="V106" s="625"/>
      <c r="W106" s="625"/>
      <c r="X106" s="625"/>
      <c r="Y106" s="625"/>
      <c r="Z106" s="625"/>
      <c r="AA106" s="625"/>
      <c r="AB106" s="625"/>
      <c r="AC106" s="625"/>
      <c r="AD106" s="625"/>
    </row>
    <row r="107" spans="1:71" x14ac:dyDescent="0.25">
      <c r="A107" s="625"/>
      <c r="B107" s="625"/>
      <c r="C107" s="625"/>
      <c r="D107" s="625"/>
      <c r="E107" s="625"/>
      <c r="F107" s="625"/>
      <c r="G107" s="625"/>
      <c r="H107" s="625"/>
      <c r="I107" s="625"/>
      <c r="J107" s="625"/>
      <c r="K107" s="625"/>
      <c r="L107" s="625"/>
      <c r="M107" s="625"/>
      <c r="N107" s="625"/>
      <c r="O107" s="625"/>
      <c r="P107" s="625"/>
      <c r="Q107" s="625"/>
      <c r="R107" s="625"/>
      <c r="S107" s="625"/>
      <c r="T107" s="625"/>
      <c r="U107" s="625"/>
      <c r="V107" s="625"/>
      <c r="W107" s="625"/>
      <c r="X107" s="625"/>
      <c r="Y107" s="625"/>
      <c r="Z107" s="625"/>
      <c r="AA107" s="625"/>
      <c r="AB107" s="625"/>
      <c r="AC107" s="625"/>
      <c r="AD107" s="625"/>
    </row>
    <row r="108" spans="1:71" x14ac:dyDescent="0.25">
      <c r="A108" s="625"/>
      <c r="B108" s="625"/>
      <c r="C108" s="625"/>
      <c r="D108" s="625"/>
      <c r="E108" s="625"/>
      <c r="F108" s="625"/>
      <c r="G108" s="625"/>
      <c r="H108" s="625"/>
      <c r="I108" s="625"/>
      <c r="J108" s="625"/>
      <c r="K108" s="625"/>
      <c r="L108" s="625"/>
      <c r="M108" s="625"/>
      <c r="N108" s="625"/>
      <c r="O108" s="625"/>
      <c r="P108" s="625"/>
      <c r="Q108" s="625"/>
      <c r="R108" s="625"/>
      <c r="S108" s="625"/>
      <c r="T108" s="625"/>
      <c r="U108" s="625"/>
      <c r="V108" s="625"/>
      <c r="W108" s="625"/>
      <c r="X108" s="625"/>
      <c r="Y108" s="625"/>
      <c r="Z108" s="625"/>
      <c r="AA108" s="625"/>
      <c r="AB108" s="625"/>
      <c r="AC108" s="625"/>
      <c r="AD108" s="625"/>
    </row>
    <row r="109" spans="1:71" x14ac:dyDescent="0.25">
      <c r="A109" s="625"/>
      <c r="B109" s="625"/>
      <c r="C109" s="625"/>
      <c r="D109" s="625"/>
      <c r="E109" s="625"/>
      <c r="F109" s="625"/>
      <c r="G109" s="625"/>
      <c r="H109" s="625"/>
      <c r="I109" s="625"/>
      <c r="J109" s="625"/>
      <c r="K109" s="625"/>
      <c r="L109" s="625"/>
      <c r="M109" s="625"/>
      <c r="N109" s="625"/>
      <c r="O109" s="625"/>
      <c r="P109" s="625"/>
      <c r="Q109" s="625"/>
      <c r="R109" s="625"/>
      <c r="S109" s="625"/>
      <c r="T109" s="625"/>
      <c r="U109" s="625"/>
      <c r="V109" s="625"/>
      <c r="W109" s="625"/>
      <c r="X109" s="625"/>
      <c r="Y109" s="625"/>
      <c r="Z109" s="625"/>
      <c r="AA109" s="625"/>
      <c r="AB109" s="625"/>
      <c r="AC109" s="625"/>
      <c r="AD109" s="625"/>
    </row>
    <row r="110" spans="1:71" x14ac:dyDescent="0.25">
      <c r="A110" s="625"/>
      <c r="B110" s="625"/>
      <c r="C110" s="625"/>
      <c r="D110" s="625"/>
      <c r="E110" s="625"/>
      <c r="F110" s="625"/>
      <c r="G110" s="625"/>
      <c r="H110" s="625"/>
      <c r="I110" s="625"/>
      <c r="J110" s="625"/>
      <c r="K110" s="625"/>
      <c r="L110" s="625"/>
      <c r="M110" s="625"/>
      <c r="N110" s="625"/>
      <c r="O110" s="625"/>
      <c r="P110" s="625"/>
      <c r="Q110" s="625"/>
      <c r="R110" s="625"/>
      <c r="S110" s="625"/>
      <c r="T110" s="625"/>
      <c r="U110" s="625"/>
      <c r="V110" s="625"/>
      <c r="W110" s="625"/>
      <c r="X110" s="625"/>
      <c r="Y110" s="625"/>
      <c r="Z110" s="625"/>
      <c r="AA110" s="625"/>
      <c r="AB110" s="625"/>
      <c r="AC110" s="625"/>
      <c r="AD110" s="625"/>
    </row>
    <row r="111" spans="1:71" x14ac:dyDescent="0.25">
      <c r="A111" s="625"/>
      <c r="B111" s="625"/>
      <c r="C111" s="625"/>
      <c r="D111" s="625"/>
      <c r="E111" s="625"/>
      <c r="F111" s="625"/>
      <c r="G111" s="625"/>
      <c r="H111" s="625"/>
      <c r="I111" s="625"/>
      <c r="J111" s="625"/>
      <c r="K111" s="625"/>
      <c r="L111" s="625"/>
      <c r="M111" s="625"/>
      <c r="N111" s="625"/>
      <c r="O111" s="625"/>
      <c r="P111" s="625"/>
      <c r="Q111" s="625"/>
      <c r="R111" s="625"/>
      <c r="S111" s="625"/>
      <c r="T111" s="625"/>
      <c r="U111" s="625"/>
      <c r="V111" s="625"/>
      <c r="W111" s="625"/>
      <c r="X111" s="625"/>
      <c r="Y111" s="625"/>
      <c r="Z111" s="625"/>
      <c r="AA111" s="625"/>
      <c r="AB111" s="625"/>
      <c r="AC111" s="625"/>
      <c r="AD111" s="625"/>
    </row>
    <row r="112" spans="1:71" x14ac:dyDescent="0.25">
      <c r="A112" s="625"/>
      <c r="B112" s="625"/>
      <c r="C112" s="625"/>
      <c r="D112" s="625"/>
      <c r="E112" s="625"/>
      <c r="F112" s="625"/>
      <c r="G112" s="625"/>
      <c r="H112" s="625"/>
      <c r="I112" s="625"/>
      <c r="J112" s="625"/>
      <c r="K112" s="625"/>
      <c r="L112" s="625"/>
      <c r="M112" s="625"/>
      <c r="N112" s="625"/>
      <c r="O112" s="625"/>
      <c r="P112" s="625"/>
      <c r="Q112" s="625"/>
      <c r="R112" s="625"/>
      <c r="S112" s="625"/>
      <c r="T112" s="625"/>
      <c r="U112" s="625"/>
      <c r="V112" s="625"/>
      <c r="W112" s="625"/>
      <c r="X112" s="625"/>
      <c r="Y112" s="625"/>
      <c r="Z112" s="625"/>
      <c r="AA112" s="625"/>
      <c r="AB112" s="625"/>
      <c r="AC112" s="625"/>
      <c r="AD112" s="625"/>
    </row>
    <row r="113" spans="1:71" x14ac:dyDescent="0.25">
      <c r="A113" s="625"/>
      <c r="B113" s="625"/>
      <c r="C113" s="625"/>
      <c r="D113" s="625"/>
      <c r="E113" s="625"/>
      <c r="F113" s="625"/>
      <c r="G113" s="625"/>
      <c r="H113" s="625"/>
      <c r="I113" s="625"/>
      <c r="J113" s="625"/>
      <c r="K113" s="625"/>
      <c r="L113" s="625"/>
      <c r="M113" s="625"/>
      <c r="N113" s="625"/>
      <c r="O113" s="625"/>
      <c r="P113" s="625"/>
      <c r="Q113" s="625"/>
      <c r="R113" s="625"/>
      <c r="S113" s="625"/>
      <c r="T113" s="625"/>
      <c r="U113" s="625"/>
      <c r="V113" s="625"/>
      <c r="W113" s="625"/>
      <c r="X113" s="625"/>
      <c r="Y113" s="625"/>
      <c r="Z113" s="625"/>
      <c r="AA113" s="625"/>
      <c r="AB113" s="625"/>
      <c r="AC113" s="625"/>
      <c r="AD113" s="625"/>
    </row>
    <row r="114" spans="1:71" x14ac:dyDescent="0.25">
      <c r="A114" s="625"/>
      <c r="B114" s="625"/>
      <c r="C114" s="625"/>
      <c r="D114" s="625"/>
      <c r="E114" s="625"/>
      <c r="F114" s="625"/>
      <c r="G114" s="625"/>
      <c r="H114" s="625"/>
      <c r="I114" s="625"/>
      <c r="J114" s="625"/>
      <c r="K114" s="625"/>
      <c r="L114" s="625"/>
      <c r="M114" s="625"/>
      <c r="N114" s="625"/>
      <c r="O114" s="625"/>
      <c r="P114" s="625"/>
      <c r="Q114" s="625"/>
      <c r="R114" s="625"/>
      <c r="S114" s="625"/>
      <c r="T114" s="625"/>
      <c r="U114" s="625"/>
      <c r="V114" s="625"/>
      <c r="W114" s="625"/>
      <c r="X114" s="625"/>
      <c r="Y114" s="625"/>
      <c r="Z114" s="625"/>
      <c r="AA114" s="625"/>
      <c r="AB114" s="625"/>
      <c r="AC114" s="625"/>
      <c r="AD114" s="625"/>
    </row>
    <row r="115" spans="1:71" x14ac:dyDescent="0.25">
      <c r="A115" s="625"/>
      <c r="B115" s="625"/>
      <c r="C115" s="625"/>
      <c r="D115" s="625"/>
      <c r="E115" s="625"/>
      <c r="F115" s="625"/>
      <c r="G115" s="625"/>
      <c r="H115" s="625"/>
      <c r="I115" s="625"/>
      <c r="J115" s="625"/>
      <c r="K115" s="625"/>
      <c r="L115" s="625"/>
      <c r="M115" s="625"/>
      <c r="N115" s="625"/>
      <c r="O115" s="625"/>
      <c r="P115" s="625"/>
      <c r="Q115" s="625"/>
      <c r="R115" s="625"/>
      <c r="S115" s="625"/>
      <c r="T115" s="625"/>
      <c r="U115" s="625"/>
      <c r="V115" s="625"/>
      <c r="W115" s="625"/>
      <c r="X115" s="625"/>
      <c r="Y115" s="625"/>
      <c r="Z115" s="625"/>
      <c r="AA115" s="625"/>
      <c r="AB115" s="625"/>
      <c r="AC115" s="625"/>
      <c r="AD115" s="625"/>
    </row>
    <row r="116" spans="1:71" x14ac:dyDescent="0.25">
      <c r="A116" s="625"/>
      <c r="B116" s="625"/>
      <c r="C116" s="625"/>
      <c r="D116" s="625"/>
      <c r="E116" s="625"/>
      <c r="F116" s="625"/>
      <c r="G116" s="625"/>
      <c r="H116" s="625"/>
      <c r="I116" s="625"/>
      <c r="J116" s="625"/>
      <c r="K116" s="625"/>
      <c r="L116" s="625"/>
      <c r="M116" s="625"/>
      <c r="N116" s="625"/>
      <c r="O116" s="625"/>
      <c r="P116" s="625"/>
      <c r="Q116" s="625"/>
      <c r="R116" s="625"/>
      <c r="S116" s="625"/>
      <c r="T116" s="625"/>
      <c r="U116" s="625"/>
      <c r="V116" s="625"/>
      <c r="W116" s="625"/>
      <c r="X116" s="625"/>
      <c r="Y116" s="625"/>
      <c r="Z116" s="625"/>
      <c r="AA116" s="625"/>
      <c r="AB116" s="625"/>
      <c r="AC116" s="625"/>
      <c r="AD116" s="625"/>
    </row>
    <row r="117" spans="1:71" x14ac:dyDescent="0.25">
      <c r="A117" s="625"/>
      <c r="B117" s="625"/>
      <c r="C117" s="625"/>
      <c r="D117" s="625"/>
      <c r="E117" s="625"/>
      <c r="F117" s="625"/>
      <c r="G117" s="625"/>
      <c r="H117" s="625"/>
      <c r="I117" s="625"/>
      <c r="J117" s="625"/>
      <c r="K117" s="625"/>
      <c r="L117" s="625"/>
      <c r="M117" s="625"/>
      <c r="N117" s="625"/>
      <c r="O117" s="625"/>
      <c r="P117" s="625"/>
      <c r="Q117" s="625"/>
      <c r="R117" s="625"/>
      <c r="S117" s="625"/>
      <c r="T117" s="625"/>
      <c r="U117" s="625"/>
      <c r="V117" s="625"/>
      <c r="W117" s="625"/>
      <c r="X117" s="625"/>
      <c r="Y117" s="625"/>
      <c r="Z117" s="625"/>
      <c r="AA117" s="625"/>
      <c r="AB117" s="625"/>
      <c r="AC117" s="625"/>
      <c r="AD117" s="625"/>
    </row>
    <row r="118" spans="1:71" x14ac:dyDescent="0.25">
      <c r="A118" s="625"/>
      <c r="B118" s="625"/>
      <c r="C118" s="625"/>
      <c r="D118" s="625"/>
      <c r="E118" s="625"/>
      <c r="F118" s="625"/>
      <c r="G118" s="625"/>
      <c r="H118" s="625"/>
      <c r="I118" s="625"/>
      <c r="J118" s="625"/>
      <c r="K118" s="625"/>
      <c r="L118" s="625"/>
      <c r="M118" s="625"/>
      <c r="N118" s="625"/>
      <c r="O118" s="625"/>
      <c r="P118" s="625"/>
      <c r="Q118" s="625"/>
      <c r="R118" s="625"/>
      <c r="S118" s="625"/>
      <c r="T118" s="625"/>
      <c r="U118" s="625"/>
      <c r="V118" s="625"/>
      <c r="W118" s="625"/>
      <c r="X118" s="625"/>
      <c r="Y118" s="625"/>
      <c r="Z118" s="625"/>
      <c r="AA118" s="625"/>
      <c r="AB118" s="625"/>
      <c r="AC118" s="625"/>
      <c r="AD118" s="625"/>
    </row>
    <row r="119" spans="1:71" x14ac:dyDescent="0.25">
      <c r="A119" s="625"/>
      <c r="B119" s="625"/>
      <c r="C119" s="625"/>
      <c r="D119" s="625"/>
      <c r="E119" s="625"/>
      <c r="F119" s="625"/>
      <c r="G119" s="625"/>
      <c r="H119" s="625"/>
      <c r="I119" s="625"/>
      <c r="J119" s="625"/>
      <c r="K119" s="625"/>
      <c r="L119" s="625"/>
      <c r="M119" s="625"/>
      <c r="N119" s="625"/>
      <c r="O119" s="625"/>
      <c r="P119" s="625"/>
      <c r="Q119" s="625"/>
      <c r="R119" s="625"/>
      <c r="S119" s="625"/>
      <c r="T119" s="625"/>
      <c r="U119" s="625"/>
      <c r="V119" s="625"/>
      <c r="W119" s="625"/>
      <c r="X119" s="625"/>
      <c r="Y119" s="625"/>
      <c r="Z119" s="625"/>
      <c r="AA119" s="625"/>
      <c r="AB119" s="625"/>
      <c r="AC119" s="625"/>
      <c r="AD119" s="625"/>
    </row>
    <row r="120" spans="1:71" x14ac:dyDescent="0.25">
      <c r="A120" s="625"/>
      <c r="B120" s="625"/>
      <c r="C120" s="625"/>
      <c r="D120" s="625"/>
      <c r="E120" s="625"/>
      <c r="F120" s="625"/>
      <c r="G120" s="625"/>
      <c r="H120" s="625"/>
      <c r="I120" s="625"/>
      <c r="J120" s="625"/>
      <c r="K120" s="625"/>
      <c r="L120" s="625"/>
      <c r="M120" s="625"/>
      <c r="N120" s="625"/>
      <c r="O120" s="625"/>
      <c r="P120" s="625"/>
      <c r="Q120" s="625"/>
      <c r="R120" s="625"/>
      <c r="S120" s="625"/>
      <c r="T120" s="625"/>
      <c r="U120" s="625"/>
      <c r="V120" s="625"/>
      <c r="W120" s="625"/>
      <c r="X120" s="625"/>
      <c r="Y120" s="625"/>
      <c r="Z120" s="625"/>
      <c r="AA120" s="625"/>
      <c r="AB120" s="625"/>
      <c r="AC120" s="625"/>
      <c r="AD120" s="625"/>
    </row>
    <row r="121" spans="1:71" x14ac:dyDescent="0.25">
      <c r="A121" s="625"/>
      <c r="B121" s="625"/>
      <c r="C121" s="625"/>
      <c r="D121" s="625"/>
      <c r="E121" s="625"/>
      <c r="F121" s="625"/>
      <c r="G121" s="625"/>
      <c r="H121" s="625"/>
      <c r="I121" s="625"/>
      <c r="J121" s="625"/>
      <c r="K121" s="625"/>
      <c r="L121" s="625"/>
      <c r="M121" s="625"/>
      <c r="N121" s="625"/>
      <c r="O121" s="625"/>
      <c r="P121" s="625"/>
      <c r="Q121" s="625"/>
      <c r="R121" s="625"/>
      <c r="S121" s="625"/>
      <c r="T121" s="625"/>
      <c r="U121" s="625"/>
      <c r="V121" s="625"/>
      <c r="W121" s="625"/>
      <c r="X121" s="625"/>
      <c r="Y121" s="625"/>
      <c r="Z121" s="625"/>
      <c r="AA121" s="625"/>
      <c r="AB121" s="625"/>
      <c r="AC121" s="625"/>
      <c r="AD121" s="625"/>
    </row>
    <row r="122" spans="1:71" x14ac:dyDescent="0.25">
      <c r="A122" s="625"/>
      <c r="B122" s="625"/>
      <c r="C122" s="625"/>
      <c r="D122" s="625"/>
      <c r="E122" s="625"/>
      <c r="F122" s="625"/>
      <c r="G122" s="625"/>
      <c r="H122" s="625"/>
      <c r="I122" s="625"/>
      <c r="J122" s="625"/>
      <c r="K122" s="625"/>
      <c r="L122" s="625"/>
      <c r="M122" s="625"/>
      <c r="N122" s="625"/>
      <c r="O122" s="625"/>
      <c r="P122" s="625"/>
      <c r="Q122" s="625"/>
      <c r="R122" s="625"/>
      <c r="S122" s="625"/>
      <c r="T122" s="625"/>
      <c r="U122" s="625"/>
      <c r="V122" s="625"/>
      <c r="W122" s="625"/>
      <c r="X122" s="625"/>
      <c r="Y122" s="625"/>
      <c r="Z122" s="625"/>
      <c r="AA122" s="625"/>
      <c r="AB122" s="625"/>
      <c r="AC122" s="625"/>
      <c r="AD122" s="625"/>
    </row>
    <row r="123" spans="1:71" ht="15.75" thickBot="1" x14ac:dyDescent="0.3"/>
    <row r="124" spans="1:71" ht="14.25" customHeight="1" thickBot="1" x14ac:dyDescent="0.3">
      <c r="A124" s="915" t="s">
        <v>68</v>
      </c>
      <c r="B124" s="916"/>
      <c r="C124" s="916"/>
      <c r="D124" s="916"/>
      <c r="E124" s="916"/>
      <c r="F124" s="916"/>
      <c r="G124" s="931"/>
      <c r="H124" s="917" t="s">
        <v>1</v>
      </c>
      <c r="I124" s="902"/>
      <c r="J124" s="902"/>
      <c r="K124" s="902"/>
      <c r="L124" s="902"/>
      <c r="M124" s="902"/>
      <c r="N124" s="902"/>
      <c r="O124" s="903"/>
      <c r="P124" s="917" t="s">
        <v>0</v>
      </c>
      <c r="Q124" s="902"/>
      <c r="R124" s="902"/>
      <c r="S124" s="902"/>
      <c r="T124" s="902"/>
      <c r="U124" s="902"/>
      <c r="V124" s="902"/>
      <c r="W124" s="902"/>
      <c r="X124" s="903"/>
      <c r="Y124" s="918"/>
      <c r="Z124" s="919"/>
      <c r="AA124" s="919"/>
      <c r="AB124" s="919"/>
      <c r="AC124" s="919"/>
      <c r="AD124" s="919"/>
      <c r="AE124" s="919"/>
      <c r="AF124" s="932"/>
      <c r="AG124" s="888" t="s">
        <v>81</v>
      </c>
      <c r="AH124" s="889"/>
      <c r="AI124" s="889"/>
      <c r="AJ124" s="889"/>
      <c r="AK124" s="889"/>
      <c r="AL124" s="889"/>
      <c r="AM124" s="889"/>
      <c r="AN124" s="890"/>
      <c r="AO124" s="888" t="s">
        <v>83</v>
      </c>
      <c r="AP124" s="902"/>
      <c r="AQ124" s="902"/>
      <c r="AR124" s="902"/>
      <c r="AS124" s="902"/>
      <c r="AT124" s="902"/>
      <c r="AU124" s="902"/>
      <c r="AV124" s="902"/>
      <c r="AW124" s="903"/>
      <c r="AX124" s="900"/>
      <c r="AY124" s="900"/>
      <c r="AZ124" s="900"/>
      <c r="BA124" s="900"/>
      <c r="BB124" s="928"/>
      <c r="BC124" s="901" t="s">
        <v>1</v>
      </c>
      <c r="BD124" s="902"/>
      <c r="BE124" s="902"/>
      <c r="BF124" s="902"/>
      <c r="BG124" s="902"/>
      <c r="BH124" s="902"/>
      <c r="BI124" s="902"/>
      <c r="BJ124" s="903"/>
      <c r="BK124" s="901" t="s">
        <v>0</v>
      </c>
      <c r="BL124" s="902"/>
      <c r="BM124" s="902"/>
      <c r="BN124" s="902"/>
      <c r="BO124" s="902"/>
      <c r="BP124" s="902"/>
      <c r="BQ124" s="902"/>
      <c r="BR124" s="902"/>
      <c r="BS124" s="903"/>
    </row>
    <row r="125" spans="1:71" ht="15" customHeight="1" thickBot="1" x14ac:dyDescent="0.3">
      <c r="A125" s="907" t="s">
        <v>58</v>
      </c>
      <c r="B125" s="909" t="s">
        <v>63</v>
      </c>
      <c r="C125" s="909" t="s">
        <v>64</v>
      </c>
      <c r="D125" s="909" t="s">
        <v>82</v>
      </c>
      <c r="E125" s="911" t="s">
        <v>15</v>
      </c>
      <c r="F125" s="909" t="s">
        <v>16</v>
      </c>
      <c r="G125" s="929" t="s">
        <v>19</v>
      </c>
      <c r="H125" s="906"/>
      <c r="I125" s="904"/>
      <c r="J125" s="904"/>
      <c r="K125" s="904"/>
      <c r="L125" s="904"/>
      <c r="M125" s="904"/>
      <c r="N125" s="904"/>
      <c r="O125" s="905"/>
      <c r="P125" s="906"/>
      <c r="Q125" s="904"/>
      <c r="R125" s="904"/>
      <c r="S125" s="904"/>
      <c r="T125" s="904"/>
      <c r="U125" s="904"/>
      <c r="V125" s="904"/>
      <c r="W125" s="904"/>
      <c r="X125" s="905"/>
      <c r="Y125" s="912" t="s">
        <v>40</v>
      </c>
      <c r="Z125" s="914" t="s">
        <v>58</v>
      </c>
      <c r="AA125" s="914" t="s">
        <v>63</v>
      </c>
      <c r="AB125" s="914" t="s">
        <v>64</v>
      </c>
      <c r="AC125" s="914" t="s">
        <v>82</v>
      </c>
      <c r="AD125" s="912" t="s">
        <v>41</v>
      </c>
      <c r="AE125" s="914" t="s">
        <v>16</v>
      </c>
      <c r="AF125" s="912" t="s">
        <v>19</v>
      </c>
      <c r="AG125" s="891"/>
      <c r="AH125" s="892"/>
      <c r="AI125" s="892"/>
      <c r="AJ125" s="892"/>
      <c r="AK125" s="892"/>
      <c r="AL125" s="892"/>
      <c r="AM125" s="892"/>
      <c r="AN125" s="893"/>
      <c r="AO125" s="906"/>
      <c r="AP125" s="904"/>
      <c r="AQ125" s="904"/>
      <c r="AR125" s="904"/>
      <c r="AS125" s="904"/>
      <c r="AT125" s="904"/>
      <c r="AU125" s="904"/>
      <c r="AV125" s="904"/>
      <c r="AW125" s="905"/>
      <c r="AX125" s="897" t="s">
        <v>15</v>
      </c>
      <c r="AY125" s="899" t="s">
        <v>63</v>
      </c>
      <c r="AZ125" s="899" t="s">
        <v>65</v>
      </c>
      <c r="BA125" s="899" t="s">
        <v>16</v>
      </c>
      <c r="BB125" s="897" t="s">
        <v>19</v>
      </c>
      <c r="BC125" s="904"/>
      <c r="BD125" s="904"/>
      <c r="BE125" s="904"/>
      <c r="BF125" s="904"/>
      <c r="BG125" s="904"/>
      <c r="BH125" s="904"/>
      <c r="BI125" s="904"/>
      <c r="BJ125" s="905"/>
      <c r="BK125" s="906"/>
      <c r="BL125" s="904"/>
      <c r="BM125" s="904"/>
      <c r="BN125" s="904"/>
      <c r="BO125" s="904"/>
      <c r="BP125" s="904"/>
      <c r="BQ125" s="904"/>
      <c r="BR125" s="904"/>
      <c r="BS125" s="905"/>
    </row>
    <row r="126" spans="1:71" ht="15.75" thickBot="1" x14ac:dyDescent="0.3">
      <c r="A126" s="908"/>
      <c r="B126" s="910"/>
      <c r="C126" s="910"/>
      <c r="D126" s="910"/>
      <c r="E126" s="910"/>
      <c r="F126" s="910"/>
      <c r="G126" s="936"/>
      <c r="H126" s="103" t="s">
        <v>9</v>
      </c>
      <c r="I126" s="104" t="s">
        <v>5</v>
      </c>
      <c r="J126" s="104" t="s">
        <v>8</v>
      </c>
      <c r="K126" s="104" t="s">
        <v>4</v>
      </c>
      <c r="L126" s="104" t="s">
        <v>10</v>
      </c>
      <c r="M126" s="104" t="s">
        <v>6</v>
      </c>
      <c r="N126" s="104" t="s">
        <v>7</v>
      </c>
      <c r="O126" s="105" t="s">
        <v>20</v>
      </c>
      <c r="P126" s="103" t="s">
        <v>22</v>
      </c>
      <c r="Q126" s="104" t="s">
        <v>23</v>
      </c>
      <c r="R126" s="104" t="s">
        <v>24</v>
      </c>
      <c r="S126" s="104" t="s">
        <v>25</v>
      </c>
      <c r="T126" s="104" t="s">
        <v>26</v>
      </c>
      <c r="U126" s="104" t="s">
        <v>27</v>
      </c>
      <c r="V126" s="104" t="s">
        <v>28</v>
      </c>
      <c r="W126" s="104" t="s">
        <v>29</v>
      </c>
      <c r="X126" s="105" t="s">
        <v>30</v>
      </c>
      <c r="Y126" s="913"/>
      <c r="Z126" s="913"/>
      <c r="AA126" s="913"/>
      <c r="AB126" s="913"/>
      <c r="AC126" s="913"/>
      <c r="AD126" s="913"/>
      <c r="AE126" s="913"/>
      <c r="AF126" s="913"/>
      <c r="AG126" s="109" t="s">
        <v>9</v>
      </c>
      <c r="AH126" s="110" t="s">
        <v>5</v>
      </c>
      <c r="AI126" s="110" t="s">
        <v>8</v>
      </c>
      <c r="AJ126" s="110" t="s">
        <v>4</v>
      </c>
      <c r="AK126" s="110" t="s">
        <v>10</v>
      </c>
      <c r="AL126" s="110" t="s">
        <v>6</v>
      </c>
      <c r="AM126" s="110" t="s">
        <v>7</v>
      </c>
      <c r="AN126" s="111" t="s">
        <v>20</v>
      </c>
      <c r="AO126" s="106" t="s">
        <v>22</v>
      </c>
      <c r="AP126" s="107" t="s">
        <v>23</v>
      </c>
      <c r="AQ126" s="107" t="s">
        <v>24</v>
      </c>
      <c r="AR126" s="107" t="s">
        <v>25</v>
      </c>
      <c r="AS126" s="107" t="s">
        <v>26</v>
      </c>
      <c r="AT126" s="107" t="s">
        <v>27</v>
      </c>
      <c r="AU126" s="107" t="s">
        <v>28</v>
      </c>
      <c r="AV126" s="107" t="s">
        <v>29</v>
      </c>
      <c r="AW126" s="108" t="s">
        <v>30</v>
      </c>
      <c r="AX126" s="898"/>
      <c r="AY126" s="920"/>
      <c r="AZ126" s="920"/>
      <c r="BA126" s="920"/>
      <c r="BB126" s="937"/>
      <c r="BC126" s="132" t="s">
        <v>9</v>
      </c>
      <c r="BD126" s="132" t="s">
        <v>5</v>
      </c>
      <c r="BE126" s="132" t="s">
        <v>8</v>
      </c>
      <c r="BF126" s="132" t="s">
        <v>4</v>
      </c>
      <c r="BG126" s="132" t="s">
        <v>10</v>
      </c>
      <c r="BH126" s="132" t="s">
        <v>6</v>
      </c>
      <c r="BI126" s="132" t="s">
        <v>7</v>
      </c>
      <c r="BJ126" s="132" t="s">
        <v>20</v>
      </c>
      <c r="BK126" s="131" t="s">
        <v>22</v>
      </c>
      <c r="BL126" s="131" t="s">
        <v>23</v>
      </c>
      <c r="BM126" s="131" t="s">
        <v>24</v>
      </c>
      <c r="BN126" s="131" t="s">
        <v>25</v>
      </c>
      <c r="BO126" s="131" t="s">
        <v>26</v>
      </c>
      <c r="BP126" s="131" t="s">
        <v>27</v>
      </c>
      <c r="BQ126" s="131" t="s">
        <v>28</v>
      </c>
      <c r="BR126" s="131" t="s">
        <v>29</v>
      </c>
      <c r="BS126" s="132" t="s">
        <v>30</v>
      </c>
    </row>
    <row r="127" spans="1:71" x14ac:dyDescent="0.25">
      <c r="A127" s="57">
        <v>122.07</v>
      </c>
      <c r="B127" s="57">
        <v>96.776030090100306</v>
      </c>
      <c r="C127" s="57">
        <v>10</v>
      </c>
      <c r="D127" s="452">
        <v>99.508416999409306</v>
      </c>
      <c r="E127" s="210" t="s">
        <v>9</v>
      </c>
      <c r="F127" s="401">
        <v>46.706089293798698</v>
      </c>
      <c r="G127" s="210" t="s">
        <v>21</v>
      </c>
      <c r="H127" s="114">
        <v>196.28399999999999</v>
      </c>
      <c r="I127" s="115">
        <v>6.4397799999999998</v>
      </c>
      <c r="J127" s="115">
        <v>77.277299999999997</v>
      </c>
      <c r="K127" s="115">
        <v>1.9628399999999999</v>
      </c>
      <c r="L127" s="311">
        <v>1.21966E-3</v>
      </c>
      <c r="M127" s="115">
        <v>1962.84</v>
      </c>
      <c r="N127" s="115">
        <v>2.1465900000000002</v>
      </c>
      <c r="O127" s="117">
        <v>1962844</v>
      </c>
      <c r="P127" s="114">
        <v>65065.1</v>
      </c>
      <c r="Q127" s="115">
        <v>650.65099999999995</v>
      </c>
      <c r="R127" s="115">
        <v>6.5065099999999996</v>
      </c>
      <c r="S127" s="115">
        <v>6.5065100000000001E-2</v>
      </c>
      <c r="T127" s="115">
        <v>100.851</v>
      </c>
      <c r="U127" s="115">
        <v>0.70035499999999995</v>
      </c>
      <c r="V127" s="345">
        <v>6.5065100000000003E-4</v>
      </c>
      <c r="W127" s="123">
        <v>6.5065138546017703E-6</v>
      </c>
      <c r="X127" s="314">
        <v>1.6077945880627701E-5</v>
      </c>
      <c r="Y127" s="462">
        <v>1</v>
      </c>
      <c r="Z127" s="12">
        <v>122.07</v>
      </c>
      <c r="AA127" s="7">
        <v>96.78</v>
      </c>
      <c r="AB127" s="7">
        <v>10</v>
      </c>
      <c r="AC127" s="445">
        <v>99.508160000000004</v>
      </c>
      <c r="AD127" s="282" t="s">
        <v>9</v>
      </c>
      <c r="AE127" s="458">
        <v>46.706200000000003</v>
      </c>
      <c r="AF127" s="18" t="s">
        <v>21</v>
      </c>
      <c r="AG127" s="409">
        <f>AA127+AC127</f>
        <v>196.28816</v>
      </c>
      <c r="AH127" s="7">
        <v>6.4398999999999997</v>
      </c>
      <c r="AI127" s="7">
        <v>77.278700000000001</v>
      </c>
      <c r="AJ127" s="7">
        <v>1.96288</v>
      </c>
      <c r="AK127" s="301">
        <v>1.2196799999999999E-3</v>
      </c>
      <c r="AL127" s="7">
        <v>1962.88</v>
      </c>
      <c r="AM127" s="7">
        <v>2.14663</v>
      </c>
      <c r="AN127" s="14">
        <v>1962880</v>
      </c>
      <c r="AO127" s="8">
        <v>65065.1</v>
      </c>
      <c r="AP127" s="12">
        <f>(Z127*Z127)/2*(AE135-SIN(AE135))</f>
        <v>650.65138546017704</v>
      </c>
      <c r="AQ127" s="7">
        <v>6.5065099999999996</v>
      </c>
      <c r="AR127" s="7">
        <v>6.5065100000000001E-2</v>
      </c>
      <c r="AS127" s="7">
        <v>100.851</v>
      </c>
      <c r="AT127" s="7">
        <v>0.70035499999999995</v>
      </c>
      <c r="AU127" s="163">
        <v>6.5065100000000003E-4</v>
      </c>
      <c r="AV127" s="21">
        <v>6.5065100000000002E-6</v>
      </c>
      <c r="AW127" s="306">
        <v>1.6077936355699302E-5</v>
      </c>
      <c r="AX127" s="442" t="s">
        <v>9</v>
      </c>
      <c r="AY127" s="216">
        <f>(100*(B127-AA127))/AA127</f>
        <v>-4.1019941100380371E-3</v>
      </c>
      <c r="AZ127" s="90">
        <f>(100*(D127-AC127))/AC127</f>
        <v>2.5826968291066654E-4</v>
      </c>
      <c r="BA127" s="229">
        <f>(100*(F127-AE127))/AE127</f>
        <v>-2.3702677868210669E-4</v>
      </c>
      <c r="BB127" s="237" t="s">
        <v>21</v>
      </c>
      <c r="BC127" s="134">
        <f>(100*(H127-AG127))/AG127</f>
        <v>-2.1193331273842713E-3</v>
      </c>
      <c r="BD127" s="82">
        <f t="shared" ref="BD127:BJ134" si="81">(100*(I127-AH127))/AH127</f>
        <v>-1.8633829717836919E-3</v>
      </c>
      <c r="BE127" s="91">
        <f t="shared" si="81"/>
        <v>-1.8116246779563353E-3</v>
      </c>
      <c r="BF127" s="91">
        <f t="shared" si="81"/>
        <v>-2.037821975874226E-3</v>
      </c>
      <c r="BG127" s="91">
        <f>(100*(L127-AK127))/AK127</f>
        <v>-1.6397743670373561E-3</v>
      </c>
      <c r="BH127" s="91">
        <f>(100*(M127-AL127))/AL127</f>
        <v>-2.0378219758819178E-3</v>
      </c>
      <c r="BI127" s="91">
        <f>(100*(N127-AM127))/AM127</f>
        <v>-1.8633858652780384E-3</v>
      </c>
      <c r="BJ127" s="423">
        <f t="shared" si="81"/>
        <v>-1.834039778284969E-3</v>
      </c>
      <c r="BK127" s="138">
        <f>(100*(P127-AO127))/AO127</f>
        <v>0</v>
      </c>
      <c r="BL127" s="93">
        <f>(100*(Q127-AP127))/AP127</f>
        <v>-5.9242197234819846E-5</v>
      </c>
      <c r="BM127" s="93">
        <f t="shared" ref="BM127:BS127" si="82">(100*(R127-AQ127))/AQ127</f>
        <v>0</v>
      </c>
      <c r="BN127" s="93">
        <f t="shared" si="82"/>
        <v>0</v>
      </c>
      <c r="BO127" s="93">
        <f t="shared" si="82"/>
        <v>0</v>
      </c>
      <c r="BP127" s="93">
        <f t="shared" si="82"/>
        <v>0</v>
      </c>
      <c r="BQ127" s="93">
        <f t="shared" si="82"/>
        <v>0</v>
      </c>
      <c r="BR127" s="93">
        <f t="shared" si="82"/>
        <v>5.9242232319857667E-5</v>
      </c>
      <c r="BS127" s="95">
        <f t="shared" si="82"/>
        <v>5.9242232264460919E-5</v>
      </c>
    </row>
    <row r="128" spans="1:71" x14ac:dyDescent="0.25">
      <c r="A128" s="1">
        <v>60</v>
      </c>
      <c r="B128" s="1">
        <v>120</v>
      </c>
      <c r="C128" s="1">
        <v>60</v>
      </c>
      <c r="D128" s="6">
        <v>188.495559215388</v>
      </c>
      <c r="E128" s="211" t="s">
        <v>5</v>
      </c>
      <c r="F128" s="453">
        <v>180</v>
      </c>
      <c r="G128" s="211" t="s">
        <v>21</v>
      </c>
      <c r="H128" s="118">
        <v>9402.94</v>
      </c>
      <c r="I128" s="1">
        <v>308.49599999999998</v>
      </c>
      <c r="J128" s="1">
        <v>3701.95</v>
      </c>
      <c r="K128" s="1">
        <v>94.029399999999995</v>
      </c>
      <c r="L128" s="1">
        <v>5.8427199999999999E-2</v>
      </c>
      <c r="M128" s="1">
        <v>94029.4</v>
      </c>
      <c r="N128" s="1">
        <v>102.83199999999999</v>
      </c>
      <c r="O128" s="119">
        <v>94029446</v>
      </c>
      <c r="P128" s="118">
        <v>525354314</v>
      </c>
      <c r="Q128" s="1">
        <v>5253543</v>
      </c>
      <c r="R128" s="1">
        <v>52535.4</v>
      </c>
      <c r="S128" s="1">
        <v>525.35400000000004</v>
      </c>
      <c r="T128" s="1">
        <v>814301</v>
      </c>
      <c r="U128" s="1">
        <v>5654.87</v>
      </c>
      <c r="V128" s="1">
        <v>5.2535400000000001</v>
      </c>
      <c r="W128" s="52">
        <v>5.2535400000000003E-2</v>
      </c>
      <c r="X128" s="119">
        <v>0.12981799999999999</v>
      </c>
      <c r="Y128" s="143">
        <v>2</v>
      </c>
      <c r="Z128" s="34">
        <v>60</v>
      </c>
      <c r="AA128" s="2">
        <v>120</v>
      </c>
      <c r="AB128" s="2">
        <v>60</v>
      </c>
      <c r="AC128" s="42">
        <v>188.49556000000001</v>
      </c>
      <c r="AD128" s="19" t="s">
        <v>5</v>
      </c>
      <c r="AE128" s="440">
        <v>180</v>
      </c>
      <c r="AF128" s="19" t="s">
        <v>21</v>
      </c>
      <c r="AG128" s="15">
        <v>9402.9599999999991</v>
      </c>
      <c r="AH128" s="186">
        <f>AA128+AC128</f>
        <v>308.49556000000001</v>
      </c>
      <c r="AI128" s="2">
        <v>3701.95</v>
      </c>
      <c r="AJ128" s="2">
        <v>94.029600000000002</v>
      </c>
      <c r="AK128" s="2">
        <v>5.8427300000000001E-2</v>
      </c>
      <c r="AL128" s="2">
        <v>94029.6</v>
      </c>
      <c r="AM128" s="2">
        <v>102.83199999999999</v>
      </c>
      <c r="AN128" s="16">
        <v>94029581</v>
      </c>
      <c r="AO128" s="15">
        <v>525354614</v>
      </c>
      <c r="AP128" s="2">
        <v>5253546</v>
      </c>
      <c r="AQ128" s="2">
        <v>52535.5</v>
      </c>
      <c r="AR128" s="2">
        <v>525.35500000000002</v>
      </c>
      <c r="AS128" s="2">
        <v>814301</v>
      </c>
      <c r="AT128" s="2">
        <f>(Z128*Z128)/2*(AE136-SIN(AE136))</f>
        <v>5654.8667764616166</v>
      </c>
      <c r="AU128" s="2">
        <v>5.2535499999999997</v>
      </c>
      <c r="AV128" s="342">
        <v>5.2535499999999999E-2</v>
      </c>
      <c r="AW128" s="42">
        <v>0.12981799999999999</v>
      </c>
      <c r="AX128" s="426" t="s">
        <v>5</v>
      </c>
      <c r="AY128" s="217">
        <f t="shared" ref="AY128:AY134" si="83">(100*(B128-AA128))/AA128</f>
        <v>0</v>
      </c>
      <c r="AZ128" s="73">
        <f t="shared" ref="AZ128:AZ134" si="84">(100*(D128-AC128))/AC128</f>
        <v>-4.162495990325697E-7</v>
      </c>
      <c r="BA128" s="230">
        <f t="shared" ref="BA128:BA134" si="85">(100*(F128-AE128))/AE128</f>
        <v>0</v>
      </c>
      <c r="BB128" s="238" t="s">
        <v>21</v>
      </c>
      <c r="BC128" s="134">
        <f t="shared" ref="BC128:BC134" si="86">(100*(H128-AG128))/AG128</f>
        <v>-2.1269897988099036E-4</v>
      </c>
      <c r="BD128" s="82">
        <f t="shared" ref="BD128:BD135" si="87">(100*(I128-AH128))/AH128</f>
        <v>1.4262766049830076E-4</v>
      </c>
      <c r="BE128" s="82">
        <f t="shared" ref="BE128:BE135" si="88">(100*(J128-AI128))/AI128</f>
        <v>0</v>
      </c>
      <c r="BF128" s="82">
        <f t="shared" ref="BF128:BF135" si="89">(100*(K128-AJ128))/AJ128</f>
        <v>-2.126989799027533E-4</v>
      </c>
      <c r="BG128" s="82">
        <f t="shared" ref="BG128:BG134" si="90">(100*(L128-AK128))/AK128</f>
        <v>-1.711528686125759E-4</v>
      </c>
      <c r="BH128" s="82">
        <f t="shared" ref="BH128:BH134" si="91">(100*(M128-AL128))/AL128</f>
        <v>-2.1269897990807313E-4</v>
      </c>
      <c r="BI128" s="82">
        <f t="shared" ref="BI128:BI134" si="92">(100*(N128-AM128))/AM128</f>
        <v>0</v>
      </c>
      <c r="BJ128" s="424">
        <f t="shared" si="81"/>
        <v>-1.4357184044029719E-4</v>
      </c>
      <c r="BK128" s="139">
        <f t="shared" ref="BK128:BK134" si="93">(100*(P128-AO128))/AO128</f>
        <v>-5.7104285753926964E-5</v>
      </c>
      <c r="BL128" s="80">
        <f t="shared" ref="BL128:BL134" si="94">(100*(Q128-AP128))/AP128</f>
        <v>-5.7104287275680086E-5</v>
      </c>
      <c r="BM128" s="80">
        <f t="shared" ref="BM128:BM135" si="95">(100*(R128-AQ128))/AQ128</f>
        <v>-1.9034747932073515E-4</v>
      </c>
      <c r="BN128" s="80">
        <f t="shared" ref="BN128:BN135" si="96">(100*(S128-AR128))/AR128</f>
        <v>-1.9034747931900392E-4</v>
      </c>
      <c r="BO128" s="80">
        <f t="shared" ref="BO128:BO135" si="97">(100*(T128-AS128))/AS128</f>
        <v>0</v>
      </c>
      <c r="BP128" s="80">
        <f t="shared" ref="BP128:BP135" si="98">(100*(U128-AT128))/AT128</f>
        <v>5.7004674216185687E-5</v>
      </c>
      <c r="BQ128" s="80">
        <f t="shared" ref="BQ128:BQ135" si="99">(100*(V128-AU128))/AU128</f>
        <v>-1.9034747931629894E-4</v>
      </c>
      <c r="BR128" s="80">
        <f t="shared" ref="BR128:BR135" si="100">(100*(W128-AV128))/AV128</f>
        <v>-1.9034747931577061E-4</v>
      </c>
      <c r="BS128" s="96">
        <f t="shared" ref="BS128:BS135" si="101">(100*(X128-AW128))/AW128</f>
        <v>0</v>
      </c>
    </row>
    <row r="129" spans="1:71" x14ac:dyDescent="0.25">
      <c r="A129" s="1">
        <v>6.6207900000000004</v>
      </c>
      <c r="B129" s="1">
        <v>9.9312396003721499</v>
      </c>
      <c r="C129" s="1">
        <v>11</v>
      </c>
      <c r="D129" s="6">
        <v>30.3698860378266</v>
      </c>
      <c r="E129" s="211" t="s">
        <v>8</v>
      </c>
      <c r="F129" s="453">
        <v>262.81852985229102</v>
      </c>
      <c r="G129" s="211" t="s">
        <v>21</v>
      </c>
      <c r="H129" s="118">
        <v>102.36499999999999</v>
      </c>
      <c r="I129" s="1">
        <v>3.3584299999999998</v>
      </c>
      <c r="J129" s="1">
        <v>40.301099999999998</v>
      </c>
      <c r="K129" s="1">
        <v>1.0236499999999999</v>
      </c>
      <c r="L129" s="1">
        <v>6.3606600000000002E-4</v>
      </c>
      <c r="M129" s="1">
        <v>1023.65</v>
      </c>
      <c r="N129" s="1">
        <v>1.11948</v>
      </c>
      <c r="O129" s="119">
        <v>1023649</v>
      </c>
      <c r="P129" s="118">
        <v>78891.3</v>
      </c>
      <c r="Q129" s="1">
        <v>788.91300000000001</v>
      </c>
      <c r="R129" s="1">
        <v>7.8891299999999998</v>
      </c>
      <c r="S129" s="1">
        <v>7.8891299999999998E-2</v>
      </c>
      <c r="T129" s="1">
        <v>122.282</v>
      </c>
      <c r="U129" s="1">
        <v>0.84917900000000002</v>
      </c>
      <c r="V129" s="316">
        <v>7.8891300000000003E-4</v>
      </c>
      <c r="W129" s="50">
        <v>7.8891333039833796E-6</v>
      </c>
      <c r="X129" s="398">
        <v>1.9494472945261299E-5</v>
      </c>
      <c r="Y129" s="143">
        <v>3</v>
      </c>
      <c r="Z129" s="34">
        <v>6.6207900000000004</v>
      </c>
      <c r="AA129" s="2">
        <v>9.9311000000000007</v>
      </c>
      <c r="AB129" s="2">
        <v>11</v>
      </c>
      <c r="AC129" s="42">
        <v>30.369869999999999</v>
      </c>
      <c r="AD129" s="19" t="s">
        <v>8</v>
      </c>
      <c r="AE129" s="459">
        <v>262.81920000000002</v>
      </c>
      <c r="AF129" s="19" t="s">
        <v>21</v>
      </c>
      <c r="AG129" s="15">
        <v>102.36499999999999</v>
      </c>
      <c r="AH129" s="2">
        <v>3.3584200000000002</v>
      </c>
      <c r="AI129" s="186">
        <f>AA129+AC129</f>
        <v>40.30097</v>
      </c>
      <c r="AJ129" s="2">
        <v>1.0236499999999999</v>
      </c>
      <c r="AK129" s="2">
        <v>6.3606399999999999E-4</v>
      </c>
      <c r="AL129" s="2">
        <v>1023.65</v>
      </c>
      <c r="AM129" s="2">
        <v>1.11947</v>
      </c>
      <c r="AN129" s="16">
        <v>1023645</v>
      </c>
      <c r="AO129" s="27">
        <v>78891.5</v>
      </c>
      <c r="AP129" s="26">
        <v>788.91499999999996</v>
      </c>
      <c r="AQ129" s="2">
        <v>7.8891499999999999</v>
      </c>
      <c r="AR129" s="2">
        <v>7.8891500000000003E-2</v>
      </c>
      <c r="AS129" s="2">
        <f>(Z129*Z129)/2*(AE137-SIN(AE137))</f>
        <v>122.28181077536397</v>
      </c>
      <c r="AT129" s="2">
        <v>0.84918099999999996</v>
      </c>
      <c r="AU129" s="302">
        <v>7.8891499999999995E-4</v>
      </c>
      <c r="AV129" s="25">
        <v>7.8891455120000003E-6</v>
      </c>
      <c r="AW129" s="344">
        <v>1.9494503111927401E-5</v>
      </c>
      <c r="AX129" s="426" t="s">
        <v>8</v>
      </c>
      <c r="AY129" s="217">
        <f t="shared" si="83"/>
        <v>1.4056889181381501E-3</v>
      </c>
      <c r="AZ129" s="73">
        <f t="shared" si="84"/>
        <v>5.2808347882222195E-5</v>
      </c>
      <c r="BA129" s="230">
        <f t="shared" si="85"/>
        <v>-2.5498430441986999E-4</v>
      </c>
      <c r="BB129" s="238" t="s">
        <v>21</v>
      </c>
      <c r="BC129" s="134">
        <f t="shared" si="86"/>
        <v>0</v>
      </c>
      <c r="BD129" s="82">
        <f t="shared" si="87"/>
        <v>2.9775906526346979E-4</v>
      </c>
      <c r="BE129" s="82">
        <f t="shared" si="88"/>
        <v>3.2257288099673832E-4</v>
      </c>
      <c r="BF129" s="82">
        <f t="shared" si="89"/>
        <v>0</v>
      </c>
      <c r="BG129" s="82">
        <f t="shared" si="90"/>
        <v>3.1443376767612859E-4</v>
      </c>
      <c r="BH129" s="82">
        <f t="shared" si="91"/>
        <v>0</v>
      </c>
      <c r="BI129" s="82">
        <f t="shared" si="92"/>
        <v>8.9327985565182746E-4</v>
      </c>
      <c r="BJ129" s="424">
        <f t="shared" si="81"/>
        <v>3.9076046871718223E-4</v>
      </c>
      <c r="BK129" s="139">
        <f t="shared" si="93"/>
        <v>-2.5351273584237798E-4</v>
      </c>
      <c r="BL129" s="80">
        <f t="shared" si="94"/>
        <v>-2.5351273584007231E-4</v>
      </c>
      <c r="BM129" s="80">
        <f t="shared" si="95"/>
        <v>-2.5351273584772787E-4</v>
      </c>
      <c r="BN129" s="80">
        <f t="shared" si="96"/>
        <v>-2.5351273585335699E-4</v>
      </c>
      <c r="BO129" s="80">
        <f t="shared" si="97"/>
        <v>1.5474471209699284E-4</v>
      </c>
      <c r="BP129" s="80">
        <f t="shared" si="98"/>
        <v>-2.3552104909865966E-4</v>
      </c>
      <c r="BQ129" s="80">
        <f t="shared" si="99"/>
        <v>-2.5351273583631577E-4</v>
      </c>
      <c r="BR129" s="80">
        <f t="shared" si="100"/>
        <v>-1.5474447267007415E-4</v>
      </c>
      <c r="BS129" s="96">
        <f t="shared" si="101"/>
        <v>-1.5474447298271984E-4</v>
      </c>
    </row>
    <row r="130" spans="1:71" x14ac:dyDescent="0.25">
      <c r="A130" s="1">
        <v>8</v>
      </c>
      <c r="B130" s="1">
        <v>11.206408880636101</v>
      </c>
      <c r="C130" s="1">
        <v>2.29</v>
      </c>
      <c r="D130" s="6">
        <v>12.415336642448001</v>
      </c>
      <c r="E130" s="211" t="s">
        <v>4</v>
      </c>
      <c r="F130" s="453">
        <v>88.918298855798795</v>
      </c>
      <c r="G130" s="211" t="s">
        <v>21</v>
      </c>
      <c r="H130" s="118">
        <v>2362.17</v>
      </c>
      <c r="I130" s="1">
        <v>77.499200000000002</v>
      </c>
      <c r="J130" s="1">
        <v>929.99</v>
      </c>
      <c r="K130" s="1">
        <v>23.621700000000001</v>
      </c>
      <c r="L130" s="1">
        <v>1.4677900000000001E-2</v>
      </c>
      <c r="M130" s="1">
        <v>23621.7</v>
      </c>
      <c r="N130" s="1">
        <v>25.833100000000002</v>
      </c>
      <c r="O130" s="119">
        <v>23621746</v>
      </c>
      <c r="P130" s="118">
        <v>17667049</v>
      </c>
      <c r="Q130" s="1">
        <v>176670</v>
      </c>
      <c r="R130" s="1">
        <v>1766.7</v>
      </c>
      <c r="S130" s="1">
        <v>17.667000000000002</v>
      </c>
      <c r="T130" s="1">
        <v>27384</v>
      </c>
      <c r="U130" s="1">
        <v>190.167</v>
      </c>
      <c r="V130" s="1">
        <v>0.17666999999999999</v>
      </c>
      <c r="W130" s="1">
        <v>1.7667E-3</v>
      </c>
      <c r="X130" s="119">
        <v>4.3656199999999997E-3</v>
      </c>
      <c r="Y130" s="143">
        <v>4</v>
      </c>
      <c r="Z130" s="34">
        <v>8</v>
      </c>
      <c r="AA130" s="2">
        <v>11.2</v>
      </c>
      <c r="AB130" s="2">
        <v>2.29</v>
      </c>
      <c r="AC130" s="42">
        <v>12.41</v>
      </c>
      <c r="AD130" s="19" t="s">
        <v>4</v>
      </c>
      <c r="AE130" s="440">
        <v>88.853999999999999</v>
      </c>
      <c r="AF130" s="19" t="s">
        <v>21</v>
      </c>
      <c r="AG130" s="15">
        <v>2361</v>
      </c>
      <c r="AH130" s="2">
        <v>77.460599999999999</v>
      </c>
      <c r="AI130" s="2">
        <v>929.52800000000002</v>
      </c>
      <c r="AJ130" s="186">
        <f>AA130+AC130</f>
        <v>23.61</v>
      </c>
      <c r="AK130" s="2">
        <v>1.4670600000000001E-2</v>
      </c>
      <c r="AL130" s="2">
        <v>23610</v>
      </c>
      <c r="AM130" s="2">
        <v>25.8202</v>
      </c>
      <c r="AN130" s="16">
        <v>23610000</v>
      </c>
      <c r="AO130" s="15">
        <v>17667000</v>
      </c>
      <c r="AP130" s="2">
        <v>176670</v>
      </c>
      <c r="AQ130" s="2">
        <v>1766.7</v>
      </c>
      <c r="AR130" s="2">
        <f>(Z130*Z130)/2*(AE138-SIN(AE138))</f>
        <v>17.66704921557589</v>
      </c>
      <c r="AS130" s="2">
        <v>27383.9</v>
      </c>
      <c r="AT130" s="2">
        <v>190.166</v>
      </c>
      <c r="AU130" s="2">
        <v>0.17666999999999999</v>
      </c>
      <c r="AV130" s="2">
        <v>1.7667E-3</v>
      </c>
      <c r="AW130" s="42">
        <v>4.3656099999999998E-3</v>
      </c>
      <c r="AX130" s="426" t="s">
        <v>4</v>
      </c>
      <c r="AY130" s="217">
        <f t="shared" si="83"/>
        <v>5.7222148536619145E-2</v>
      </c>
      <c r="AZ130" s="73">
        <f t="shared" si="84"/>
        <v>4.3002759452057705E-2</v>
      </c>
      <c r="BA130" s="230">
        <f t="shared" si="85"/>
        <v>7.2364615885380776E-2</v>
      </c>
      <c r="BB130" s="238" t="s">
        <v>21</v>
      </c>
      <c r="BC130" s="134">
        <f t="shared" si="86"/>
        <v>4.9555273189329639E-2</v>
      </c>
      <c r="BD130" s="82">
        <f t="shared" si="87"/>
        <v>4.983178544963815E-2</v>
      </c>
      <c r="BE130" s="82">
        <f t="shared" si="88"/>
        <v>4.9702644783157592E-2</v>
      </c>
      <c r="BF130" s="82">
        <f t="shared" si="89"/>
        <v>4.9555273189331443E-2</v>
      </c>
      <c r="BG130" s="82">
        <f t="shared" si="90"/>
        <v>4.9759382711000333E-2</v>
      </c>
      <c r="BH130" s="82">
        <f t="shared" si="91"/>
        <v>4.9555273189329639E-2</v>
      </c>
      <c r="BI130" s="82">
        <f t="shared" si="92"/>
        <v>4.9960883339408332E-2</v>
      </c>
      <c r="BJ130" s="424">
        <f t="shared" si="81"/>
        <v>4.9750105887335874E-2</v>
      </c>
      <c r="BK130" s="139">
        <f t="shared" si="93"/>
        <v>2.7735325748570782E-4</v>
      </c>
      <c r="BL130" s="80">
        <f t="shared" si="94"/>
        <v>0</v>
      </c>
      <c r="BM130" s="80">
        <f t="shared" si="95"/>
        <v>0</v>
      </c>
      <c r="BN130" s="80">
        <f t="shared" si="96"/>
        <v>-2.7857269931103837E-4</v>
      </c>
      <c r="BO130" s="80">
        <f t="shared" si="97"/>
        <v>3.6517807908495432E-4</v>
      </c>
      <c r="BP130" s="80">
        <f t="shared" si="98"/>
        <v>5.2585635708001161E-4</v>
      </c>
      <c r="BQ130" s="80">
        <f t="shared" si="99"/>
        <v>0</v>
      </c>
      <c r="BR130" s="80">
        <f t="shared" si="100"/>
        <v>0</v>
      </c>
      <c r="BS130" s="96">
        <f t="shared" si="101"/>
        <v>2.2906306335061108E-4</v>
      </c>
    </row>
    <row r="131" spans="1:71" x14ac:dyDescent="0.25">
      <c r="A131" s="1">
        <v>630</v>
      </c>
      <c r="B131" s="1">
        <v>1190.00194352782</v>
      </c>
      <c r="C131" s="1">
        <v>422.94</v>
      </c>
      <c r="D131" s="456">
        <v>1557.2401254587401</v>
      </c>
      <c r="E131" s="211" t="s">
        <v>10</v>
      </c>
      <c r="F131" s="451">
        <v>141.624264884458</v>
      </c>
      <c r="G131" s="211" t="s">
        <v>21</v>
      </c>
      <c r="H131" s="120">
        <v>442125754</v>
      </c>
      <c r="I131" s="1">
        <v>14505438</v>
      </c>
      <c r="J131" s="1">
        <v>174065257</v>
      </c>
      <c r="K131" s="1">
        <v>4421258</v>
      </c>
      <c r="L131" s="1">
        <v>2747.24</v>
      </c>
      <c r="M131" s="1">
        <v>4421257540</v>
      </c>
      <c r="N131" s="1">
        <v>4835146</v>
      </c>
      <c r="O131" s="164">
        <v>4421257540271</v>
      </c>
      <c r="P131" s="120">
        <v>9.5137965478555098E+17</v>
      </c>
      <c r="Q131" s="59">
        <v>9513796547855510</v>
      </c>
      <c r="R131" s="59">
        <v>95137965478555</v>
      </c>
      <c r="S131" s="59">
        <v>951379654786</v>
      </c>
      <c r="T131" s="59">
        <v>1474641414200430</v>
      </c>
      <c r="U131" s="59">
        <v>10240565376392</v>
      </c>
      <c r="V131" s="1">
        <v>9513796548</v>
      </c>
      <c r="W131" s="1">
        <v>95137965</v>
      </c>
      <c r="X131" s="119">
        <v>235091033</v>
      </c>
      <c r="Y131" s="143">
        <v>5</v>
      </c>
      <c r="Z131" s="34">
        <v>630</v>
      </c>
      <c r="AA131" s="2">
        <v>1190</v>
      </c>
      <c r="AB131" s="2">
        <v>422.94</v>
      </c>
      <c r="AC131" s="461">
        <v>1557.2341300000001</v>
      </c>
      <c r="AD131" s="19" t="s">
        <v>10</v>
      </c>
      <c r="AE131" s="441">
        <v>141.62370000000001</v>
      </c>
      <c r="AF131" s="19" t="s">
        <v>21</v>
      </c>
      <c r="AG131" s="15">
        <v>442123812</v>
      </c>
      <c r="AH131" s="2">
        <v>14505374</v>
      </c>
      <c r="AI131" s="2">
        <v>174064493</v>
      </c>
      <c r="AJ131" s="2">
        <v>4421238</v>
      </c>
      <c r="AK131" s="186">
        <f>AA131+AC131</f>
        <v>2747.2341299999998</v>
      </c>
      <c r="AL131" s="2">
        <v>4421238117</v>
      </c>
      <c r="AM131" s="2">
        <v>4835125</v>
      </c>
      <c r="AN131" s="185">
        <v>4421238117120</v>
      </c>
      <c r="AO131" s="28">
        <v>9.51379654786E+17</v>
      </c>
      <c r="AP131" s="29">
        <v>9513796547860000</v>
      </c>
      <c r="AQ131" s="29">
        <v>95137965478600</v>
      </c>
      <c r="AR131" s="26">
        <f>(Z131*Z131)/2*(AE139-SIN(AE139))*1609.344*1609.344</f>
        <v>951379654785.54639</v>
      </c>
      <c r="AS131" s="29">
        <v>1474641414201130</v>
      </c>
      <c r="AT131" s="29">
        <v>10240565376397</v>
      </c>
      <c r="AU131" s="2">
        <v>9513796548</v>
      </c>
      <c r="AV131" s="2">
        <v>95137965</v>
      </c>
      <c r="AW131" s="42">
        <v>235091033</v>
      </c>
      <c r="AX131" s="426" t="s">
        <v>10</v>
      </c>
      <c r="AY131" s="217">
        <f t="shared" si="83"/>
        <v>1.6332166554651345E-4</v>
      </c>
      <c r="AZ131" s="73">
        <f t="shared" si="84"/>
        <v>3.8500689295944577E-4</v>
      </c>
      <c r="BA131" s="230">
        <f t="shared" si="85"/>
        <v>3.9886294312790606E-4</v>
      </c>
      <c r="BB131" s="238" t="s">
        <v>21</v>
      </c>
      <c r="BC131" s="134">
        <f t="shared" si="86"/>
        <v>4.3924347598812432E-4</v>
      </c>
      <c r="BD131" s="82">
        <f t="shared" si="87"/>
        <v>4.4121578664569423E-4</v>
      </c>
      <c r="BE131" s="82">
        <f t="shared" si="88"/>
        <v>4.3891777514900758E-4</v>
      </c>
      <c r="BF131" s="82">
        <f t="shared" si="89"/>
        <v>4.5236198548913222E-4</v>
      </c>
      <c r="BG131" s="82">
        <f t="shared" si="90"/>
        <v>2.1366944796798095E-4</v>
      </c>
      <c r="BH131" s="82">
        <f t="shared" si="91"/>
        <v>4.3931133058219764E-4</v>
      </c>
      <c r="BI131" s="82">
        <f t="shared" si="92"/>
        <v>4.3432176003722759E-4</v>
      </c>
      <c r="BJ131" s="424">
        <f t="shared" si="81"/>
        <v>4.3931474590317392E-4</v>
      </c>
      <c r="BK131" s="139">
        <f t="shared" si="93"/>
        <v>-4.719714130327938E-11</v>
      </c>
      <c r="BL131" s="80">
        <f t="shared" si="94"/>
        <v>-4.7194618651057501E-11</v>
      </c>
      <c r="BM131" s="80">
        <f t="shared" si="95"/>
        <v>-4.7299729160302613E-11</v>
      </c>
      <c r="BN131" s="80">
        <f t="shared" si="96"/>
        <v>4.7679522992558683E-11</v>
      </c>
      <c r="BO131" s="80">
        <f t="shared" si="97"/>
        <v>-4.7469167301205693E-11</v>
      </c>
      <c r="BP131" s="80">
        <f t="shared" si="98"/>
        <v>-4.8825429224096029E-11</v>
      </c>
      <c r="BQ131" s="80">
        <f t="shared" si="99"/>
        <v>0</v>
      </c>
      <c r="BR131" s="80">
        <f t="shared" si="100"/>
        <v>0</v>
      </c>
      <c r="BS131" s="96">
        <f t="shared" si="101"/>
        <v>0</v>
      </c>
    </row>
    <row r="132" spans="1:71" x14ac:dyDescent="0.25">
      <c r="A132" s="1">
        <v>960</v>
      </c>
      <c r="B132" s="1">
        <v>960.01519904634802</v>
      </c>
      <c r="C132" s="1">
        <v>128.62</v>
      </c>
      <c r="D132" s="456">
        <v>1005.32719954205</v>
      </c>
      <c r="E132" s="211" t="s">
        <v>6</v>
      </c>
      <c r="F132" s="454">
        <v>60.001047461943301</v>
      </c>
      <c r="G132" s="211" t="s">
        <v>21</v>
      </c>
      <c r="H132" s="118">
        <v>196.53399999999999</v>
      </c>
      <c r="I132" s="1">
        <v>6.4479699999999998</v>
      </c>
      <c r="J132" s="1">
        <v>77.375699999999995</v>
      </c>
      <c r="K132" s="1">
        <v>1.9653400000000001</v>
      </c>
      <c r="L132" s="348">
        <v>1.2212099999999999E-3</v>
      </c>
      <c r="M132" s="1">
        <v>1965.34</v>
      </c>
      <c r="N132" s="1">
        <v>2.1493199999999999</v>
      </c>
      <c r="O132" s="119">
        <v>1965342</v>
      </c>
      <c r="P132" s="463">
        <v>83488.3</v>
      </c>
      <c r="Q132" s="349">
        <v>834.88300000000004</v>
      </c>
      <c r="R132" s="348">
        <v>8.3488299999999995</v>
      </c>
      <c r="S132" s="78">
        <v>8.3488300000000001E-2</v>
      </c>
      <c r="T132" s="349">
        <v>129.40700000000001</v>
      </c>
      <c r="U132" s="315">
        <v>0.89866100000000004</v>
      </c>
      <c r="V132" s="316">
        <v>8.3488300000000002E-4</v>
      </c>
      <c r="W132" s="50">
        <v>8.3488337688605602E-6</v>
      </c>
      <c r="X132" s="398">
        <v>2.0630417532602399E-5</v>
      </c>
      <c r="Y132" s="143">
        <v>6</v>
      </c>
      <c r="Z132" s="34">
        <v>960</v>
      </c>
      <c r="AA132" s="2">
        <v>960</v>
      </c>
      <c r="AB132" s="2">
        <v>128.62</v>
      </c>
      <c r="AC132" s="461">
        <v>1005.30922</v>
      </c>
      <c r="AD132" s="19" t="s">
        <v>6</v>
      </c>
      <c r="AE132" s="459">
        <v>60</v>
      </c>
      <c r="AF132" s="19" t="s">
        <v>21</v>
      </c>
      <c r="AG132" s="15">
        <v>196.53100000000001</v>
      </c>
      <c r="AH132" s="2">
        <v>6.44787</v>
      </c>
      <c r="AI132" s="2">
        <v>77.374399999999994</v>
      </c>
      <c r="AJ132" s="2">
        <v>1.9653099999999999</v>
      </c>
      <c r="AK132" s="309">
        <v>1.22119E-3</v>
      </c>
      <c r="AL132" s="186">
        <f>AA132+AC132</f>
        <v>1965.3092200000001</v>
      </c>
      <c r="AM132" s="2">
        <v>2.1492900000000001</v>
      </c>
      <c r="AN132" s="16">
        <v>1965310</v>
      </c>
      <c r="AO132" s="15">
        <f>(Z132*Z132)/2*(AE140-SIN(AE140))</f>
        <v>83488.337688606043</v>
      </c>
      <c r="AP132" s="2">
        <v>834.88300000000004</v>
      </c>
      <c r="AQ132" s="2">
        <v>8.3488299999999995</v>
      </c>
      <c r="AR132" s="342">
        <v>8.3488300000000001E-2</v>
      </c>
      <c r="AS132" s="2">
        <v>129.40700000000001</v>
      </c>
      <c r="AT132" s="76">
        <v>0.89866100000000004</v>
      </c>
      <c r="AU132" s="302">
        <v>8.3488300000000002E-4</v>
      </c>
      <c r="AV132" s="23">
        <v>8.3488300000000008E-6</v>
      </c>
      <c r="AW132" s="344">
        <v>2.0630408219545099E-5</v>
      </c>
      <c r="AX132" s="426" t="s">
        <v>6</v>
      </c>
      <c r="AY132" s="217">
        <f t="shared" si="83"/>
        <v>1.5832339945850056E-3</v>
      </c>
      <c r="AZ132" s="73">
        <f t="shared" si="84"/>
        <v>1.788458883333111E-3</v>
      </c>
      <c r="BA132" s="230">
        <f t="shared" si="85"/>
        <v>1.7457699055019777E-3</v>
      </c>
      <c r="BB132" s="238" t="s">
        <v>21</v>
      </c>
      <c r="BC132" s="134">
        <f t="shared" si="86"/>
        <v>1.5264767390314518E-3</v>
      </c>
      <c r="BD132" s="82">
        <f t="shared" si="87"/>
        <v>1.5508997544889543E-3</v>
      </c>
      <c r="BE132" s="82">
        <f t="shared" si="88"/>
        <v>1.6801422692783699E-3</v>
      </c>
      <c r="BF132" s="82">
        <f t="shared" si="89"/>
        <v>1.5264767390486254E-3</v>
      </c>
      <c r="BG132" s="82">
        <f t="shared" si="90"/>
        <v>1.6377467879593857E-3</v>
      </c>
      <c r="BH132" s="82">
        <f t="shared" si="91"/>
        <v>1.566165755830647E-3</v>
      </c>
      <c r="BI132" s="82">
        <f t="shared" si="92"/>
        <v>1.395809779031794E-3</v>
      </c>
      <c r="BJ132" s="424">
        <f t="shared" si="81"/>
        <v>1.6282418549745333E-3</v>
      </c>
      <c r="BK132" s="139">
        <f t="shared" si="93"/>
        <v>-4.5142360099311124E-5</v>
      </c>
      <c r="BL132" s="80">
        <f t="shared" si="94"/>
        <v>0</v>
      </c>
      <c r="BM132" s="80">
        <f t="shared" si="95"/>
        <v>0</v>
      </c>
      <c r="BN132" s="80">
        <f t="shared" si="96"/>
        <v>0</v>
      </c>
      <c r="BO132" s="80">
        <f t="shared" si="97"/>
        <v>0</v>
      </c>
      <c r="BP132" s="80">
        <f t="shared" si="98"/>
        <v>0</v>
      </c>
      <c r="BQ132" s="80">
        <f t="shared" si="99"/>
        <v>0</v>
      </c>
      <c r="BR132" s="80">
        <f t="shared" si="100"/>
        <v>4.514237994224649E-5</v>
      </c>
      <c r="BS132" s="96">
        <f t="shared" si="101"/>
        <v>4.5142380127412419E-5</v>
      </c>
    </row>
    <row r="133" spans="1:71" x14ac:dyDescent="0.25">
      <c r="A133" s="118">
        <v>777</v>
      </c>
      <c r="B133" s="1">
        <v>199.999593945361</v>
      </c>
      <c r="C133" s="1">
        <v>1547.5381500000001</v>
      </c>
      <c r="D133" s="119">
        <v>4681.4791126425298</v>
      </c>
      <c r="E133" s="211" t="s">
        <v>7</v>
      </c>
      <c r="F133" s="454">
        <v>345.21106181861899</v>
      </c>
      <c r="G133" s="211" t="s">
        <v>21</v>
      </c>
      <c r="H133" s="374">
        <v>446362</v>
      </c>
      <c r="I133" s="325">
        <v>14644.4</v>
      </c>
      <c r="J133" s="325">
        <v>175733</v>
      </c>
      <c r="K133" s="325">
        <v>4463.62</v>
      </c>
      <c r="L133" s="348">
        <v>2.7735699999999999</v>
      </c>
      <c r="M133" s="325">
        <v>4463624</v>
      </c>
      <c r="N133" s="325">
        <v>4881.4799999999996</v>
      </c>
      <c r="O133" s="164">
        <v>4463624129</v>
      </c>
      <c r="P133" s="374">
        <v>1585137183779</v>
      </c>
      <c r="Q133" s="325">
        <v>15851371838</v>
      </c>
      <c r="R133" s="325">
        <v>158513718</v>
      </c>
      <c r="S133" s="325">
        <v>1585137</v>
      </c>
      <c r="T133" s="325">
        <v>2456967549</v>
      </c>
      <c r="U133" s="325">
        <v>17062275</v>
      </c>
      <c r="V133" s="325">
        <v>15851.4</v>
      </c>
      <c r="W133" s="349">
        <v>158.51400000000001</v>
      </c>
      <c r="X133" s="464">
        <v>391.69600000000003</v>
      </c>
      <c r="Y133" s="143">
        <v>7</v>
      </c>
      <c r="Z133" s="15">
        <v>777</v>
      </c>
      <c r="AA133" s="2">
        <v>200</v>
      </c>
      <c r="AB133" s="2">
        <v>1547.5381500000001</v>
      </c>
      <c r="AC133" s="16">
        <v>4681.4771300000002</v>
      </c>
      <c r="AD133" s="35" t="s">
        <v>7</v>
      </c>
      <c r="AE133" s="19">
        <v>345.21089999999998</v>
      </c>
      <c r="AF133" s="19" t="s">
        <v>21</v>
      </c>
      <c r="AG133" s="15">
        <v>446363</v>
      </c>
      <c r="AH133" s="2">
        <v>14644.4</v>
      </c>
      <c r="AI133" s="2">
        <v>175733</v>
      </c>
      <c r="AJ133" s="2">
        <v>4463.63</v>
      </c>
      <c r="AK133" s="2">
        <v>2.7735699999999999</v>
      </c>
      <c r="AL133" s="2">
        <v>4463625</v>
      </c>
      <c r="AM133" s="186">
        <f>AA133+AC133</f>
        <v>4881.4771300000002</v>
      </c>
      <c r="AN133" s="16">
        <v>4463625312</v>
      </c>
      <c r="AO133" s="28">
        <v>1585137000000</v>
      </c>
      <c r="AP133" s="2">
        <v>15851370000</v>
      </c>
      <c r="AQ133" s="2">
        <v>158513700</v>
      </c>
      <c r="AR133" s="2">
        <f>(Z133*Z133)/2*(AE141-SIN(AE141))*0.9144*0.9144</f>
        <v>1585137.1837789321</v>
      </c>
      <c r="AS133" s="2">
        <v>2456967264</v>
      </c>
      <c r="AT133" s="2">
        <v>17062273</v>
      </c>
      <c r="AU133" s="2">
        <v>15851.4</v>
      </c>
      <c r="AV133" s="2">
        <v>158.51400000000001</v>
      </c>
      <c r="AW133" s="42">
        <v>391.69600000000003</v>
      </c>
      <c r="AX133" s="426" t="s">
        <v>7</v>
      </c>
      <c r="AY133" s="217">
        <f t="shared" si="83"/>
        <v>-2.0302731950039288E-4</v>
      </c>
      <c r="AZ133" s="73">
        <f t="shared" si="84"/>
        <v>4.235078960181196E-5</v>
      </c>
      <c r="BA133" s="230">
        <f t="shared" si="85"/>
        <v>4.6875292467813539E-5</v>
      </c>
      <c r="BB133" s="238" t="s">
        <v>21</v>
      </c>
      <c r="BC133" s="134">
        <f t="shared" si="86"/>
        <v>-2.240329059532264E-4</v>
      </c>
      <c r="BD133" s="82">
        <f t="shared" si="87"/>
        <v>0</v>
      </c>
      <c r="BE133" s="82">
        <f t="shared" si="88"/>
        <v>0</v>
      </c>
      <c r="BF133" s="82">
        <f t="shared" si="89"/>
        <v>-2.2403290595811656E-4</v>
      </c>
      <c r="BG133" s="82">
        <f t="shared" si="90"/>
        <v>0</v>
      </c>
      <c r="BH133" s="82">
        <f t="shared" si="91"/>
        <v>-2.2403315690722226E-5</v>
      </c>
      <c r="BI133" s="82">
        <f t="shared" si="92"/>
        <v>5.8793679104008892E-5</v>
      </c>
      <c r="BJ133" s="424">
        <f t="shared" si="81"/>
        <v>-2.6503120609600127E-5</v>
      </c>
      <c r="BK133" s="139">
        <f t="shared" si="93"/>
        <v>1.1593887468401785E-5</v>
      </c>
      <c r="BL133" s="80">
        <f t="shared" si="94"/>
        <v>1.1595212275027332E-5</v>
      </c>
      <c r="BM133" s="80">
        <f t="shared" si="95"/>
        <v>1.1355485361833079E-5</v>
      </c>
      <c r="BN133" s="80">
        <f t="shared" si="96"/>
        <v>-1.1593881839749405E-5</v>
      </c>
      <c r="BO133" s="80">
        <f t="shared" si="97"/>
        <v>1.1599666148421259E-5</v>
      </c>
      <c r="BP133" s="80">
        <f t="shared" si="98"/>
        <v>1.1721767668352277E-5</v>
      </c>
      <c r="BQ133" s="80">
        <f t="shared" si="99"/>
        <v>0</v>
      </c>
      <c r="BR133" s="80">
        <f t="shared" si="100"/>
        <v>0</v>
      </c>
      <c r="BS133" s="96">
        <f t="shared" si="101"/>
        <v>0</v>
      </c>
    </row>
    <row r="134" spans="1:71" ht="15.75" thickBot="1" x14ac:dyDescent="0.3">
      <c r="A134" s="55">
        <v>94.74</v>
      </c>
      <c r="B134" s="55">
        <v>156.04717235502901</v>
      </c>
      <c r="C134" s="55">
        <v>41</v>
      </c>
      <c r="D134" s="457">
        <v>183.35027649161299</v>
      </c>
      <c r="E134" s="212" t="s">
        <v>20</v>
      </c>
      <c r="F134" s="455">
        <v>110.884494569624</v>
      </c>
      <c r="G134" s="212" t="s">
        <v>21</v>
      </c>
      <c r="H134" s="334">
        <v>3.3939700000000003E-2</v>
      </c>
      <c r="I134" s="335">
        <v>1.1135100000000001E-3</v>
      </c>
      <c r="J134" s="66">
        <v>1.33621E-2</v>
      </c>
      <c r="K134" s="329">
        <v>3.3939700000000002E-4</v>
      </c>
      <c r="L134" s="353">
        <v>2.1089179743214701E-7</v>
      </c>
      <c r="M134" s="351">
        <v>0.339397</v>
      </c>
      <c r="N134" s="335">
        <v>3.7116999999999999E-4</v>
      </c>
      <c r="O134" s="465">
        <v>339.39699999999999</v>
      </c>
      <c r="P134" s="352">
        <v>4.4923200000000002E-3</v>
      </c>
      <c r="Q134" s="376">
        <v>4.4923150762280999E-5</v>
      </c>
      <c r="R134" s="376">
        <v>4.4923150762281001E-7</v>
      </c>
      <c r="S134" s="67">
        <v>4.4923150762280999E-9</v>
      </c>
      <c r="T134" s="333">
        <v>6.9631022943581403E-6</v>
      </c>
      <c r="U134" s="67">
        <v>4.8354877044153798E-8</v>
      </c>
      <c r="V134" s="68">
        <v>4.4923150762280998E-11</v>
      </c>
      <c r="W134" s="69">
        <v>4.4923150762280998E-13</v>
      </c>
      <c r="X134" s="331">
        <v>1.1100752305820401E-12</v>
      </c>
      <c r="Y134" s="144">
        <v>8</v>
      </c>
      <c r="Z134" s="281">
        <v>94.74</v>
      </c>
      <c r="AA134" s="9">
        <v>156.04</v>
      </c>
      <c r="AB134" s="9">
        <v>41</v>
      </c>
      <c r="AC134" s="466">
        <v>183.34</v>
      </c>
      <c r="AD134" s="20" t="s">
        <v>20</v>
      </c>
      <c r="AE134" s="460">
        <v>110.8794</v>
      </c>
      <c r="AF134" s="20" t="s">
        <v>21</v>
      </c>
      <c r="AG134" s="17">
        <v>3.3938000000000003E-2</v>
      </c>
      <c r="AH134" s="357">
        <v>1.11345E-3</v>
      </c>
      <c r="AI134" s="478">
        <v>1.3361400000000001E-2</v>
      </c>
      <c r="AJ134" s="357">
        <v>3.3938000000000002E-4</v>
      </c>
      <c r="AK134" s="320">
        <v>2.1088095522150599E-7</v>
      </c>
      <c r="AL134" s="9">
        <v>0.33938000000000001</v>
      </c>
      <c r="AM134" s="357">
        <v>3.7115E-4</v>
      </c>
      <c r="AN134" s="467">
        <f>AA134+AC134</f>
        <v>339.38</v>
      </c>
      <c r="AO134" s="17">
        <f>(Z134*Z134)/2*(AE142-SIN(AE142))/1000/1000</f>
        <v>4.4923150762281195E-3</v>
      </c>
      <c r="AP134" s="416">
        <v>4.4923199999999997E-5</v>
      </c>
      <c r="AQ134" s="189">
        <v>4.4923200000000001E-7</v>
      </c>
      <c r="AR134" s="190">
        <v>4.4923200000000001E-9</v>
      </c>
      <c r="AS134" s="203">
        <v>6.96310992621985E-6</v>
      </c>
      <c r="AT134" s="206">
        <v>4.8354930043193402E-8</v>
      </c>
      <c r="AU134" s="191">
        <v>4.4923199999999997E-11</v>
      </c>
      <c r="AV134" s="192">
        <v>4.4923199999999999E-13</v>
      </c>
      <c r="AW134" s="193">
        <v>1.11007644727258E-12</v>
      </c>
      <c r="AX134" s="443" t="s">
        <v>20</v>
      </c>
      <c r="AY134" s="218">
        <f t="shared" si="83"/>
        <v>4.5964848942662354E-3</v>
      </c>
      <c r="AZ134" s="97">
        <f t="shared" si="84"/>
        <v>5.6051552378009566E-3</v>
      </c>
      <c r="BA134" s="231">
        <f t="shared" si="85"/>
        <v>4.5946944373726128E-3</v>
      </c>
      <c r="BB134" s="239" t="s">
        <v>21</v>
      </c>
      <c r="BC134" s="135">
        <f t="shared" si="86"/>
        <v>5.0091343037312521E-3</v>
      </c>
      <c r="BD134" s="98">
        <f t="shared" si="87"/>
        <v>5.388656877280287E-3</v>
      </c>
      <c r="BE134" s="98">
        <f t="shared" si="88"/>
        <v>5.2389719640105999E-3</v>
      </c>
      <c r="BF134" s="98">
        <f t="shared" si="89"/>
        <v>5.0091343037293352E-3</v>
      </c>
      <c r="BG134" s="98">
        <f t="shared" si="90"/>
        <v>5.1413891926056273E-3</v>
      </c>
      <c r="BH134" s="98">
        <f t="shared" si="91"/>
        <v>5.0091343037271625E-3</v>
      </c>
      <c r="BI134" s="98">
        <f t="shared" si="92"/>
        <v>5.3886568772705491E-3</v>
      </c>
      <c r="BJ134" s="425">
        <f t="shared" si="81"/>
        <v>5.0091343037291262E-3</v>
      </c>
      <c r="BK134" s="140">
        <f t="shared" si="93"/>
        <v>1.0960433088770775E-4</v>
      </c>
      <c r="BL134" s="100">
        <f t="shared" si="94"/>
        <v>-1.0960421118211776E-4</v>
      </c>
      <c r="BM134" s="100">
        <f t="shared" si="95"/>
        <v>-1.0960421118777429E-4</v>
      </c>
      <c r="BN134" s="100">
        <f t="shared" si="96"/>
        <v>-1.0960421119072041E-4</v>
      </c>
      <c r="BO134" s="100">
        <f t="shared" si="97"/>
        <v>-1.0960421120177615E-4</v>
      </c>
      <c r="BP134" s="100">
        <f t="shared" si="98"/>
        <v>-1.0960421110445953E-4</v>
      </c>
      <c r="BQ134" s="100">
        <f t="shared" si="99"/>
        <v>-1.0960421118496629E-4</v>
      </c>
      <c r="BR134" s="100">
        <f t="shared" si="100"/>
        <v>-1.0960421118811308E-4</v>
      </c>
      <c r="BS134" s="102">
        <f t="shared" si="101"/>
        <v>-1.0960421175313726E-4</v>
      </c>
    </row>
    <row r="135" spans="1:71" x14ac:dyDescent="0.25">
      <c r="A135" s="57">
        <v>122.07</v>
      </c>
      <c r="B135" s="57">
        <v>96.776030090100306</v>
      </c>
      <c r="C135" s="57">
        <v>10</v>
      </c>
      <c r="D135" s="452">
        <v>99.508399999999995</v>
      </c>
      <c r="E135" s="245" t="s">
        <v>9</v>
      </c>
      <c r="F135" s="481">
        <v>0.81517503890726095</v>
      </c>
      <c r="G135" s="245" t="s">
        <v>31</v>
      </c>
      <c r="H135" s="114">
        <v>196.28399999999999</v>
      </c>
      <c r="I135" s="115">
        <v>6.4397799999999998</v>
      </c>
      <c r="J135" s="115">
        <v>77.277299999999997</v>
      </c>
      <c r="K135" s="115">
        <v>1.9628399999999999</v>
      </c>
      <c r="L135" s="311">
        <v>1.21966E-3</v>
      </c>
      <c r="M135" s="115">
        <v>1962.84</v>
      </c>
      <c r="N135" s="115">
        <v>2.1465900000000002</v>
      </c>
      <c r="O135" s="117">
        <v>1962844</v>
      </c>
      <c r="P135" s="114">
        <v>65065.1</v>
      </c>
      <c r="Q135" s="115">
        <v>650.65099999999995</v>
      </c>
      <c r="R135" s="115">
        <v>6.5065099999999996</v>
      </c>
      <c r="S135" s="115">
        <v>6.5065100000000001E-2</v>
      </c>
      <c r="T135" s="115">
        <v>100.851</v>
      </c>
      <c r="U135" s="115">
        <v>0.70035499999999995</v>
      </c>
      <c r="V135" s="345">
        <v>6.5065100000000003E-4</v>
      </c>
      <c r="W135" s="123">
        <v>6.5065138546017703E-6</v>
      </c>
      <c r="X135" s="314">
        <v>1.6077945880627701E-5</v>
      </c>
      <c r="Y135" s="142">
        <v>1</v>
      </c>
      <c r="Z135" s="12">
        <v>122.07</v>
      </c>
      <c r="AA135" s="7">
        <v>96.78</v>
      </c>
      <c r="AB135" s="7">
        <v>10</v>
      </c>
      <c r="AC135" s="445">
        <v>99.508160000000004</v>
      </c>
      <c r="AD135" s="18" t="s">
        <v>9</v>
      </c>
      <c r="AE135" s="410">
        <v>0.81517503890726095</v>
      </c>
      <c r="AF135" s="18" t="s">
        <v>31</v>
      </c>
      <c r="AG135" s="409">
        <f>AA135+AC135</f>
        <v>196.28816</v>
      </c>
      <c r="AH135" s="7">
        <v>6.4398999999999997</v>
      </c>
      <c r="AI135" s="7">
        <v>77.278700000000001</v>
      </c>
      <c r="AJ135" s="7">
        <v>1.96288</v>
      </c>
      <c r="AK135" s="301">
        <v>1.2196799999999999E-3</v>
      </c>
      <c r="AL135" s="7">
        <v>1962.88</v>
      </c>
      <c r="AM135" s="7">
        <v>2.14663</v>
      </c>
      <c r="AN135" s="14">
        <v>1962880</v>
      </c>
      <c r="AO135" s="8">
        <v>65065.1</v>
      </c>
      <c r="AP135" s="12">
        <f>(Z135*Z135)/2*(AE135-SIN(AE135))</f>
        <v>650.65138546017704</v>
      </c>
      <c r="AQ135" s="7">
        <v>6.5065099999999996</v>
      </c>
      <c r="AR135" s="7">
        <v>6.5065100000000001E-2</v>
      </c>
      <c r="AS135" s="7">
        <v>100.851</v>
      </c>
      <c r="AT135" s="7">
        <v>0.70035499999999995</v>
      </c>
      <c r="AU135" s="163">
        <v>6.5065100000000003E-4</v>
      </c>
      <c r="AV135" s="21">
        <v>6.5065100000000002E-6</v>
      </c>
      <c r="AW135" s="306">
        <v>1.6077936355699302E-5</v>
      </c>
      <c r="AX135" s="47" t="s">
        <v>9</v>
      </c>
      <c r="AY135" s="216">
        <f>(100*(B135-AA135))/AA135</f>
        <v>-4.1019941100380371E-3</v>
      </c>
      <c r="AZ135" s="90">
        <f>(100*(D135-AC135))/AC135</f>
        <v>2.4118625044510333E-4</v>
      </c>
      <c r="BA135" s="229">
        <f>(100*(F135-AE135))/AE135</f>
        <v>0</v>
      </c>
      <c r="BB135" s="237" t="s">
        <v>31</v>
      </c>
      <c r="BC135" s="134">
        <f>(100*(H135-AG135))/AG135</f>
        <v>-2.1193331273842713E-3</v>
      </c>
      <c r="BD135" s="82">
        <f t="shared" si="87"/>
        <v>-1.8633829717836919E-3</v>
      </c>
      <c r="BE135" s="91">
        <f t="shared" si="88"/>
        <v>-1.8116246779563353E-3</v>
      </c>
      <c r="BF135" s="91">
        <f t="shared" si="89"/>
        <v>-2.037821975874226E-3</v>
      </c>
      <c r="BG135" s="91">
        <f>(100*(L135-AK135))/AK135</f>
        <v>-1.6397743670373561E-3</v>
      </c>
      <c r="BH135" s="91">
        <f>(100*(M135-AL135))/AL135</f>
        <v>-2.0378219758819178E-3</v>
      </c>
      <c r="BI135" s="91">
        <f>(100*(N135-AM135))/AM135</f>
        <v>-1.8633858652780384E-3</v>
      </c>
      <c r="BJ135" s="423">
        <f t="shared" ref="BJ135:BJ150" si="102">(100*(O135-AN135))/AN135</f>
        <v>-1.834039778284969E-3</v>
      </c>
      <c r="BK135" s="138">
        <f>(100*(P135-AO135))/AO135</f>
        <v>0</v>
      </c>
      <c r="BL135" s="93">
        <f>(100*(Q135-AP135))/AP135</f>
        <v>-5.9242197234819846E-5</v>
      </c>
      <c r="BM135" s="93">
        <f t="shared" si="95"/>
        <v>0</v>
      </c>
      <c r="BN135" s="93">
        <f t="shared" si="96"/>
        <v>0</v>
      </c>
      <c r="BO135" s="93">
        <f t="shared" si="97"/>
        <v>0</v>
      </c>
      <c r="BP135" s="93">
        <f t="shared" si="98"/>
        <v>0</v>
      </c>
      <c r="BQ135" s="93">
        <f t="shared" si="99"/>
        <v>0</v>
      </c>
      <c r="BR135" s="93">
        <f t="shared" si="100"/>
        <v>5.9242232319857667E-5</v>
      </c>
      <c r="BS135" s="95">
        <f t="shared" si="101"/>
        <v>5.9242232264460919E-5</v>
      </c>
    </row>
    <row r="136" spans="1:71" x14ac:dyDescent="0.25">
      <c r="A136" s="1">
        <v>60</v>
      </c>
      <c r="B136" s="1">
        <v>120</v>
      </c>
      <c r="C136" s="1">
        <v>60</v>
      </c>
      <c r="D136" s="6">
        <v>188.4956</v>
      </c>
      <c r="E136" s="211" t="s">
        <v>5</v>
      </c>
      <c r="F136" s="482">
        <v>3.14159265358979</v>
      </c>
      <c r="G136" s="211" t="s">
        <v>31</v>
      </c>
      <c r="H136" s="118">
        <v>9402.94</v>
      </c>
      <c r="I136" s="1">
        <v>308.49599999999998</v>
      </c>
      <c r="J136" s="1">
        <v>3701.95</v>
      </c>
      <c r="K136" s="1">
        <v>94.029399999999995</v>
      </c>
      <c r="L136" s="1">
        <v>5.8427199999999999E-2</v>
      </c>
      <c r="M136" s="1">
        <v>94029.4</v>
      </c>
      <c r="N136" s="1">
        <v>102.83199999999999</v>
      </c>
      <c r="O136" s="119">
        <v>94029446</v>
      </c>
      <c r="P136" s="118">
        <v>525354314</v>
      </c>
      <c r="Q136" s="1">
        <v>5253543</v>
      </c>
      <c r="R136" s="1">
        <v>52535.4</v>
      </c>
      <c r="S136" s="1">
        <v>525.35400000000004</v>
      </c>
      <c r="T136" s="1">
        <v>814301</v>
      </c>
      <c r="U136" s="1">
        <v>5654.87</v>
      </c>
      <c r="V136" s="1">
        <v>5.2535400000000001</v>
      </c>
      <c r="W136" s="52">
        <v>5.2535400000000003E-2</v>
      </c>
      <c r="X136" s="119">
        <v>0.12981799999999999</v>
      </c>
      <c r="Y136" s="143">
        <v>2</v>
      </c>
      <c r="Z136" s="34">
        <v>60</v>
      </c>
      <c r="AA136" s="2">
        <v>120</v>
      </c>
      <c r="AB136" s="2">
        <v>60</v>
      </c>
      <c r="AC136" s="42">
        <v>188.49556000000001</v>
      </c>
      <c r="AD136" s="19" t="s">
        <v>5</v>
      </c>
      <c r="AE136" s="476">
        <v>3.14159265358979</v>
      </c>
      <c r="AF136" s="19" t="s">
        <v>31</v>
      </c>
      <c r="AG136" s="15">
        <v>9402.9599999999991</v>
      </c>
      <c r="AH136" s="186">
        <f>AA136+AC136</f>
        <v>308.49556000000001</v>
      </c>
      <c r="AI136" s="2">
        <v>3701.95</v>
      </c>
      <c r="AJ136" s="2">
        <v>94.029600000000002</v>
      </c>
      <c r="AK136" s="2">
        <v>5.8427300000000001E-2</v>
      </c>
      <c r="AL136" s="2">
        <v>94029.6</v>
      </c>
      <c r="AM136" s="2">
        <v>102.83199999999999</v>
      </c>
      <c r="AN136" s="16">
        <v>94029581</v>
      </c>
      <c r="AO136" s="15">
        <v>525354614</v>
      </c>
      <c r="AP136" s="2">
        <v>5253546</v>
      </c>
      <c r="AQ136" s="2">
        <v>52535.5</v>
      </c>
      <c r="AR136" s="2">
        <v>525.35500000000002</v>
      </c>
      <c r="AS136" s="2">
        <v>814301</v>
      </c>
      <c r="AT136" s="2">
        <f>(Z136*Z136)/2*(AE136-SIN(AE136))</f>
        <v>5654.8667764616166</v>
      </c>
      <c r="AU136" s="2">
        <v>5.2535499999999997</v>
      </c>
      <c r="AV136" s="342">
        <v>5.2535499999999999E-2</v>
      </c>
      <c r="AW136" s="42">
        <v>0.12981799999999999</v>
      </c>
      <c r="AX136" s="46" t="s">
        <v>5</v>
      </c>
      <c r="AY136" s="217">
        <f t="shared" ref="AY136:AY142" si="103">(100*(B136-AA136))/AA136</f>
        <v>0</v>
      </c>
      <c r="AZ136" s="73">
        <f t="shared" ref="AZ136:AZ142" si="104">(100*(D136-AC136))/AC136</f>
        <v>2.1220658982245965E-5</v>
      </c>
      <c r="BA136" s="230">
        <f t="shared" ref="BA136:BA142" si="105">(100*(F136-AE136))/AE136</f>
        <v>0</v>
      </c>
      <c r="BB136" s="238" t="s">
        <v>31</v>
      </c>
      <c r="BC136" s="134">
        <f t="shared" ref="BC136:BC142" si="106">(100*(H136-AG136))/AG136</f>
        <v>-2.1269897988099036E-4</v>
      </c>
      <c r="BD136" s="82">
        <f t="shared" ref="BD136:BD150" si="107">(100*(I136-AH136))/AH136</f>
        <v>1.4262766049830076E-4</v>
      </c>
      <c r="BE136" s="82">
        <f t="shared" ref="BE136:BE150" si="108">(100*(J136-AI136))/AI136</f>
        <v>0</v>
      </c>
      <c r="BF136" s="82">
        <f t="shared" ref="BF136:BF150" si="109">(100*(K136-AJ136))/AJ136</f>
        <v>-2.126989799027533E-4</v>
      </c>
      <c r="BG136" s="82">
        <f t="shared" ref="BG136:BG142" si="110">(100*(L136-AK136))/AK136</f>
        <v>-1.711528686125759E-4</v>
      </c>
      <c r="BH136" s="82">
        <f t="shared" ref="BH136:BH142" si="111">(100*(M136-AL136))/AL136</f>
        <v>-2.1269897990807313E-4</v>
      </c>
      <c r="BI136" s="82">
        <f t="shared" ref="BI136:BI142" si="112">(100*(N136-AM136))/AM136</f>
        <v>0</v>
      </c>
      <c r="BJ136" s="424">
        <f t="shared" si="102"/>
        <v>-1.4357184044029719E-4</v>
      </c>
      <c r="BK136" s="139">
        <f t="shared" ref="BK136:BK142" si="113">(100*(P136-AO136))/AO136</f>
        <v>-5.7104285753926964E-5</v>
      </c>
      <c r="BL136" s="80">
        <f t="shared" ref="BL136:BL142" si="114">(100*(Q136-AP136))/AP136</f>
        <v>-5.7104287275680086E-5</v>
      </c>
      <c r="BM136" s="80">
        <f t="shared" ref="BM136:BM150" si="115">(100*(R136-AQ136))/AQ136</f>
        <v>-1.9034747932073515E-4</v>
      </c>
      <c r="BN136" s="80">
        <f t="shared" ref="BN136:BN150" si="116">(100*(S136-AR136))/AR136</f>
        <v>-1.9034747931900392E-4</v>
      </c>
      <c r="BO136" s="80">
        <f t="shared" ref="BO136:BO150" si="117">(100*(T136-AS136))/AS136</f>
        <v>0</v>
      </c>
      <c r="BP136" s="80">
        <f t="shared" ref="BP136:BP150" si="118">(100*(U136-AT136))/AT136</f>
        <v>5.7004674216185687E-5</v>
      </c>
      <c r="BQ136" s="80">
        <f t="shared" ref="BQ136:BQ150" si="119">(100*(V136-AU136))/AU136</f>
        <v>-1.9034747931629894E-4</v>
      </c>
      <c r="BR136" s="80">
        <f t="shared" ref="BR136:BR150" si="120">(100*(W136-AV136))/AV136</f>
        <v>-1.9034747931577061E-4</v>
      </c>
      <c r="BS136" s="96">
        <f t="shared" ref="BS136:BS150" si="121">(100*(X136-AW136))/AW136</f>
        <v>0</v>
      </c>
    </row>
    <row r="137" spans="1:71" x14ac:dyDescent="0.25">
      <c r="A137" s="1">
        <v>6.6207900000000004</v>
      </c>
      <c r="B137" s="1">
        <v>9.9312396003721499</v>
      </c>
      <c r="C137" s="1">
        <v>11</v>
      </c>
      <c r="D137" s="6">
        <v>30.369900000000001</v>
      </c>
      <c r="E137" s="211" t="s">
        <v>8</v>
      </c>
      <c r="F137" s="482">
        <v>4.5870486811734903</v>
      </c>
      <c r="G137" s="211" t="s">
        <v>31</v>
      </c>
      <c r="H137" s="118">
        <v>102.36499999999999</v>
      </c>
      <c r="I137" s="1">
        <v>3.3584299999999998</v>
      </c>
      <c r="J137" s="1">
        <v>40.301099999999998</v>
      </c>
      <c r="K137" s="1">
        <v>1.0236499999999999</v>
      </c>
      <c r="L137" s="1">
        <v>6.3606600000000002E-4</v>
      </c>
      <c r="M137" s="1">
        <v>1023.65</v>
      </c>
      <c r="N137" s="1">
        <v>1.11948</v>
      </c>
      <c r="O137" s="119">
        <v>1023649</v>
      </c>
      <c r="P137" s="118">
        <v>78891.3</v>
      </c>
      <c r="Q137" s="1">
        <v>788.91300000000001</v>
      </c>
      <c r="R137" s="1">
        <v>7.8891299999999998</v>
      </c>
      <c r="S137" s="1">
        <v>7.8891299999999998E-2</v>
      </c>
      <c r="T137" s="1">
        <v>122.282</v>
      </c>
      <c r="U137" s="1">
        <v>0.84917900000000002</v>
      </c>
      <c r="V137" s="316">
        <v>7.8891300000000003E-4</v>
      </c>
      <c r="W137" s="50">
        <v>7.8891333039833796E-6</v>
      </c>
      <c r="X137" s="398">
        <v>1.9494472945261299E-5</v>
      </c>
      <c r="Y137" s="143">
        <v>3</v>
      </c>
      <c r="Z137" s="34">
        <v>6.6207900000000004</v>
      </c>
      <c r="AA137" s="2">
        <v>9.9311000000000007</v>
      </c>
      <c r="AB137" s="2">
        <v>11</v>
      </c>
      <c r="AC137" s="42">
        <v>30.369869999999999</v>
      </c>
      <c r="AD137" s="19" t="s">
        <v>8</v>
      </c>
      <c r="AE137" s="476">
        <v>4.5870486811734903</v>
      </c>
      <c r="AF137" s="19" t="s">
        <v>31</v>
      </c>
      <c r="AG137" s="15">
        <v>102.36499999999999</v>
      </c>
      <c r="AH137" s="2">
        <v>3.3584200000000002</v>
      </c>
      <c r="AI137" s="186">
        <f>AA137+AC137</f>
        <v>40.30097</v>
      </c>
      <c r="AJ137" s="2">
        <v>1.0236499999999999</v>
      </c>
      <c r="AK137" s="2">
        <v>6.3606399999999999E-4</v>
      </c>
      <c r="AL137" s="2">
        <v>1023.65</v>
      </c>
      <c r="AM137" s="2">
        <v>1.11947</v>
      </c>
      <c r="AN137" s="16">
        <v>1023645</v>
      </c>
      <c r="AO137" s="27">
        <v>78891.5</v>
      </c>
      <c r="AP137" s="26">
        <v>788.91499999999996</v>
      </c>
      <c r="AQ137" s="2">
        <v>7.8891499999999999</v>
      </c>
      <c r="AR137" s="2">
        <v>7.8891500000000003E-2</v>
      </c>
      <c r="AS137" s="2">
        <f>(Z137*Z137)/2*(AE137-SIN(AE137))</f>
        <v>122.28181077536397</v>
      </c>
      <c r="AT137" s="2">
        <v>0.84918099999999996</v>
      </c>
      <c r="AU137" s="302">
        <v>7.8891499999999995E-4</v>
      </c>
      <c r="AV137" s="25">
        <v>7.8891455120000003E-6</v>
      </c>
      <c r="AW137" s="344">
        <v>1.9494503111927401E-5</v>
      </c>
      <c r="AX137" s="46" t="s">
        <v>8</v>
      </c>
      <c r="AY137" s="217">
        <f t="shared" si="103"/>
        <v>1.4056889181381501E-3</v>
      </c>
      <c r="AZ137" s="73">
        <f t="shared" si="104"/>
        <v>9.8782115308419108E-5</v>
      </c>
      <c r="BA137" s="230">
        <f t="shared" si="105"/>
        <v>0</v>
      </c>
      <c r="BB137" s="238" t="s">
        <v>31</v>
      </c>
      <c r="BC137" s="134">
        <f t="shared" si="106"/>
        <v>0</v>
      </c>
      <c r="BD137" s="82">
        <f t="shared" si="107"/>
        <v>2.9775906526346979E-4</v>
      </c>
      <c r="BE137" s="82">
        <f t="shared" si="108"/>
        <v>3.2257288099673832E-4</v>
      </c>
      <c r="BF137" s="82">
        <f t="shared" si="109"/>
        <v>0</v>
      </c>
      <c r="BG137" s="82">
        <f t="shared" si="110"/>
        <v>3.1443376767612859E-4</v>
      </c>
      <c r="BH137" s="82">
        <f t="shared" si="111"/>
        <v>0</v>
      </c>
      <c r="BI137" s="82">
        <f t="shared" si="112"/>
        <v>8.9327985565182746E-4</v>
      </c>
      <c r="BJ137" s="424">
        <f t="shared" si="102"/>
        <v>3.9076046871718223E-4</v>
      </c>
      <c r="BK137" s="139">
        <f t="shared" si="113"/>
        <v>-2.5351273584237798E-4</v>
      </c>
      <c r="BL137" s="80">
        <f t="shared" si="114"/>
        <v>-2.5351273584007231E-4</v>
      </c>
      <c r="BM137" s="80">
        <f t="shared" si="115"/>
        <v>-2.5351273584772787E-4</v>
      </c>
      <c r="BN137" s="80">
        <f t="shared" si="116"/>
        <v>-2.5351273585335699E-4</v>
      </c>
      <c r="BO137" s="80">
        <f t="shared" si="117"/>
        <v>1.5474471209699284E-4</v>
      </c>
      <c r="BP137" s="80">
        <f t="shared" si="118"/>
        <v>-2.3552104909865966E-4</v>
      </c>
      <c r="BQ137" s="80">
        <f t="shared" si="119"/>
        <v>-2.5351273583631577E-4</v>
      </c>
      <c r="BR137" s="80">
        <f t="shared" si="120"/>
        <v>-1.5474447267007415E-4</v>
      </c>
      <c r="BS137" s="96">
        <f t="shared" si="121"/>
        <v>-1.5474447298271984E-4</v>
      </c>
    </row>
    <row r="138" spans="1:71" x14ac:dyDescent="0.25">
      <c r="A138" s="1">
        <v>8</v>
      </c>
      <c r="B138" s="1">
        <v>11.206408880636101</v>
      </c>
      <c r="C138" s="1">
        <v>2.29</v>
      </c>
      <c r="D138" s="6">
        <v>12.41534</v>
      </c>
      <c r="E138" s="211" t="s">
        <v>4</v>
      </c>
      <c r="F138" s="482">
        <v>1.5519170803060001</v>
      </c>
      <c r="G138" s="211" t="s">
        <v>31</v>
      </c>
      <c r="H138" s="118">
        <v>2362.17</v>
      </c>
      <c r="I138" s="1">
        <v>77.499200000000002</v>
      </c>
      <c r="J138" s="1">
        <v>929.99</v>
      </c>
      <c r="K138" s="1">
        <v>23.621700000000001</v>
      </c>
      <c r="L138" s="1">
        <v>1.4677900000000001E-2</v>
      </c>
      <c r="M138" s="1">
        <v>23621.7</v>
      </c>
      <c r="N138" s="1">
        <v>25.833100000000002</v>
      </c>
      <c r="O138" s="119">
        <v>23621746</v>
      </c>
      <c r="P138" s="118">
        <v>17667049</v>
      </c>
      <c r="Q138" s="1">
        <v>176670</v>
      </c>
      <c r="R138" s="1">
        <v>1766.7</v>
      </c>
      <c r="S138" s="1">
        <v>17.667000000000002</v>
      </c>
      <c r="T138" s="1">
        <v>27384</v>
      </c>
      <c r="U138" s="1">
        <v>190.167</v>
      </c>
      <c r="V138" s="1">
        <v>0.17666999999999999</v>
      </c>
      <c r="W138" s="1">
        <v>1.7667E-3</v>
      </c>
      <c r="X138" s="119">
        <v>4.3656199999999997E-3</v>
      </c>
      <c r="Y138" s="143">
        <v>4</v>
      </c>
      <c r="Z138" s="34">
        <v>8</v>
      </c>
      <c r="AA138" s="2">
        <v>11.2</v>
      </c>
      <c r="AB138" s="2">
        <v>2.29</v>
      </c>
      <c r="AC138" s="42">
        <v>12.41</v>
      </c>
      <c r="AD138" s="19" t="s">
        <v>4</v>
      </c>
      <c r="AE138" s="476">
        <v>1.5519170803060001</v>
      </c>
      <c r="AF138" s="19" t="s">
        <v>31</v>
      </c>
      <c r="AG138" s="15">
        <v>2361</v>
      </c>
      <c r="AH138" s="2">
        <v>77.460599999999999</v>
      </c>
      <c r="AI138" s="2">
        <v>929.52800000000002</v>
      </c>
      <c r="AJ138" s="186">
        <f>AA138+AC138</f>
        <v>23.61</v>
      </c>
      <c r="AK138" s="2">
        <v>1.4670600000000001E-2</v>
      </c>
      <c r="AL138" s="2">
        <v>23610</v>
      </c>
      <c r="AM138" s="2">
        <v>25.8202</v>
      </c>
      <c r="AN138" s="16">
        <v>23610000</v>
      </c>
      <c r="AO138" s="15">
        <v>17667000</v>
      </c>
      <c r="AP138" s="2">
        <v>176670</v>
      </c>
      <c r="AQ138" s="2">
        <v>1766.7</v>
      </c>
      <c r="AR138" s="2">
        <f>(Z138*Z138)/2*(AE138-SIN(AE138))</f>
        <v>17.66704921557589</v>
      </c>
      <c r="AS138" s="2">
        <v>27383.9</v>
      </c>
      <c r="AT138" s="2">
        <v>190.166</v>
      </c>
      <c r="AU138" s="2">
        <v>0.17666999999999999</v>
      </c>
      <c r="AV138" s="2">
        <v>1.7667E-3</v>
      </c>
      <c r="AW138" s="42">
        <v>4.3656099999999998E-3</v>
      </c>
      <c r="AX138" s="46" t="s">
        <v>4</v>
      </c>
      <c r="AY138" s="217">
        <f t="shared" si="103"/>
        <v>5.7222148536619145E-2</v>
      </c>
      <c r="AZ138" s="73">
        <f t="shared" si="104"/>
        <v>4.3029814665595037E-2</v>
      </c>
      <c r="BA138" s="230">
        <f t="shared" si="105"/>
        <v>0</v>
      </c>
      <c r="BB138" s="238" t="s">
        <v>31</v>
      </c>
      <c r="BC138" s="134">
        <f t="shared" si="106"/>
        <v>4.9555273189329639E-2</v>
      </c>
      <c r="BD138" s="82">
        <f t="shared" si="107"/>
        <v>4.983178544963815E-2</v>
      </c>
      <c r="BE138" s="82">
        <f t="shared" si="108"/>
        <v>4.9702644783157592E-2</v>
      </c>
      <c r="BF138" s="82">
        <f t="shared" si="109"/>
        <v>4.9555273189331443E-2</v>
      </c>
      <c r="BG138" s="82">
        <f t="shared" si="110"/>
        <v>4.9759382711000333E-2</v>
      </c>
      <c r="BH138" s="82">
        <f t="shared" si="111"/>
        <v>4.9555273189329639E-2</v>
      </c>
      <c r="BI138" s="82">
        <f t="shared" si="112"/>
        <v>4.9960883339408332E-2</v>
      </c>
      <c r="BJ138" s="424">
        <f t="shared" si="102"/>
        <v>4.9750105887335874E-2</v>
      </c>
      <c r="BK138" s="139">
        <f t="shared" si="113"/>
        <v>2.7735325748570782E-4</v>
      </c>
      <c r="BL138" s="80">
        <f t="shared" si="114"/>
        <v>0</v>
      </c>
      <c r="BM138" s="80">
        <f t="shared" si="115"/>
        <v>0</v>
      </c>
      <c r="BN138" s="80">
        <f t="shared" si="116"/>
        <v>-2.7857269931103837E-4</v>
      </c>
      <c r="BO138" s="80">
        <f t="shared" si="117"/>
        <v>3.6517807908495432E-4</v>
      </c>
      <c r="BP138" s="80">
        <f t="shared" si="118"/>
        <v>5.2585635708001161E-4</v>
      </c>
      <c r="BQ138" s="80">
        <f t="shared" si="119"/>
        <v>0</v>
      </c>
      <c r="BR138" s="80">
        <f t="shared" si="120"/>
        <v>0</v>
      </c>
      <c r="BS138" s="96">
        <f t="shared" si="121"/>
        <v>2.2906306335061108E-4</v>
      </c>
    </row>
    <row r="139" spans="1:71" x14ac:dyDescent="0.25">
      <c r="A139" s="1">
        <v>630</v>
      </c>
      <c r="B139" s="1">
        <v>1190.00194352782</v>
      </c>
      <c r="C139" s="1">
        <v>422.94</v>
      </c>
      <c r="D139" s="456">
        <v>1557.2401</v>
      </c>
      <c r="E139" s="211" t="s">
        <v>10</v>
      </c>
      <c r="F139" s="482">
        <v>2.4718097229503799</v>
      </c>
      <c r="G139" s="211" t="s">
        <v>31</v>
      </c>
      <c r="H139" s="120">
        <v>442125754</v>
      </c>
      <c r="I139" s="1">
        <v>14505438</v>
      </c>
      <c r="J139" s="1">
        <v>174065257</v>
      </c>
      <c r="K139" s="1">
        <v>4421258</v>
      </c>
      <c r="L139" s="1">
        <v>2747.24</v>
      </c>
      <c r="M139" s="1">
        <v>4421257540</v>
      </c>
      <c r="N139" s="1">
        <v>4835146</v>
      </c>
      <c r="O139" s="164">
        <v>4421257540271</v>
      </c>
      <c r="P139" s="120">
        <v>9.5137965478555098E+17</v>
      </c>
      <c r="Q139" s="59">
        <v>9513796547855510</v>
      </c>
      <c r="R139" s="59">
        <v>95137965478555</v>
      </c>
      <c r="S139" s="59">
        <v>951379654786</v>
      </c>
      <c r="T139" s="59">
        <v>1474641414200430</v>
      </c>
      <c r="U139" s="59">
        <v>10240565376392</v>
      </c>
      <c r="V139" s="1">
        <v>9513796548</v>
      </c>
      <c r="W139" s="1">
        <v>95137965</v>
      </c>
      <c r="X139" s="119">
        <v>235091033</v>
      </c>
      <c r="Y139" s="143">
        <v>5</v>
      </c>
      <c r="Z139" s="34">
        <v>630</v>
      </c>
      <c r="AA139" s="2">
        <v>1190</v>
      </c>
      <c r="AB139" s="2">
        <v>422.94</v>
      </c>
      <c r="AC139" s="461">
        <v>1557.2341300000001</v>
      </c>
      <c r="AD139" s="19" t="s">
        <v>10</v>
      </c>
      <c r="AE139" s="476">
        <v>2.4718097229503799</v>
      </c>
      <c r="AF139" s="19" t="s">
        <v>31</v>
      </c>
      <c r="AG139" s="15">
        <v>442123812</v>
      </c>
      <c r="AH139" s="2">
        <v>14505374</v>
      </c>
      <c r="AI139" s="2">
        <v>174064493</v>
      </c>
      <c r="AJ139" s="2">
        <v>4421238</v>
      </c>
      <c r="AK139" s="186">
        <f>AA139+AC139</f>
        <v>2747.2341299999998</v>
      </c>
      <c r="AL139" s="2">
        <v>4421238117</v>
      </c>
      <c r="AM139" s="2">
        <v>4835125</v>
      </c>
      <c r="AN139" s="185">
        <v>4421238117120</v>
      </c>
      <c r="AO139" s="28">
        <v>9.51379654786E+17</v>
      </c>
      <c r="AP139" s="29">
        <v>9513796547860000</v>
      </c>
      <c r="AQ139" s="29">
        <v>95137965478600</v>
      </c>
      <c r="AR139" s="26">
        <f>(Z139*Z139)/2*(AE139-SIN(AE139))*1609.344*1609.344</f>
        <v>951379654785.54639</v>
      </c>
      <c r="AS139" s="29">
        <v>1474641414201130</v>
      </c>
      <c r="AT139" s="29">
        <v>10240565376397</v>
      </c>
      <c r="AU139" s="2">
        <v>9513796548</v>
      </c>
      <c r="AV139" s="2">
        <v>95137965</v>
      </c>
      <c r="AW139" s="42">
        <v>235091033</v>
      </c>
      <c r="AX139" s="46" t="s">
        <v>10</v>
      </c>
      <c r="AY139" s="217">
        <f t="shared" si="103"/>
        <v>1.6332166554651345E-4</v>
      </c>
      <c r="AZ139" s="73">
        <f t="shared" si="104"/>
        <v>3.8337202382880356E-4</v>
      </c>
      <c r="BA139" s="230">
        <f t="shared" si="105"/>
        <v>0</v>
      </c>
      <c r="BB139" s="238" t="s">
        <v>31</v>
      </c>
      <c r="BC139" s="134">
        <f t="shared" si="106"/>
        <v>4.3924347598812432E-4</v>
      </c>
      <c r="BD139" s="82">
        <f t="shared" si="107"/>
        <v>4.4121578664569423E-4</v>
      </c>
      <c r="BE139" s="82">
        <f t="shared" si="108"/>
        <v>4.3891777514900758E-4</v>
      </c>
      <c r="BF139" s="82">
        <f t="shared" si="109"/>
        <v>4.5236198548913222E-4</v>
      </c>
      <c r="BG139" s="82">
        <f t="shared" si="110"/>
        <v>2.1366944796798095E-4</v>
      </c>
      <c r="BH139" s="82">
        <f t="shared" si="111"/>
        <v>4.3931133058219764E-4</v>
      </c>
      <c r="BI139" s="82">
        <f t="shared" si="112"/>
        <v>4.3432176003722759E-4</v>
      </c>
      <c r="BJ139" s="424">
        <f t="shared" si="102"/>
        <v>4.3931474590317392E-4</v>
      </c>
      <c r="BK139" s="139">
        <f t="shared" si="113"/>
        <v>-4.719714130327938E-11</v>
      </c>
      <c r="BL139" s="80">
        <f t="shared" si="114"/>
        <v>-4.7194618651057501E-11</v>
      </c>
      <c r="BM139" s="80">
        <f t="shared" si="115"/>
        <v>-4.7299729160302613E-11</v>
      </c>
      <c r="BN139" s="80">
        <f t="shared" si="116"/>
        <v>4.7679522992558683E-11</v>
      </c>
      <c r="BO139" s="80">
        <f t="shared" si="117"/>
        <v>-4.7469167301205693E-11</v>
      </c>
      <c r="BP139" s="80">
        <f t="shared" si="118"/>
        <v>-4.8825429224096029E-11</v>
      </c>
      <c r="BQ139" s="80">
        <f t="shared" si="119"/>
        <v>0</v>
      </c>
      <c r="BR139" s="80">
        <f t="shared" si="120"/>
        <v>0</v>
      </c>
      <c r="BS139" s="96">
        <f t="shared" si="121"/>
        <v>0</v>
      </c>
    </row>
    <row r="140" spans="1:71" x14ac:dyDescent="0.25">
      <c r="A140" s="1">
        <v>960</v>
      </c>
      <c r="B140" s="1">
        <v>960.01519904634802</v>
      </c>
      <c r="C140" s="1">
        <v>128.62</v>
      </c>
      <c r="D140" s="456">
        <v>1005.3271999999999</v>
      </c>
      <c r="E140" s="211" t="s">
        <v>6</v>
      </c>
      <c r="F140" s="482">
        <v>1.0472158328562999</v>
      </c>
      <c r="G140" s="211" t="s">
        <v>31</v>
      </c>
      <c r="H140" s="118">
        <v>196.53399999999999</v>
      </c>
      <c r="I140" s="1">
        <v>6.4479699999999998</v>
      </c>
      <c r="J140" s="1">
        <v>77.375699999999995</v>
      </c>
      <c r="K140" s="1">
        <v>1.9653400000000001</v>
      </c>
      <c r="L140" s="348">
        <v>1.2212099999999999E-3</v>
      </c>
      <c r="M140" s="1">
        <v>1965.34</v>
      </c>
      <c r="N140" s="1">
        <v>2.1493199999999999</v>
      </c>
      <c r="O140" s="119">
        <v>1965342</v>
      </c>
      <c r="P140" s="463">
        <v>83488.3</v>
      </c>
      <c r="Q140" s="349">
        <v>834.88300000000004</v>
      </c>
      <c r="R140" s="348">
        <v>8.3488299999999995</v>
      </c>
      <c r="S140" s="78">
        <v>8.3488300000000001E-2</v>
      </c>
      <c r="T140" s="349">
        <v>129.40700000000001</v>
      </c>
      <c r="U140" s="315">
        <v>0.89866100000000004</v>
      </c>
      <c r="V140" s="316">
        <v>8.3488300000000002E-4</v>
      </c>
      <c r="W140" s="50">
        <v>8.3488337688605602E-6</v>
      </c>
      <c r="X140" s="398">
        <v>2.0630417532602399E-5</v>
      </c>
      <c r="Y140" s="143">
        <v>6</v>
      </c>
      <c r="Z140" s="34">
        <v>960</v>
      </c>
      <c r="AA140" s="2">
        <v>960</v>
      </c>
      <c r="AB140" s="2">
        <v>128.62</v>
      </c>
      <c r="AC140" s="461">
        <v>1005.30922</v>
      </c>
      <c r="AD140" s="19" t="s">
        <v>6</v>
      </c>
      <c r="AE140" s="476">
        <v>1.0472158328562999</v>
      </c>
      <c r="AF140" s="19" t="s">
        <v>31</v>
      </c>
      <c r="AG140" s="15">
        <v>196.53100000000001</v>
      </c>
      <c r="AH140" s="2">
        <v>6.44787</v>
      </c>
      <c r="AI140" s="2">
        <v>77.374399999999994</v>
      </c>
      <c r="AJ140" s="2">
        <v>1.9653099999999999</v>
      </c>
      <c r="AK140" s="309">
        <v>1.22119E-3</v>
      </c>
      <c r="AL140" s="186">
        <f>AA140+AC140</f>
        <v>1965.3092200000001</v>
      </c>
      <c r="AM140" s="2">
        <v>2.1492900000000001</v>
      </c>
      <c r="AN140" s="16">
        <v>1965310</v>
      </c>
      <c r="AO140" s="15">
        <f>(Z140*Z140)/2*(AE140-SIN(AE140))</f>
        <v>83488.337688606043</v>
      </c>
      <c r="AP140" s="2">
        <v>834.88300000000004</v>
      </c>
      <c r="AQ140" s="2">
        <v>8.3488299999999995</v>
      </c>
      <c r="AR140" s="342">
        <v>8.3488300000000001E-2</v>
      </c>
      <c r="AS140" s="2">
        <v>129.40700000000001</v>
      </c>
      <c r="AT140" s="76">
        <v>0.89866100000000004</v>
      </c>
      <c r="AU140" s="302">
        <v>8.3488300000000002E-4</v>
      </c>
      <c r="AV140" s="23">
        <v>8.3488300000000008E-6</v>
      </c>
      <c r="AW140" s="344">
        <v>2.0630408219545099E-5</v>
      </c>
      <c r="AX140" s="46" t="s">
        <v>6</v>
      </c>
      <c r="AY140" s="217">
        <f t="shared" si="103"/>
        <v>1.5832339945850056E-3</v>
      </c>
      <c r="AZ140" s="73">
        <f t="shared" si="104"/>
        <v>1.7885044364723834E-3</v>
      </c>
      <c r="BA140" s="230">
        <f t="shared" si="105"/>
        <v>0</v>
      </c>
      <c r="BB140" s="238" t="s">
        <v>31</v>
      </c>
      <c r="BC140" s="134">
        <f t="shared" si="106"/>
        <v>1.5264767390314518E-3</v>
      </c>
      <c r="BD140" s="82">
        <f t="shared" si="107"/>
        <v>1.5508997544889543E-3</v>
      </c>
      <c r="BE140" s="82">
        <f t="shared" si="108"/>
        <v>1.6801422692783699E-3</v>
      </c>
      <c r="BF140" s="82">
        <f t="shared" si="109"/>
        <v>1.5264767390486254E-3</v>
      </c>
      <c r="BG140" s="82">
        <f t="shared" si="110"/>
        <v>1.6377467879593857E-3</v>
      </c>
      <c r="BH140" s="82">
        <f t="shared" si="111"/>
        <v>1.566165755830647E-3</v>
      </c>
      <c r="BI140" s="82">
        <f t="shared" si="112"/>
        <v>1.395809779031794E-3</v>
      </c>
      <c r="BJ140" s="424">
        <f t="shared" si="102"/>
        <v>1.6282418549745333E-3</v>
      </c>
      <c r="BK140" s="139">
        <f t="shared" si="113"/>
        <v>-4.5142360099311124E-5</v>
      </c>
      <c r="BL140" s="80">
        <f t="shared" si="114"/>
        <v>0</v>
      </c>
      <c r="BM140" s="80">
        <f t="shared" si="115"/>
        <v>0</v>
      </c>
      <c r="BN140" s="80">
        <f t="shared" si="116"/>
        <v>0</v>
      </c>
      <c r="BO140" s="80">
        <f t="shared" si="117"/>
        <v>0</v>
      </c>
      <c r="BP140" s="80">
        <f t="shared" si="118"/>
        <v>0</v>
      </c>
      <c r="BQ140" s="80">
        <f t="shared" si="119"/>
        <v>0</v>
      </c>
      <c r="BR140" s="80">
        <f t="shared" si="120"/>
        <v>4.514237994224649E-5</v>
      </c>
      <c r="BS140" s="96">
        <f t="shared" si="121"/>
        <v>4.5142380127412419E-5</v>
      </c>
    </row>
    <row r="141" spans="1:71" x14ac:dyDescent="0.25">
      <c r="A141" s="118">
        <v>777</v>
      </c>
      <c r="B141" s="1">
        <v>199.999593945361</v>
      </c>
      <c r="C141" s="1">
        <v>1547.5381500000001</v>
      </c>
      <c r="D141" s="119">
        <v>4681.4790999999996</v>
      </c>
      <c r="E141" s="211" t="s">
        <v>7</v>
      </c>
      <c r="F141" s="482">
        <v>6.0250696430405899</v>
      </c>
      <c r="G141" s="211" t="s">
        <v>31</v>
      </c>
      <c r="H141" s="374">
        <v>446362</v>
      </c>
      <c r="I141" s="325">
        <v>14644.4</v>
      </c>
      <c r="J141" s="325">
        <v>175733</v>
      </c>
      <c r="K141" s="325">
        <v>4463.62</v>
      </c>
      <c r="L141" s="348">
        <v>2.7735699999999999</v>
      </c>
      <c r="M141" s="325">
        <v>4463624</v>
      </c>
      <c r="N141" s="325">
        <v>4881.4799999999996</v>
      </c>
      <c r="O141" s="164">
        <v>4463624129</v>
      </c>
      <c r="P141" s="374">
        <v>1585137183779</v>
      </c>
      <c r="Q141" s="325">
        <v>15851371838</v>
      </c>
      <c r="R141" s="325">
        <v>158513718</v>
      </c>
      <c r="S141" s="325">
        <v>1585137</v>
      </c>
      <c r="T141" s="325">
        <v>2456967549</v>
      </c>
      <c r="U141" s="325">
        <v>17062275</v>
      </c>
      <c r="V141" s="325">
        <v>15851.4</v>
      </c>
      <c r="W141" s="349">
        <v>158.51400000000001</v>
      </c>
      <c r="X141" s="464">
        <v>391.69600000000003</v>
      </c>
      <c r="Y141" s="143">
        <v>7</v>
      </c>
      <c r="Z141" s="15">
        <v>777</v>
      </c>
      <c r="AA141" s="2">
        <v>200</v>
      </c>
      <c r="AB141" s="2">
        <v>1547.5381500000001</v>
      </c>
      <c r="AC141" s="16">
        <v>4681.4771300000002</v>
      </c>
      <c r="AD141" s="19" t="s">
        <v>7</v>
      </c>
      <c r="AE141" s="476">
        <v>6.0250696430405899</v>
      </c>
      <c r="AF141" s="19" t="s">
        <v>31</v>
      </c>
      <c r="AG141" s="15">
        <v>446363</v>
      </c>
      <c r="AH141" s="2">
        <v>14644.4</v>
      </c>
      <c r="AI141" s="2">
        <v>175733</v>
      </c>
      <c r="AJ141" s="2">
        <v>4463.63</v>
      </c>
      <c r="AK141" s="2">
        <v>2.7735699999999999</v>
      </c>
      <c r="AL141" s="2">
        <v>4463625</v>
      </c>
      <c r="AM141" s="186">
        <f>AA141+AC141</f>
        <v>4881.4771300000002</v>
      </c>
      <c r="AN141" s="16">
        <v>4463625312</v>
      </c>
      <c r="AO141" s="28">
        <v>1585137000000</v>
      </c>
      <c r="AP141" s="2">
        <v>15851370000</v>
      </c>
      <c r="AQ141" s="2">
        <v>158513700</v>
      </c>
      <c r="AR141" s="2">
        <f>(Z141*Z141)/2*(AE141-SIN(AE141))*0.9144*0.9144</f>
        <v>1585137.1837789321</v>
      </c>
      <c r="AS141" s="2">
        <v>2456967264</v>
      </c>
      <c r="AT141" s="2">
        <v>17062273</v>
      </c>
      <c r="AU141" s="2">
        <v>15851.4</v>
      </c>
      <c r="AV141" s="2">
        <v>158.51400000000001</v>
      </c>
      <c r="AW141" s="42">
        <v>391.69600000000003</v>
      </c>
      <c r="AX141" s="46" t="s">
        <v>7</v>
      </c>
      <c r="AY141" s="217">
        <f t="shared" si="103"/>
        <v>-2.0302731950039288E-4</v>
      </c>
      <c r="AZ141" s="73">
        <f t="shared" si="104"/>
        <v>4.2080735303011679E-5</v>
      </c>
      <c r="BA141" s="230">
        <f t="shared" si="105"/>
        <v>0</v>
      </c>
      <c r="BB141" s="238" t="s">
        <v>31</v>
      </c>
      <c r="BC141" s="134">
        <f t="shared" si="106"/>
        <v>-2.240329059532264E-4</v>
      </c>
      <c r="BD141" s="82">
        <f t="shared" si="107"/>
        <v>0</v>
      </c>
      <c r="BE141" s="82">
        <f t="shared" si="108"/>
        <v>0</v>
      </c>
      <c r="BF141" s="82">
        <f t="shared" si="109"/>
        <v>-2.2403290595811656E-4</v>
      </c>
      <c r="BG141" s="82">
        <f t="shared" si="110"/>
        <v>0</v>
      </c>
      <c r="BH141" s="82">
        <f t="shared" si="111"/>
        <v>-2.2403315690722226E-5</v>
      </c>
      <c r="BI141" s="82">
        <f t="shared" si="112"/>
        <v>5.8793679104008892E-5</v>
      </c>
      <c r="BJ141" s="424">
        <f t="shared" si="102"/>
        <v>-2.6503120609600127E-5</v>
      </c>
      <c r="BK141" s="139">
        <f t="shared" si="113"/>
        <v>1.1593887468401785E-5</v>
      </c>
      <c r="BL141" s="80">
        <f t="shared" si="114"/>
        <v>1.1595212275027332E-5</v>
      </c>
      <c r="BM141" s="80">
        <f t="shared" si="115"/>
        <v>1.1355485361833079E-5</v>
      </c>
      <c r="BN141" s="80">
        <f t="shared" si="116"/>
        <v>-1.1593881839749405E-5</v>
      </c>
      <c r="BO141" s="80">
        <f t="shared" si="117"/>
        <v>1.1599666148421259E-5</v>
      </c>
      <c r="BP141" s="80">
        <f t="shared" si="118"/>
        <v>1.1721767668352277E-5</v>
      </c>
      <c r="BQ141" s="80">
        <f t="shared" si="119"/>
        <v>0</v>
      </c>
      <c r="BR141" s="80">
        <f t="shared" si="120"/>
        <v>0</v>
      </c>
      <c r="BS141" s="96">
        <f t="shared" si="121"/>
        <v>0</v>
      </c>
    </row>
    <row r="142" spans="1:71" ht="15.75" thickBot="1" x14ac:dyDescent="0.3">
      <c r="A142" s="55">
        <v>94.74</v>
      </c>
      <c r="B142" s="55">
        <v>156.04717235502901</v>
      </c>
      <c r="C142" s="55">
        <v>41</v>
      </c>
      <c r="D142" s="457">
        <v>183.3503</v>
      </c>
      <c r="E142" s="212" t="s">
        <v>20</v>
      </c>
      <c r="F142" s="483">
        <v>1.93529951964971</v>
      </c>
      <c r="G142" s="212" t="s">
        <v>31</v>
      </c>
      <c r="H142" s="334">
        <v>3.3939700000000003E-2</v>
      </c>
      <c r="I142" s="335">
        <v>1.1135100000000001E-3</v>
      </c>
      <c r="J142" s="66">
        <v>1.33621E-2</v>
      </c>
      <c r="K142" s="329">
        <v>3.3939700000000002E-4</v>
      </c>
      <c r="L142" s="353">
        <v>2.1089179743214701E-7</v>
      </c>
      <c r="M142" s="351">
        <v>0.339397</v>
      </c>
      <c r="N142" s="335">
        <v>3.7116999999999999E-4</v>
      </c>
      <c r="O142" s="465">
        <v>339.39699999999999</v>
      </c>
      <c r="P142" s="352">
        <v>4.4923200000000002E-3</v>
      </c>
      <c r="Q142" s="376">
        <v>4.4923150762280999E-5</v>
      </c>
      <c r="R142" s="376">
        <v>4.4923150762281001E-7</v>
      </c>
      <c r="S142" s="67">
        <v>4.4923150762280999E-9</v>
      </c>
      <c r="T142" s="333">
        <v>6.9631022943581403E-6</v>
      </c>
      <c r="U142" s="67">
        <v>4.8354877044153798E-8</v>
      </c>
      <c r="V142" s="68">
        <v>4.4923150762280998E-11</v>
      </c>
      <c r="W142" s="69">
        <v>4.4923150762280998E-13</v>
      </c>
      <c r="X142" s="331">
        <v>1.1100752305820401E-12</v>
      </c>
      <c r="Y142" s="144">
        <v>8</v>
      </c>
      <c r="Z142" s="281">
        <v>94.74</v>
      </c>
      <c r="AA142" s="9">
        <v>156.04</v>
      </c>
      <c r="AB142" s="9">
        <v>41</v>
      </c>
      <c r="AC142" s="466">
        <v>183.34</v>
      </c>
      <c r="AD142" s="20" t="s">
        <v>20</v>
      </c>
      <c r="AE142" s="477">
        <v>1.93529951964971</v>
      </c>
      <c r="AF142" s="20" t="s">
        <v>31</v>
      </c>
      <c r="AG142" s="17">
        <v>3.3938000000000003E-2</v>
      </c>
      <c r="AH142" s="357">
        <v>1.11345E-3</v>
      </c>
      <c r="AI142" s="478">
        <v>1.3361400000000001E-2</v>
      </c>
      <c r="AJ142" s="357">
        <v>3.3938000000000002E-4</v>
      </c>
      <c r="AK142" s="320">
        <v>2.1088095522150599E-7</v>
      </c>
      <c r="AL142" s="9">
        <v>0.33938000000000001</v>
      </c>
      <c r="AM142" s="357">
        <v>3.7115E-4</v>
      </c>
      <c r="AN142" s="467">
        <f>AA142+AC142</f>
        <v>339.38</v>
      </c>
      <c r="AO142" s="17">
        <f>(Z142*Z142)/2*(AE142-SIN(AE142))/1000/1000</f>
        <v>4.4923150762281195E-3</v>
      </c>
      <c r="AP142" s="416">
        <v>4.4923199999999997E-5</v>
      </c>
      <c r="AQ142" s="189">
        <v>4.4923200000000001E-7</v>
      </c>
      <c r="AR142" s="190">
        <v>4.4923200000000001E-9</v>
      </c>
      <c r="AS142" s="203">
        <v>6.96310992621985E-6</v>
      </c>
      <c r="AT142" s="206">
        <v>4.8354930043193402E-8</v>
      </c>
      <c r="AU142" s="191">
        <v>4.4923199999999997E-11</v>
      </c>
      <c r="AV142" s="192">
        <v>4.4923199999999999E-13</v>
      </c>
      <c r="AW142" s="193">
        <v>1.11007644727258E-12</v>
      </c>
      <c r="AX142" s="48" t="s">
        <v>20</v>
      </c>
      <c r="AY142" s="218">
        <f t="shared" si="103"/>
        <v>4.5964848942662354E-3</v>
      </c>
      <c r="AZ142" s="97">
        <f t="shared" si="104"/>
        <v>5.6179775280903585E-3</v>
      </c>
      <c r="BA142" s="231">
        <f t="shared" si="105"/>
        <v>0</v>
      </c>
      <c r="BB142" s="239" t="s">
        <v>31</v>
      </c>
      <c r="BC142" s="135">
        <f t="shared" si="106"/>
        <v>5.0091343037312521E-3</v>
      </c>
      <c r="BD142" s="98">
        <f t="shared" si="107"/>
        <v>5.388656877280287E-3</v>
      </c>
      <c r="BE142" s="98">
        <f t="shared" si="108"/>
        <v>5.2389719640105999E-3</v>
      </c>
      <c r="BF142" s="98">
        <f t="shared" si="109"/>
        <v>5.0091343037293352E-3</v>
      </c>
      <c r="BG142" s="98">
        <f t="shared" si="110"/>
        <v>5.1413891926056273E-3</v>
      </c>
      <c r="BH142" s="98">
        <f t="shared" si="111"/>
        <v>5.0091343037271625E-3</v>
      </c>
      <c r="BI142" s="98">
        <f t="shared" si="112"/>
        <v>5.3886568772705491E-3</v>
      </c>
      <c r="BJ142" s="425">
        <f t="shared" si="102"/>
        <v>5.0091343037291262E-3</v>
      </c>
      <c r="BK142" s="140">
        <f t="shared" si="113"/>
        <v>1.0960433088770775E-4</v>
      </c>
      <c r="BL142" s="100">
        <f t="shared" si="114"/>
        <v>-1.0960421118211776E-4</v>
      </c>
      <c r="BM142" s="100">
        <f t="shared" si="115"/>
        <v>-1.0960421118777429E-4</v>
      </c>
      <c r="BN142" s="100">
        <f t="shared" si="116"/>
        <v>-1.0960421119072041E-4</v>
      </c>
      <c r="BO142" s="100">
        <f t="shared" si="117"/>
        <v>-1.0960421120177615E-4</v>
      </c>
      <c r="BP142" s="100">
        <f t="shared" si="118"/>
        <v>-1.0960421110445953E-4</v>
      </c>
      <c r="BQ142" s="100">
        <f t="shared" si="119"/>
        <v>-1.0960421118496629E-4</v>
      </c>
      <c r="BR142" s="100">
        <f t="shared" si="120"/>
        <v>-1.0960421118811308E-4</v>
      </c>
      <c r="BS142" s="102">
        <f t="shared" si="121"/>
        <v>-1.0960421175313726E-4</v>
      </c>
    </row>
    <row r="143" spans="1:71" x14ac:dyDescent="0.25">
      <c r="A143" s="57">
        <v>122.07</v>
      </c>
      <c r="B143" s="57">
        <v>96.776030090100306</v>
      </c>
      <c r="C143" s="57">
        <v>10</v>
      </c>
      <c r="D143" s="452">
        <v>99.508399999999995</v>
      </c>
      <c r="E143" s="245" t="s">
        <v>9</v>
      </c>
      <c r="F143" s="481">
        <v>51.895654770887496</v>
      </c>
      <c r="G143" s="245" t="s">
        <v>32</v>
      </c>
      <c r="H143" s="114">
        <v>196.28399999999999</v>
      </c>
      <c r="I143" s="115">
        <v>6.4397799999999998</v>
      </c>
      <c r="J143" s="115">
        <v>77.277299999999997</v>
      </c>
      <c r="K143" s="115">
        <v>1.9628399999999999</v>
      </c>
      <c r="L143" s="311">
        <v>1.21966E-3</v>
      </c>
      <c r="M143" s="115">
        <v>1962.84</v>
      </c>
      <c r="N143" s="115">
        <v>2.1465900000000002</v>
      </c>
      <c r="O143" s="117">
        <v>1962844</v>
      </c>
      <c r="P143" s="114">
        <v>65065.1</v>
      </c>
      <c r="Q143" s="115">
        <v>650.65099999999995</v>
      </c>
      <c r="R143" s="115">
        <v>6.5065099999999996</v>
      </c>
      <c r="S143" s="115">
        <v>6.5065100000000001E-2</v>
      </c>
      <c r="T143" s="115">
        <v>100.851</v>
      </c>
      <c r="U143" s="115">
        <v>0.70035499999999995</v>
      </c>
      <c r="V143" s="345">
        <v>6.5065100000000003E-4</v>
      </c>
      <c r="W143" s="123">
        <v>6.5065138546017703E-6</v>
      </c>
      <c r="X143" s="314">
        <v>1.6077945880627701E-5</v>
      </c>
      <c r="Y143" s="142">
        <v>1</v>
      </c>
      <c r="Z143" s="12">
        <v>122.07</v>
      </c>
      <c r="AA143" s="7">
        <v>96.78</v>
      </c>
      <c r="AB143" s="7">
        <v>10</v>
      </c>
      <c r="AC143" s="445">
        <v>99.508160000000004</v>
      </c>
      <c r="AD143" s="18" t="s">
        <v>9</v>
      </c>
      <c r="AE143" s="410">
        <v>51.895654770887496</v>
      </c>
      <c r="AF143" s="18" t="s">
        <v>32</v>
      </c>
      <c r="AG143" s="409">
        <f>AA143+AC143</f>
        <v>196.28816</v>
      </c>
      <c r="AH143" s="7">
        <v>6.4398999999999997</v>
      </c>
      <c r="AI143" s="7">
        <v>77.278700000000001</v>
      </c>
      <c r="AJ143" s="7">
        <v>1.96288</v>
      </c>
      <c r="AK143" s="301">
        <v>1.2196799999999999E-3</v>
      </c>
      <c r="AL143" s="7">
        <v>1962.88</v>
      </c>
      <c r="AM143" s="7">
        <v>2.14663</v>
      </c>
      <c r="AN143" s="14">
        <v>1962880</v>
      </c>
      <c r="AO143" s="8">
        <v>65065.1</v>
      </c>
      <c r="AP143" s="12">
        <f>(Z143*Z143)/2*(AE135-SIN(AE135))</f>
        <v>650.65138546017704</v>
      </c>
      <c r="AQ143" s="7">
        <v>6.5065099999999996</v>
      </c>
      <c r="AR143" s="7">
        <v>6.5065100000000001E-2</v>
      </c>
      <c r="AS143" s="7">
        <v>100.851</v>
      </c>
      <c r="AT143" s="7">
        <v>0.70035499999999995</v>
      </c>
      <c r="AU143" s="163">
        <v>6.5065100000000003E-4</v>
      </c>
      <c r="AV143" s="21">
        <v>6.5065100000000002E-6</v>
      </c>
      <c r="AW143" s="306">
        <v>1.6077936355699302E-5</v>
      </c>
      <c r="AX143" s="84" t="s">
        <v>9</v>
      </c>
      <c r="AY143" s="216">
        <f>(100*(B143-AA143))/AA143</f>
        <v>-4.1019941100380371E-3</v>
      </c>
      <c r="AZ143" s="90">
        <f>(100*(D143-AC143))/AC143</f>
        <v>2.4118625044510333E-4</v>
      </c>
      <c r="BA143" s="229">
        <f>(100*(F143-AE143))/AE143</f>
        <v>0</v>
      </c>
      <c r="BB143" s="240" t="s">
        <v>32</v>
      </c>
      <c r="BC143" s="134">
        <f>(100*(H143-AG143))/AG143</f>
        <v>-2.1193331273842713E-3</v>
      </c>
      <c r="BD143" s="82">
        <f t="shared" si="107"/>
        <v>-1.8633829717836919E-3</v>
      </c>
      <c r="BE143" s="91">
        <f t="shared" si="108"/>
        <v>-1.8116246779563353E-3</v>
      </c>
      <c r="BF143" s="91">
        <f t="shared" si="109"/>
        <v>-2.037821975874226E-3</v>
      </c>
      <c r="BG143" s="91">
        <f>(100*(L143-AK143))/AK143</f>
        <v>-1.6397743670373561E-3</v>
      </c>
      <c r="BH143" s="91">
        <f>(100*(M143-AL143))/AL143</f>
        <v>-2.0378219758819178E-3</v>
      </c>
      <c r="BI143" s="91">
        <f>(100*(N143-AM143))/AM143</f>
        <v>-1.8633858652780384E-3</v>
      </c>
      <c r="BJ143" s="423">
        <f t="shared" si="102"/>
        <v>-1.834039778284969E-3</v>
      </c>
      <c r="BK143" s="138">
        <f>(100*(P143-AO143))/AO143</f>
        <v>0</v>
      </c>
      <c r="BL143" s="93">
        <f>(100*(Q143-AP143))/AP143</f>
        <v>-5.9242197234819846E-5</v>
      </c>
      <c r="BM143" s="93">
        <f t="shared" si="115"/>
        <v>0</v>
      </c>
      <c r="BN143" s="93">
        <f t="shared" si="116"/>
        <v>0</v>
      </c>
      <c r="BO143" s="93">
        <f t="shared" si="117"/>
        <v>0</v>
      </c>
      <c r="BP143" s="93">
        <f t="shared" si="118"/>
        <v>0</v>
      </c>
      <c r="BQ143" s="93">
        <f t="shared" si="119"/>
        <v>0</v>
      </c>
      <c r="BR143" s="93">
        <f t="shared" si="120"/>
        <v>5.9242232319857667E-5</v>
      </c>
      <c r="BS143" s="95">
        <f t="shared" si="121"/>
        <v>5.9242232264460919E-5</v>
      </c>
    </row>
    <row r="144" spans="1:71" x14ac:dyDescent="0.25">
      <c r="A144" s="1">
        <v>60</v>
      </c>
      <c r="B144" s="1">
        <v>120</v>
      </c>
      <c r="C144" s="1">
        <v>60</v>
      </c>
      <c r="D144" s="6">
        <v>188.4956</v>
      </c>
      <c r="E144" s="211" t="s">
        <v>5</v>
      </c>
      <c r="F144" s="482">
        <v>200</v>
      </c>
      <c r="G144" s="211" t="s">
        <v>32</v>
      </c>
      <c r="H144" s="118">
        <v>9402.94</v>
      </c>
      <c r="I144" s="1">
        <v>308.49599999999998</v>
      </c>
      <c r="J144" s="1">
        <v>3701.95</v>
      </c>
      <c r="K144" s="1">
        <v>94.029399999999995</v>
      </c>
      <c r="L144" s="1">
        <v>5.8427199999999999E-2</v>
      </c>
      <c r="M144" s="1">
        <v>94029.4</v>
      </c>
      <c r="N144" s="1">
        <v>102.83199999999999</v>
      </c>
      <c r="O144" s="119">
        <v>94029446</v>
      </c>
      <c r="P144" s="118">
        <v>525354314</v>
      </c>
      <c r="Q144" s="1">
        <v>5253543</v>
      </c>
      <c r="R144" s="1">
        <v>52535.4</v>
      </c>
      <c r="S144" s="1">
        <v>525.35400000000004</v>
      </c>
      <c r="T144" s="1">
        <v>814301</v>
      </c>
      <c r="U144" s="1">
        <v>5654.87</v>
      </c>
      <c r="V144" s="1">
        <v>5.2535400000000001</v>
      </c>
      <c r="W144" s="52">
        <v>5.2535400000000003E-2</v>
      </c>
      <c r="X144" s="119">
        <v>0.12981799999999999</v>
      </c>
      <c r="Y144" s="143">
        <v>2</v>
      </c>
      <c r="Z144" s="34">
        <v>60</v>
      </c>
      <c r="AA144" s="2">
        <v>120</v>
      </c>
      <c r="AB144" s="2">
        <v>60</v>
      </c>
      <c r="AC144" s="42">
        <v>188.49556000000001</v>
      </c>
      <c r="AD144" s="19" t="s">
        <v>5</v>
      </c>
      <c r="AE144" s="476">
        <v>200</v>
      </c>
      <c r="AF144" s="19" t="s">
        <v>32</v>
      </c>
      <c r="AG144" s="15">
        <v>9402.9599999999991</v>
      </c>
      <c r="AH144" s="186">
        <f>AA144+AC144</f>
        <v>308.49556000000001</v>
      </c>
      <c r="AI144" s="2">
        <v>3701.95</v>
      </c>
      <c r="AJ144" s="2">
        <v>94.029600000000002</v>
      </c>
      <c r="AK144" s="2">
        <v>5.8427300000000001E-2</v>
      </c>
      <c r="AL144" s="2">
        <v>94029.6</v>
      </c>
      <c r="AM144" s="2">
        <v>102.83199999999999</v>
      </c>
      <c r="AN144" s="16">
        <v>94029581</v>
      </c>
      <c r="AO144" s="15">
        <v>525354614</v>
      </c>
      <c r="AP144" s="2">
        <v>5253546</v>
      </c>
      <c r="AQ144" s="2">
        <v>52535.5</v>
      </c>
      <c r="AR144" s="2">
        <v>525.35500000000002</v>
      </c>
      <c r="AS144" s="2">
        <v>814301</v>
      </c>
      <c r="AT144" s="2">
        <f>(Z144*Z144)/2*(AE136-SIN(AE136))</f>
        <v>5654.8667764616166</v>
      </c>
      <c r="AU144" s="2">
        <v>5.2535499999999997</v>
      </c>
      <c r="AV144" s="342">
        <v>5.2535499999999999E-2</v>
      </c>
      <c r="AW144" s="42">
        <v>0.12981799999999999</v>
      </c>
      <c r="AX144" s="46" t="s">
        <v>5</v>
      </c>
      <c r="AY144" s="217">
        <f t="shared" ref="AY144:AY150" si="122">(100*(B144-AA144))/AA144</f>
        <v>0</v>
      </c>
      <c r="AZ144" s="73">
        <f t="shared" ref="AZ144:AZ150" si="123">(100*(D144-AC144))/AC144</f>
        <v>2.1220658982245965E-5</v>
      </c>
      <c r="BA144" s="230">
        <f t="shared" ref="BA144:BA150" si="124">(100*(F144-AE144))/AE144</f>
        <v>0</v>
      </c>
      <c r="BB144" s="238" t="s">
        <v>32</v>
      </c>
      <c r="BC144" s="134">
        <f t="shared" ref="BC144:BC150" si="125">(100*(H144-AG144))/AG144</f>
        <v>-2.1269897988099036E-4</v>
      </c>
      <c r="BD144" s="82">
        <f t="shared" si="107"/>
        <v>1.4262766049830076E-4</v>
      </c>
      <c r="BE144" s="82">
        <f t="shared" si="108"/>
        <v>0</v>
      </c>
      <c r="BF144" s="82">
        <f t="shared" si="109"/>
        <v>-2.126989799027533E-4</v>
      </c>
      <c r="BG144" s="82">
        <f t="shared" ref="BG144:BG150" si="126">(100*(L144-AK144))/AK144</f>
        <v>-1.711528686125759E-4</v>
      </c>
      <c r="BH144" s="82">
        <f t="shared" ref="BH144:BH150" si="127">(100*(M144-AL144))/AL144</f>
        <v>-2.1269897990807313E-4</v>
      </c>
      <c r="BI144" s="82">
        <f t="shared" ref="BI144:BI150" si="128">(100*(N144-AM144))/AM144</f>
        <v>0</v>
      </c>
      <c r="BJ144" s="424">
        <f t="shared" si="102"/>
        <v>-1.4357184044029719E-4</v>
      </c>
      <c r="BK144" s="139">
        <f t="shared" ref="BK144:BK150" si="129">(100*(P144-AO144))/AO144</f>
        <v>-5.7104285753926964E-5</v>
      </c>
      <c r="BL144" s="80">
        <f t="shared" ref="BL144:BL150" si="130">(100*(Q144-AP144))/AP144</f>
        <v>-5.7104287275680086E-5</v>
      </c>
      <c r="BM144" s="80">
        <f t="shared" si="115"/>
        <v>-1.9034747932073515E-4</v>
      </c>
      <c r="BN144" s="80">
        <f t="shared" si="116"/>
        <v>-1.9034747931900392E-4</v>
      </c>
      <c r="BO144" s="80">
        <f t="shared" si="117"/>
        <v>0</v>
      </c>
      <c r="BP144" s="80">
        <f t="shared" si="118"/>
        <v>5.7004674216185687E-5</v>
      </c>
      <c r="BQ144" s="80">
        <f t="shared" si="119"/>
        <v>-1.9034747931629894E-4</v>
      </c>
      <c r="BR144" s="80">
        <f t="shared" si="120"/>
        <v>-1.9034747931577061E-4</v>
      </c>
      <c r="BS144" s="96">
        <f t="shared" si="121"/>
        <v>0</v>
      </c>
    </row>
    <row r="145" spans="1:71" x14ac:dyDescent="0.25">
      <c r="A145" s="1">
        <v>6.6207900000000004</v>
      </c>
      <c r="B145" s="1">
        <v>9.9312396003721499</v>
      </c>
      <c r="C145" s="1">
        <v>11</v>
      </c>
      <c r="D145" s="6">
        <v>30.369890000000002</v>
      </c>
      <c r="E145" s="211" t="s">
        <v>8</v>
      </c>
      <c r="F145" s="482">
        <v>292.020588724768</v>
      </c>
      <c r="G145" s="211" t="s">
        <v>32</v>
      </c>
      <c r="H145" s="118">
        <v>102.36499999999999</v>
      </c>
      <c r="I145" s="1">
        <v>3.3584299999999998</v>
      </c>
      <c r="J145" s="1">
        <v>40.301099999999998</v>
      </c>
      <c r="K145" s="1">
        <v>1.0236499999999999</v>
      </c>
      <c r="L145" s="1">
        <v>6.3606600000000002E-4</v>
      </c>
      <c r="M145" s="1">
        <v>1023.65</v>
      </c>
      <c r="N145" s="1">
        <v>1.11948</v>
      </c>
      <c r="O145" s="119">
        <v>1023649</v>
      </c>
      <c r="P145" s="118">
        <v>78891.3</v>
      </c>
      <c r="Q145" s="1">
        <v>788.91300000000001</v>
      </c>
      <c r="R145" s="1">
        <v>7.8891299999999998</v>
      </c>
      <c r="S145" s="1">
        <v>7.8891299999999998E-2</v>
      </c>
      <c r="T145" s="1">
        <v>122.282</v>
      </c>
      <c r="U145" s="1">
        <v>0.84917900000000002</v>
      </c>
      <c r="V145" s="316">
        <v>7.8891300000000003E-4</v>
      </c>
      <c r="W145" s="50">
        <v>7.8891333039833796E-6</v>
      </c>
      <c r="X145" s="398">
        <v>1.9494472945261299E-5</v>
      </c>
      <c r="Y145" s="143">
        <v>3</v>
      </c>
      <c r="Z145" s="34">
        <v>6.6207900000000004</v>
      </c>
      <c r="AA145" s="2">
        <v>9.9311000000000007</v>
      </c>
      <c r="AB145" s="2">
        <v>11</v>
      </c>
      <c r="AC145" s="42">
        <v>30.369869999999999</v>
      </c>
      <c r="AD145" s="19" t="s">
        <v>8</v>
      </c>
      <c r="AE145" s="476">
        <v>292.020588724768</v>
      </c>
      <c r="AF145" s="19" t="s">
        <v>32</v>
      </c>
      <c r="AG145" s="15">
        <v>102.36499999999999</v>
      </c>
      <c r="AH145" s="2">
        <v>3.3584200000000002</v>
      </c>
      <c r="AI145" s="186">
        <f>AA145+AC145</f>
        <v>40.30097</v>
      </c>
      <c r="AJ145" s="2">
        <v>1.0236499999999999</v>
      </c>
      <c r="AK145" s="2">
        <v>6.3606399999999999E-4</v>
      </c>
      <c r="AL145" s="2">
        <v>1023.65</v>
      </c>
      <c r="AM145" s="2">
        <v>1.11947</v>
      </c>
      <c r="AN145" s="16">
        <v>1023645</v>
      </c>
      <c r="AO145" s="27">
        <v>78891.5</v>
      </c>
      <c r="AP145" s="26">
        <v>788.91499999999996</v>
      </c>
      <c r="AQ145" s="2">
        <v>7.8891499999999999</v>
      </c>
      <c r="AR145" s="2">
        <v>7.8891500000000003E-2</v>
      </c>
      <c r="AS145" s="2">
        <f>(Z145*Z145)/2*(AE137-SIN(AE137))</f>
        <v>122.28181077536397</v>
      </c>
      <c r="AT145" s="2">
        <v>0.84918099999999996</v>
      </c>
      <c r="AU145" s="302">
        <v>7.8891499999999995E-4</v>
      </c>
      <c r="AV145" s="25">
        <v>7.8891455120000003E-6</v>
      </c>
      <c r="AW145" s="344">
        <v>1.9494503111927401E-5</v>
      </c>
      <c r="AX145" s="46" t="s">
        <v>8</v>
      </c>
      <c r="AY145" s="217">
        <f t="shared" si="122"/>
        <v>1.4056889181381501E-3</v>
      </c>
      <c r="AZ145" s="73">
        <f t="shared" si="123"/>
        <v>6.5854743542845455E-5</v>
      </c>
      <c r="BA145" s="230">
        <f t="shared" si="124"/>
        <v>0</v>
      </c>
      <c r="BB145" s="238" t="s">
        <v>32</v>
      </c>
      <c r="BC145" s="134">
        <f t="shared" si="125"/>
        <v>0</v>
      </c>
      <c r="BD145" s="82">
        <f t="shared" si="107"/>
        <v>2.9775906526346979E-4</v>
      </c>
      <c r="BE145" s="82">
        <f t="shared" si="108"/>
        <v>3.2257288099673832E-4</v>
      </c>
      <c r="BF145" s="82">
        <f t="shared" si="109"/>
        <v>0</v>
      </c>
      <c r="BG145" s="82">
        <f t="shared" si="126"/>
        <v>3.1443376767612859E-4</v>
      </c>
      <c r="BH145" s="82">
        <f t="shared" si="127"/>
        <v>0</v>
      </c>
      <c r="BI145" s="82">
        <f t="shared" si="128"/>
        <v>8.9327985565182746E-4</v>
      </c>
      <c r="BJ145" s="424">
        <f t="shared" si="102"/>
        <v>3.9076046871718223E-4</v>
      </c>
      <c r="BK145" s="139">
        <f t="shared" si="129"/>
        <v>-2.5351273584237798E-4</v>
      </c>
      <c r="BL145" s="80">
        <f t="shared" si="130"/>
        <v>-2.5351273584007231E-4</v>
      </c>
      <c r="BM145" s="80">
        <f t="shared" si="115"/>
        <v>-2.5351273584772787E-4</v>
      </c>
      <c r="BN145" s="80">
        <f t="shared" si="116"/>
        <v>-2.5351273585335699E-4</v>
      </c>
      <c r="BO145" s="80">
        <f t="shared" si="117"/>
        <v>1.5474471209699284E-4</v>
      </c>
      <c r="BP145" s="80">
        <f t="shared" si="118"/>
        <v>-2.3552104909865966E-4</v>
      </c>
      <c r="BQ145" s="80">
        <f t="shared" si="119"/>
        <v>-2.5351273583631577E-4</v>
      </c>
      <c r="BR145" s="80">
        <f t="shared" si="120"/>
        <v>-1.5474447267007415E-4</v>
      </c>
      <c r="BS145" s="96">
        <f t="shared" si="121"/>
        <v>-1.5474447298271984E-4</v>
      </c>
    </row>
    <row r="146" spans="1:71" x14ac:dyDescent="0.25">
      <c r="A146" s="1">
        <v>8</v>
      </c>
      <c r="B146" s="1">
        <v>11.206408880636101</v>
      </c>
      <c r="C146" s="1">
        <v>2.29</v>
      </c>
      <c r="D146" s="6">
        <v>12.41534</v>
      </c>
      <c r="E146" s="211" t="s">
        <v>4</v>
      </c>
      <c r="F146" s="482">
        <v>98.7981098397767</v>
      </c>
      <c r="G146" s="211" t="s">
        <v>32</v>
      </c>
      <c r="H146" s="118">
        <v>2362.17</v>
      </c>
      <c r="I146" s="1">
        <v>77.499200000000002</v>
      </c>
      <c r="J146" s="1">
        <v>929.99</v>
      </c>
      <c r="K146" s="1">
        <v>23.621700000000001</v>
      </c>
      <c r="L146" s="1">
        <v>1.4677900000000001E-2</v>
      </c>
      <c r="M146" s="1">
        <v>23621.7</v>
      </c>
      <c r="N146" s="1">
        <v>25.833100000000002</v>
      </c>
      <c r="O146" s="119">
        <v>23621746</v>
      </c>
      <c r="P146" s="118">
        <v>17667049</v>
      </c>
      <c r="Q146" s="1">
        <v>176670</v>
      </c>
      <c r="R146" s="1">
        <v>1766.7</v>
      </c>
      <c r="S146" s="1">
        <v>17.667000000000002</v>
      </c>
      <c r="T146" s="1">
        <v>27384</v>
      </c>
      <c r="U146" s="1">
        <v>190.167</v>
      </c>
      <c r="V146" s="1">
        <v>0.17666999999999999</v>
      </c>
      <c r="W146" s="1">
        <v>1.7667E-3</v>
      </c>
      <c r="X146" s="119">
        <v>4.3656199999999997E-3</v>
      </c>
      <c r="Y146" s="143">
        <v>4</v>
      </c>
      <c r="Z146" s="34">
        <v>8</v>
      </c>
      <c r="AA146" s="2">
        <v>11.2</v>
      </c>
      <c r="AB146" s="2">
        <v>2.29</v>
      </c>
      <c r="AC146" s="42">
        <v>12.41</v>
      </c>
      <c r="AD146" s="19" t="s">
        <v>4</v>
      </c>
      <c r="AE146" s="476">
        <v>98.7981098397767</v>
      </c>
      <c r="AF146" s="19" t="s">
        <v>32</v>
      </c>
      <c r="AG146" s="15">
        <v>2361</v>
      </c>
      <c r="AH146" s="2">
        <v>77.460599999999999</v>
      </c>
      <c r="AI146" s="2">
        <v>929.52800000000002</v>
      </c>
      <c r="AJ146" s="186">
        <f>AA146+AC146</f>
        <v>23.61</v>
      </c>
      <c r="AK146" s="2">
        <v>1.4670600000000001E-2</v>
      </c>
      <c r="AL146" s="2">
        <v>23610</v>
      </c>
      <c r="AM146" s="2">
        <v>25.8202</v>
      </c>
      <c r="AN146" s="16">
        <v>23610000</v>
      </c>
      <c r="AO146" s="15">
        <v>17667000</v>
      </c>
      <c r="AP146" s="2">
        <v>176670</v>
      </c>
      <c r="AQ146" s="2">
        <v>1766.7</v>
      </c>
      <c r="AR146" s="2">
        <f>(Z146*Z146)/2*(AE138-SIN(AE138))</f>
        <v>17.66704921557589</v>
      </c>
      <c r="AS146" s="2">
        <v>27383.9</v>
      </c>
      <c r="AT146" s="2">
        <v>190.166</v>
      </c>
      <c r="AU146" s="2">
        <v>0.17666999999999999</v>
      </c>
      <c r="AV146" s="2">
        <v>1.7667E-3</v>
      </c>
      <c r="AW146" s="42">
        <v>4.3656099999999998E-3</v>
      </c>
      <c r="AX146" s="46" t="s">
        <v>4</v>
      </c>
      <c r="AY146" s="217">
        <f t="shared" si="122"/>
        <v>5.7222148536619145E-2</v>
      </c>
      <c r="AZ146" s="73">
        <f t="shared" si="123"/>
        <v>4.3029814665595037E-2</v>
      </c>
      <c r="BA146" s="230">
        <f t="shared" si="124"/>
        <v>0</v>
      </c>
      <c r="BB146" s="238" t="s">
        <v>32</v>
      </c>
      <c r="BC146" s="134">
        <f t="shared" si="125"/>
        <v>4.9555273189329639E-2</v>
      </c>
      <c r="BD146" s="82">
        <f t="shared" si="107"/>
        <v>4.983178544963815E-2</v>
      </c>
      <c r="BE146" s="82">
        <f t="shared" si="108"/>
        <v>4.9702644783157592E-2</v>
      </c>
      <c r="BF146" s="82">
        <f t="shared" si="109"/>
        <v>4.9555273189331443E-2</v>
      </c>
      <c r="BG146" s="82">
        <f t="shared" si="126"/>
        <v>4.9759382711000333E-2</v>
      </c>
      <c r="BH146" s="82">
        <f t="shared" si="127"/>
        <v>4.9555273189329639E-2</v>
      </c>
      <c r="BI146" s="82">
        <f t="shared" si="128"/>
        <v>4.9960883339408332E-2</v>
      </c>
      <c r="BJ146" s="424">
        <f t="shared" si="102"/>
        <v>4.9750105887335874E-2</v>
      </c>
      <c r="BK146" s="139">
        <f t="shared" si="129"/>
        <v>2.7735325748570782E-4</v>
      </c>
      <c r="BL146" s="80">
        <f t="shared" si="130"/>
        <v>0</v>
      </c>
      <c r="BM146" s="80">
        <f t="shared" si="115"/>
        <v>0</v>
      </c>
      <c r="BN146" s="80">
        <f t="shared" si="116"/>
        <v>-2.7857269931103837E-4</v>
      </c>
      <c r="BO146" s="80">
        <f t="shared" si="117"/>
        <v>3.6517807908495432E-4</v>
      </c>
      <c r="BP146" s="80">
        <f t="shared" si="118"/>
        <v>5.2585635708001161E-4</v>
      </c>
      <c r="BQ146" s="80">
        <f t="shared" si="119"/>
        <v>0</v>
      </c>
      <c r="BR146" s="80">
        <f t="shared" si="120"/>
        <v>0</v>
      </c>
      <c r="BS146" s="96">
        <f t="shared" si="121"/>
        <v>2.2906306335061108E-4</v>
      </c>
    </row>
    <row r="147" spans="1:71" x14ac:dyDescent="0.25">
      <c r="A147" s="1">
        <v>630</v>
      </c>
      <c r="B147" s="1">
        <v>1190.00194352782</v>
      </c>
      <c r="C147" s="1">
        <v>422.94</v>
      </c>
      <c r="D147" s="456">
        <v>1557.2401</v>
      </c>
      <c r="E147" s="211" t="s">
        <v>10</v>
      </c>
      <c r="F147" s="482">
        <v>157.36029431606499</v>
      </c>
      <c r="G147" s="211" t="s">
        <v>32</v>
      </c>
      <c r="H147" s="120">
        <v>442125754</v>
      </c>
      <c r="I147" s="1">
        <v>14505438</v>
      </c>
      <c r="J147" s="1">
        <v>174065257</v>
      </c>
      <c r="K147" s="1">
        <v>4421258</v>
      </c>
      <c r="L147" s="1">
        <v>2747.24</v>
      </c>
      <c r="M147" s="1">
        <v>4421257540</v>
      </c>
      <c r="N147" s="1">
        <v>4835146</v>
      </c>
      <c r="O147" s="164">
        <v>4421257540271</v>
      </c>
      <c r="P147" s="120">
        <v>9.5137965478555098E+17</v>
      </c>
      <c r="Q147" s="59">
        <v>9513796547855510</v>
      </c>
      <c r="R147" s="59">
        <v>95137965478555</v>
      </c>
      <c r="S147" s="59">
        <v>951379654786</v>
      </c>
      <c r="T147" s="59">
        <v>1474641414200430</v>
      </c>
      <c r="U147" s="59">
        <v>10240565376392</v>
      </c>
      <c r="V147" s="1">
        <v>9513796548</v>
      </c>
      <c r="W147" s="1">
        <v>95137965</v>
      </c>
      <c r="X147" s="119">
        <v>235091033</v>
      </c>
      <c r="Y147" s="143">
        <v>5</v>
      </c>
      <c r="Z147" s="34">
        <v>630</v>
      </c>
      <c r="AA147" s="2">
        <v>1190</v>
      </c>
      <c r="AB147" s="2">
        <v>422.94</v>
      </c>
      <c r="AC147" s="461">
        <v>1557.2341300000001</v>
      </c>
      <c r="AD147" s="19" t="s">
        <v>10</v>
      </c>
      <c r="AE147" s="476">
        <v>157.36029431606499</v>
      </c>
      <c r="AF147" s="19" t="s">
        <v>32</v>
      </c>
      <c r="AG147" s="15">
        <v>442123812</v>
      </c>
      <c r="AH147" s="2">
        <v>14505374</v>
      </c>
      <c r="AI147" s="2">
        <v>174064493</v>
      </c>
      <c r="AJ147" s="2">
        <v>4421238</v>
      </c>
      <c r="AK147" s="186">
        <f>AA147+AC147</f>
        <v>2747.2341299999998</v>
      </c>
      <c r="AL147" s="2">
        <v>4421238117</v>
      </c>
      <c r="AM147" s="2">
        <v>4835125</v>
      </c>
      <c r="AN147" s="185">
        <v>4421238117120</v>
      </c>
      <c r="AO147" s="28">
        <v>9.51379654786E+17</v>
      </c>
      <c r="AP147" s="29">
        <v>9513796547860000</v>
      </c>
      <c r="AQ147" s="29">
        <v>95137965478600</v>
      </c>
      <c r="AR147" s="26">
        <f>(Z147*Z147)/2*(AE139-SIN(AE139))*1609.344*1609.344</f>
        <v>951379654785.54639</v>
      </c>
      <c r="AS147" s="29">
        <v>1474641414201130</v>
      </c>
      <c r="AT147" s="29">
        <v>10240565376397</v>
      </c>
      <c r="AU147" s="2">
        <v>9513796548</v>
      </c>
      <c r="AV147" s="2">
        <v>95137965</v>
      </c>
      <c r="AW147" s="42">
        <v>235091033</v>
      </c>
      <c r="AX147" s="46" t="s">
        <v>10</v>
      </c>
      <c r="AY147" s="217">
        <f t="shared" si="122"/>
        <v>1.6332166554651345E-4</v>
      </c>
      <c r="AZ147" s="73">
        <f t="shared" si="123"/>
        <v>3.8337202382880356E-4</v>
      </c>
      <c r="BA147" s="230">
        <f t="shared" si="124"/>
        <v>0</v>
      </c>
      <c r="BB147" s="238" t="s">
        <v>32</v>
      </c>
      <c r="BC147" s="134">
        <f t="shared" si="125"/>
        <v>4.3924347598812432E-4</v>
      </c>
      <c r="BD147" s="82">
        <f t="shared" si="107"/>
        <v>4.4121578664569423E-4</v>
      </c>
      <c r="BE147" s="82">
        <f t="shared" si="108"/>
        <v>4.3891777514900758E-4</v>
      </c>
      <c r="BF147" s="82">
        <f t="shared" si="109"/>
        <v>4.5236198548913222E-4</v>
      </c>
      <c r="BG147" s="82">
        <f t="shared" si="126"/>
        <v>2.1366944796798095E-4</v>
      </c>
      <c r="BH147" s="82">
        <f t="shared" si="127"/>
        <v>4.3931133058219764E-4</v>
      </c>
      <c r="BI147" s="82">
        <f t="shared" si="128"/>
        <v>4.3432176003722759E-4</v>
      </c>
      <c r="BJ147" s="424">
        <f t="shared" si="102"/>
        <v>4.3931474590317392E-4</v>
      </c>
      <c r="BK147" s="139">
        <f t="shared" si="129"/>
        <v>-4.719714130327938E-11</v>
      </c>
      <c r="BL147" s="80">
        <f t="shared" si="130"/>
        <v>-4.7194618651057501E-11</v>
      </c>
      <c r="BM147" s="80">
        <f t="shared" si="115"/>
        <v>-4.7299729160302613E-11</v>
      </c>
      <c r="BN147" s="80">
        <f t="shared" si="116"/>
        <v>4.7679522992558683E-11</v>
      </c>
      <c r="BO147" s="80">
        <f t="shared" si="117"/>
        <v>-4.7469167301205693E-11</v>
      </c>
      <c r="BP147" s="80">
        <f t="shared" si="118"/>
        <v>-4.8825429224096029E-11</v>
      </c>
      <c r="BQ147" s="80">
        <f t="shared" si="119"/>
        <v>0</v>
      </c>
      <c r="BR147" s="80">
        <f t="shared" si="120"/>
        <v>0</v>
      </c>
      <c r="BS147" s="96">
        <f t="shared" si="121"/>
        <v>0</v>
      </c>
    </row>
    <row r="148" spans="1:71" x14ac:dyDescent="0.25">
      <c r="A148" s="1">
        <v>960</v>
      </c>
      <c r="B148" s="1">
        <v>960.01519904634802</v>
      </c>
      <c r="C148" s="1">
        <v>128.62</v>
      </c>
      <c r="D148" s="456">
        <v>1005.3271999999999</v>
      </c>
      <c r="E148" s="211" t="s">
        <v>6</v>
      </c>
      <c r="F148" s="482">
        <v>66.667830513270502</v>
      </c>
      <c r="G148" s="211" t="s">
        <v>32</v>
      </c>
      <c r="H148" s="118">
        <v>196.53399999999999</v>
      </c>
      <c r="I148" s="1">
        <v>6.4479699999999998</v>
      </c>
      <c r="J148" s="1">
        <v>77.375699999999995</v>
      </c>
      <c r="K148" s="1">
        <v>1.9653400000000001</v>
      </c>
      <c r="L148" s="348">
        <v>1.2212099999999999E-3</v>
      </c>
      <c r="M148" s="1">
        <v>1965.34</v>
      </c>
      <c r="N148" s="1">
        <v>2.1493199999999999</v>
      </c>
      <c r="O148" s="119">
        <v>1965342</v>
      </c>
      <c r="P148" s="463">
        <v>83488.3</v>
      </c>
      <c r="Q148" s="349">
        <v>834.88300000000004</v>
      </c>
      <c r="R148" s="348">
        <v>8.3488299999999995</v>
      </c>
      <c r="S148" s="78">
        <v>8.3488300000000001E-2</v>
      </c>
      <c r="T148" s="349">
        <v>129.40700000000001</v>
      </c>
      <c r="U148" s="315">
        <v>0.89866100000000004</v>
      </c>
      <c r="V148" s="316">
        <v>8.3488300000000002E-4</v>
      </c>
      <c r="W148" s="50">
        <v>8.3488337688605602E-6</v>
      </c>
      <c r="X148" s="398">
        <v>2.0630417532602399E-5</v>
      </c>
      <c r="Y148" s="143">
        <v>6</v>
      </c>
      <c r="Z148" s="34">
        <v>960</v>
      </c>
      <c r="AA148" s="2">
        <v>960</v>
      </c>
      <c r="AB148" s="2">
        <v>128.62</v>
      </c>
      <c r="AC148" s="461">
        <v>1005.30922</v>
      </c>
      <c r="AD148" s="19" t="s">
        <v>6</v>
      </c>
      <c r="AE148" s="476">
        <v>66.667830513270502</v>
      </c>
      <c r="AF148" s="19" t="s">
        <v>32</v>
      </c>
      <c r="AG148" s="15">
        <v>196.53100000000001</v>
      </c>
      <c r="AH148" s="2">
        <v>6.44787</v>
      </c>
      <c r="AI148" s="2">
        <v>77.374399999999994</v>
      </c>
      <c r="AJ148" s="2">
        <v>1.9653099999999999</v>
      </c>
      <c r="AK148" s="309">
        <v>1.22119E-3</v>
      </c>
      <c r="AL148" s="186">
        <f>AA148+AC148</f>
        <v>1965.3092200000001</v>
      </c>
      <c r="AM148" s="2">
        <v>2.1492900000000001</v>
      </c>
      <c r="AN148" s="16">
        <v>1965310</v>
      </c>
      <c r="AO148" s="15">
        <f>(Z148*Z148)/2*(AE140-SIN(AE140))</f>
        <v>83488.337688606043</v>
      </c>
      <c r="AP148" s="2">
        <v>834.88300000000004</v>
      </c>
      <c r="AQ148" s="2">
        <v>8.3488299999999995</v>
      </c>
      <c r="AR148" s="342">
        <v>8.3488300000000001E-2</v>
      </c>
      <c r="AS148" s="2">
        <v>129.40700000000001</v>
      </c>
      <c r="AT148" s="76">
        <v>0.89866100000000004</v>
      </c>
      <c r="AU148" s="302">
        <v>8.3488300000000002E-4</v>
      </c>
      <c r="AV148" s="23">
        <v>8.3488300000000008E-6</v>
      </c>
      <c r="AW148" s="344">
        <v>2.0630408219545099E-5</v>
      </c>
      <c r="AX148" s="46" t="s">
        <v>6</v>
      </c>
      <c r="AY148" s="217">
        <f t="shared" si="122"/>
        <v>1.5832339945850056E-3</v>
      </c>
      <c r="AZ148" s="73">
        <f t="shared" si="123"/>
        <v>1.7885044364723834E-3</v>
      </c>
      <c r="BA148" s="230">
        <f t="shared" si="124"/>
        <v>0</v>
      </c>
      <c r="BB148" s="238" t="s">
        <v>32</v>
      </c>
      <c r="BC148" s="134">
        <f t="shared" si="125"/>
        <v>1.5264767390314518E-3</v>
      </c>
      <c r="BD148" s="82">
        <f t="shared" si="107"/>
        <v>1.5508997544889543E-3</v>
      </c>
      <c r="BE148" s="82">
        <f t="shared" si="108"/>
        <v>1.6801422692783699E-3</v>
      </c>
      <c r="BF148" s="82">
        <f t="shared" si="109"/>
        <v>1.5264767390486254E-3</v>
      </c>
      <c r="BG148" s="82">
        <f t="shared" si="126"/>
        <v>1.6377467879593857E-3</v>
      </c>
      <c r="BH148" s="82">
        <f t="shared" si="127"/>
        <v>1.566165755830647E-3</v>
      </c>
      <c r="BI148" s="82">
        <f t="shared" si="128"/>
        <v>1.395809779031794E-3</v>
      </c>
      <c r="BJ148" s="424">
        <f t="shared" si="102"/>
        <v>1.6282418549745333E-3</v>
      </c>
      <c r="BK148" s="139">
        <f t="shared" si="129"/>
        <v>-4.5142360099311124E-5</v>
      </c>
      <c r="BL148" s="80">
        <f t="shared" si="130"/>
        <v>0</v>
      </c>
      <c r="BM148" s="80">
        <f t="shared" si="115"/>
        <v>0</v>
      </c>
      <c r="BN148" s="80">
        <f t="shared" si="116"/>
        <v>0</v>
      </c>
      <c r="BO148" s="80">
        <f t="shared" si="117"/>
        <v>0</v>
      </c>
      <c r="BP148" s="80">
        <f t="shared" si="118"/>
        <v>0</v>
      </c>
      <c r="BQ148" s="80">
        <f t="shared" si="119"/>
        <v>0</v>
      </c>
      <c r="BR148" s="80">
        <f t="shared" si="120"/>
        <v>4.514237994224649E-5</v>
      </c>
      <c r="BS148" s="96">
        <f t="shared" si="121"/>
        <v>4.5142380127412419E-5</v>
      </c>
    </row>
    <row r="149" spans="1:71" x14ac:dyDescent="0.25">
      <c r="A149" s="118">
        <v>777</v>
      </c>
      <c r="B149" s="1">
        <v>199.999593945361</v>
      </c>
      <c r="C149" s="1">
        <v>1547.5381500000001</v>
      </c>
      <c r="D149" s="119">
        <v>4681.4790999999996</v>
      </c>
      <c r="E149" s="211" t="s">
        <v>7</v>
      </c>
      <c r="F149" s="482">
        <v>383.56784646513302</v>
      </c>
      <c r="G149" s="211" t="s">
        <v>32</v>
      </c>
      <c r="H149" s="374">
        <v>446362</v>
      </c>
      <c r="I149" s="325">
        <v>14644.4</v>
      </c>
      <c r="J149" s="325">
        <v>175733</v>
      </c>
      <c r="K149" s="325">
        <v>4463.62</v>
      </c>
      <c r="L149" s="348">
        <v>2.7735699999999999</v>
      </c>
      <c r="M149" s="325">
        <v>4463624</v>
      </c>
      <c r="N149" s="325">
        <v>4881.4799999999996</v>
      </c>
      <c r="O149" s="164">
        <v>4463624129</v>
      </c>
      <c r="P149" s="374">
        <v>1585137183779</v>
      </c>
      <c r="Q149" s="325">
        <v>15851371838</v>
      </c>
      <c r="R149" s="325">
        <v>158513718</v>
      </c>
      <c r="S149" s="325">
        <v>1585137</v>
      </c>
      <c r="T149" s="325">
        <v>2456967549</v>
      </c>
      <c r="U149" s="325">
        <v>17062275</v>
      </c>
      <c r="V149" s="325">
        <v>15851.4</v>
      </c>
      <c r="W149" s="349">
        <v>158.51400000000001</v>
      </c>
      <c r="X149" s="464">
        <v>391.69600000000003</v>
      </c>
      <c r="Y149" s="143">
        <v>7</v>
      </c>
      <c r="Z149" s="15">
        <v>777</v>
      </c>
      <c r="AA149" s="2">
        <v>200</v>
      </c>
      <c r="AB149" s="2">
        <v>1547.5381500000001</v>
      </c>
      <c r="AC149" s="16">
        <v>4681.4771300000002</v>
      </c>
      <c r="AD149" s="19" t="s">
        <v>7</v>
      </c>
      <c r="AE149" s="476">
        <v>383.56784646513302</v>
      </c>
      <c r="AF149" s="19" t="s">
        <v>32</v>
      </c>
      <c r="AG149" s="15">
        <v>446363</v>
      </c>
      <c r="AH149" s="2">
        <v>14644.4</v>
      </c>
      <c r="AI149" s="2">
        <v>175733</v>
      </c>
      <c r="AJ149" s="2">
        <v>4463.63</v>
      </c>
      <c r="AK149" s="2">
        <v>2.7735699999999999</v>
      </c>
      <c r="AL149" s="2">
        <v>4463625</v>
      </c>
      <c r="AM149" s="186">
        <f>AA149+AC149</f>
        <v>4881.4771300000002</v>
      </c>
      <c r="AN149" s="16">
        <v>4463625312</v>
      </c>
      <c r="AO149" s="28">
        <v>1585137000000</v>
      </c>
      <c r="AP149" s="2">
        <v>15851370000</v>
      </c>
      <c r="AQ149" s="2">
        <v>158513700</v>
      </c>
      <c r="AR149" s="2">
        <f>(Z149*Z149)/2*(AE141-SIN(AE141))*0.9144*0.9144</f>
        <v>1585137.1837789321</v>
      </c>
      <c r="AS149" s="2">
        <v>2456967264</v>
      </c>
      <c r="AT149" s="2">
        <v>17062273</v>
      </c>
      <c r="AU149" s="2">
        <v>15851.4</v>
      </c>
      <c r="AV149" s="2">
        <v>158.51400000000001</v>
      </c>
      <c r="AW149" s="42">
        <v>391.69600000000003</v>
      </c>
      <c r="AX149" s="46" t="s">
        <v>7</v>
      </c>
      <c r="AY149" s="217">
        <f t="shared" si="122"/>
        <v>-2.0302731950039288E-4</v>
      </c>
      <c r="AZ149" s="73">
        <f t="shared" si="123"/>
        <v>4.2080735303011679E-5</v>
      </c>
      <c r="BA149" s="230">
        <f t="shared" si="124"/>
        <v>0</v>
      </c>
      <c r="BB149" s="238" t="s">
        <v>32</v>
      </c>
      <c r="BC149" s="134">
        <f t="shared" si="125"/>
        <v>-2.240329059532264E-4</v>
      </c>
      <c r="BD149" s="82">
        <f t="shared" si="107"/>
        <v>0</v>
      </c>
      <c r="BE149" s="82">
        <f t="shared" si="108"/>
        <v>0</v>
      </c>
      <c r="BF149" s="82">
        <f t="shared" si="109"/>
        <v>-2.2403290595811656E-4</v>
      </c>
      <c r="BG149" s="82">
        <f t="shared" si="126"/>
        <v>0</v>
      </c>
      <c r="BH149" s="82">
        <f t="shared" si="127"/>
        <v>-2.2403315690722226E-5</v>
      </c>
      <c r="BI149" s="82">
        <f t="shared" si="128"/>
        <v>5.8793679104008892E-5</v>
      </c>
      <c r="BJ149" s="424">
        <f t="shared" si="102"/>
        <v>-2.6503120609600127E-5</v>
      </c>
      <c r="BK149" s="139">
        <f t="shared" si="129"/>
        <v>1.1593887468401785E-5</v>
      </c>
      <c r="BL149" s="80">
        <f t="shared" si="130"/>
        <v>1.1595212275027332E-5</v>
      </c>
      <c r="BM149" s="80">
        <f t="shared" si="115"/>
        <v>1.1355485361833079E-5</v>
      </c>
      <c r="BN149" s="80">
        <f t="shared" si="116"/>
        <v>-1.1593881839749405E-5</v>
      </c>
      <c r="BO149" s="80">
        <f t="shared" si="117"/>
        <v>1.1599666148421259E-5</v>
      </c>
      <c r="BP149" s="80">
        <f t="shared" si="118"/>
        <v>1.1721767668352277E-5</v>
      </c>
      <c r="BQ149" s="80">
        <f t="shared" si="119"/>
        <v>0</v>
      </c>
      <c r="BR149" s="80">
        <f t="shared" si="120"/>
        <v>0</v>
      </c>
      <c r="BS149" s="96">
        <f t="shared" si="121"/>
        <v>0</v>
      </c>
    </row>
    <row r="150" spans="1:71" ht="15.75" thickBot="1" x14ac:dyDescent="0.3">
      <c r="A150" s="55">
        <v>94.74</v>
      </c>
      <c r="B150" s="55">
        <v>156.04717235502901</v>
      </c>
      <c r="C150" s="55">
        <v>41</v>
      </c>
      <c r="D150" s="457">
        <v>183.35027649161299</v>
      </c>
      <c r="E150" s="212" t="s">
        <v>20</v>
      </c>
      <c r="F150" s="483">
        <v>123.205</v>
      </c>
      <c r="G150" s="212" t="s">
        <v>32</v>
      </c>
      <c r="H150" s="334">
        <v>3.3939700000000003E-2</v>
      </c>
      <c r="I150" s="335">
        <v>1.1135100000000001E-3</v>
      </c>
      <c r="J150" s="66">
        <v>1.33621E-2</v>
      </c>
      <c r="K150" s="329">
        <v>3.3939700000000002E-4</v>
      </c>
      <c r="L150" s="353">
        <v>2.1089179743214701E-7</v>
      </c>
      <c r="M150" s="351">
        <v>0.339397</v>
      </c>
      <c r="N150" s="335">
        <v>3.7116999999999999E-4</v>
      </c>
      <c r="O150" s="465">
        <v>339.39699999999999</v>
      </c>
      <c r="P150" s="352">
        <v>4.4923200000000002E-3</v>
      </c>
      <c r="Q150" s="376">
        <v>4.4923150762280999E-5</v>
      </c>
      <c r="R150" s="376">
        <v>4.4923150762281001E-7</v>
      </c>
      <c r="S150" s="67">
        <v>4.4923150762280999E-9</v>
      </c>
      <c r="T150" s="333">
        <v>6.9631022943581403E-6</v>
      </c>
      <c r="U150" s="67">
        <v>4.8354877044153798E-8</v>
      </c>
      <c r="V150" s="68">
        <v>4.4923150762280998E-11</v>
      </c>
      <c r="W150" s="69">
        <v>4.4923150762280998E-13</v>
      </c>
      <c r="X150" s="331">
        <v>1.1100752305820401E-12</v>
      </c>
      <c r="Y150" s="144">
        <v>8</v>
      </c>
      <c r="Z150" s="281">
        <v>94.74</v>
      </c>
      <c r="AA150" s="9">
        <v>156.04</v>
      </c>
      <c r="AB150" s="9">
        <v>41</v>
      </c>
      <c r="AC150" s="466">
        <v>183.34</v>
      </c>
      <c r="AD150" s="20" t="s">
        <v>20</v>
      </c>
      <c r="AE150" s="477">
        <v>123.20499396624901</v>
      </c>
      <c r="AF150" s="20" t="s">
        <v>32</v>
      </c>
      <c r="AG150" s="17">
        <v>3.3938000000000003E-2</v>
      </c>
      <c r="AH150" s="357">
        <v>1.11345E-3</v>
      </c>
      <c r="AI150" s="478">
        <v>1.3361400000000001E-2</v>
      </c>
      <c r="AJ150" s="357">
        <v>3.3938000000000002E-4</v>
      </c>
      <c r="AK150" s="320">
        <v>2.1088095522150599E-7</v>
      </c>
      <c r="AL150" s="9">
        <v>0.33938000000000001</v>
      </c>
      <c r="AM150" s="357">
        <v>3.7115E-4</v>
      </c>
      <c r="AN150" s="467">
        <f>AA150+AC150</f>
        <v>339.38</v>
      </c>
      <c r="AO150" s="17">
        <f>(Z150*Z150)/2*(AE142-SIN(AE142))/1000/1000</f>
        <v>4.4923150762281195E-3</v>
      </c>
      <c r="AP150" s="416">
        <v>4.4923199999999997E-5</v>
      </c>
      <c r="AQ150" s="189">
        <v>4.4923200000000001E-7</v>
      </c>
      <c r="AR150" s="190">
        <v>4.4923200000000001E-9</v>
      </c>
      <c r="AS150" s="203">
        <v>6.96310992621985E-6</v>
      </c>
      <c r="AT150" s="206">
        <v>4.8354930043193402E-8</v>
      </c>
      <c r="AU150" s="191">
        <v>4.4923199999999997E-11</v>
      </c>
      <c r="AV150" s="192">
        <v>4.4923199999999999E-13</v>
      </c>
      <c r="AW150" s="193">
        <v>1.11007644727258E-12</v>
      </c>
      <c r="AX150" s="48" t="s">
        <v>20</v>
      </c>
      <c r="AY150" s="218">
        <f t="shared" si="122"/>
        <v>4.5964848942662354E-3</v>
      </c>
      <c r="AZ150" s="97">
        <f t="shared" si="123"/>
        <v>5.6051552378009566E-3</v>
      </c>
      <c r="BA150" s="231">
        <f t="shared" si="124"/>
        <v>4.8973266406933411E-6</v>
      </c>
      <c r="BB150" s="239" t="s">
        <v>32</v>
      </c>
      <c r="BC150" s="135">
        <f t="shared" si="125"/>
        <v>5.0091343037312521E-3</v>
      </c>
      <c r="BD150" s="98">
        <f t="shared" si="107"/>
        <v>5.388656877280287E-3</v>
      </c>
      <c r="BE150" s="98">
        <f t="shared" si="108"/>
        <v>5.2389719640105999E-3</v>
      </c>
      <c r="BF150" s="98">
        <f t="shared" si="109"/>
        <v>5.0091343037293352E-3</v>
      </c>
      <c r="BG150" s="98">
        <f t="shared" si="126"/>
        <v>5.1413891926056273E-3</v>
      </c>
      <c r="BH150" s="98">
        <f t="shared" si="127"/>
        <v>5.0091343037271625E-3</v>
      </c>
      <c r="BI150" s="98">
        <f t="shared" si="128"/>
        <v>5.3886568772705491E-3</v>
      </c>
      <c r="BJ150" s="425">
        <f t="shared" si="102"/>
        <v>5.0091343037291262E-3</v>
      </c>
      <c r="BK150" s="140">
        <f t="shared" si="129"/>
        <v>1.0960433088770775E-4</v>
      </c>
      <c r="BL150" s="100">
        <f t="shared" si="130"/>
        <v>-1.0960421118211776E-4</v>
      </c>
      <c r="BM150" s="100">
        <f t="shared" si="115"/>
        <v>-1.0960421118777429E-4</v>
      </c>
      <c r="BN150" s="100">
        <f t="shared" si="116"/>
        <v>-1.0960421119072041E-4</v>
      </c>
      <c r="BO150" s="100">
        <f t="shared" si="117"/>
        <v>-1.0960421120177615E-4</v>
      </c>
      <c r="BP150" s="100">
        <f t="shared" si="118"/>
        <v>-1.0960421110445953E-4</v>
      </c>
      <c r="BQ150" s="100">
        <f t="shared" si="119"/>
        <v>-1.0960421118496629E-4</v>
      </c>
      <c r="BR150" s="100">
        <f t="shared" si="120"/>
        <v>-1.0960421118811308E-4</v>
      </c>
      <c r="BS150" s="102">
        <f t="shared" si="121"/>
        <v>-1.0960421175313726E-4</v>
      </c>
    </row>
    <row r="152" spans="1:71" x14ac:dyDescent="0.25">
      <c r="A152" s="625"/>
      <c r="B152" s="625"/>
      <c r="C152" s="625"/>
      <c r="D152" s="625"/>
      <c r="E152" s="625"/>
      <c r="F152" s="625"/>
      <c r="G152" s="625"/>
      <c r="H152" s="625"/>
      <c r="I152" s="625"/>
      <c r="J152" s="625"/>
      <c r="K152" s="625"/>
      <c r="L152" s="625"/>
      <c r="M152" s="625"/>
      <c r="N152" s="625"/>
      <c r="O152" s="625"/>
      <c r="P152" s="625"/>
      <c r="Q152" s="625"/>
      <c r="R152" s="625"/>
      <c r="S152" s="625"/>
      <c r="T152" s="625"/>
      <c r="U152" s="625"/>
      <c r="V152" s="625"/>
      <c r="W152" s="625"/>
      <c r="X152" s="625"/>
      <c r="Y152" s="625"/>
      <c r="Z152" s="625"/>
      <c r="AA152" s="625"/>
      <c r="AB152" s="625"/>
      <c r="AC152" s="625"/>
      <c r="AD152" s="625"/>
      <c r="AE152" s="625"/>
      <c r="AF152" s="625"/>
      <c r="AG152" s="625"/>
      <c r="AH152" s="625"/>
    </row>
    <row r="153" spans="1:71" ht="18.75" x14ac:dyDescent="0.3">
      <c r="A153" s="625"/>
      <c r="B153" s="625"/>
      <c r="C153" s="632">
        <v>1</v>
      </c>
      <c r="D153" s="625"/>
      <c r="E153" s="625"/>
      <c r="F153" s="625"/>
      <c r="G153" s="625"/>
      <c r="H153" s="632">
        <v>2</v>
      </c>
      <c r="I153" s="625"/>
      <c r="J153" s="625"/>
      <c r="K153" s="625"/>
      <c r="L153" s="625"/>
      <c r="M153" s="632">
        <v>3</v>
      </c>
      <c r="N153" s="625"/>
      <c r="O153" s="625"/>
      <c r="P153" s="625"/>
      <c r="Q153" s="632">
        <v>4</v>
      </c>
      <c r="R153" s="625"/>
      <c r="S153" s="625"/>
      <c r="T153" s="632">
        <v>5</v>
      </c>
      <c r="U153" s="625"/>
      <c r="V153" s="625"/>
      <c r="W153" s="633">
        <v>6</v>
      </c>
      <c r="X153" s="625"/>
      <c r="Y153" s="625"/>
      <c r="Z153" s="625"/>
      <c r="AA153" s="633">
        <v>7</v>
      </c>
      <c r="AB153" s="625"/>
      <c r="AC153" s="625"/>
      <c r="AD153" s="625"/>
      <c r="AE153" s="633">
        <v>8</v>
      </c>
      <c r="AF153" s="625"/>
      <c r="AG153" s="625"/>
      <c r="AH153" s="625"/>
    </row>
    <row r="154" spans="1:71" x14ac:dyDescent="0.25">
      <c r="A154" s="625"/>
      <c r="B154" s="625"/>
      <c r="C154" s="625"/>
      <c r="D154" s="625"/>
      <c r="E154" s="625"/>
      <c r="F154" s="625"/>
      <c r="G154" s="625"/>
      <c r="H154" s="625"/>
      <c r="I154" s="625"/>
      <c r="J154" s="625"/>
      <c r="K154" s="625"/>
      <c r="L154" s="625"/>
      <c r="M154" s="625"/>
      <c r="N154" s="625"/>
      <c r="O154" s="625"/>
      <c r="P154" s="625"/>
      <c r="Q154" s="625"/>
      <c r="R154" s="625"/>
      <c r="S154" s="625"/>
      <c r="T154" s="625"/>
      <c r="U154" s="625"/>
      <c r="V154" s="625"/>
      <c r="W154" s="625"/>
      <c r="X154" s="625"/>
      <c r="Y154" s="625"/>
      <c r="Z154" s="625"/>
      <c r="AA154" s="625"/>
      <c r="AB154" s="625"/>
      <c r="AC154" s="625"/>
      <c r="AD154" s="625"/>
      <c r="AE154" s="625"/>
      <c r="AF154" s="625"/>
      <c r="AG154" s="625"/>
      <c r="AH154" s="625"/>
    </row>
    <row r="155" spans="1:71" x14ac:dyDescent="0.25">
      <c r="A155" s="625"/>
      <c r="B155" s="625"/>
      <c r="C155" s="625"/>
      <c r="D155" s="625"/>
      <c r="E155" s="625"/>
      <c r="F155" s="625"/>
      <c r="G155" s="625"/>
      <c r="H155" s="625"/>
      <c r="I155" s="625"/>
      <c r="J155" s="625"/>
      <c r="K155" s="625"/>
      <c r="L155" s="625"/>
      <c r="M155" s="625"/>
      <c r="N155" s="625"/>
      <c r="O155" s="625"/>
      <c r="P155" s="625"/>
      <c r="Q155" s="625"/>
      <c r="R155" s="625"/>
      <c r="S155" s="625"/>
      <c r="T155" s="625"/>
      <c r="U155" s="625"/>
      <c r="V155" s="625"/>
      <c r="W155" s="625"/>
      <c r="X155" s="625"/>
      <c r="Y155" s="625"/>
      <c r="Z155" s="625"/>
      <c r="AA155" s="625"/>
      <c r="AB155" s="625"/>
      <c r="AC155" s="625"/>
      <c r="AD155" s="625"/>
      <c r="AE155" s="625"/>
      <c r="AF155" s="625"/>
      <c r="AG155" s="625"/>
      <c r="AH155" s="625"/>
    </row>
    <row r="156" spans="1:71" x14ac:dyDescent="0.25">
      <c r="A156" s="625"/>
      <c r="B156" s="625"/>
      <c r="C156" s="625"/>
      <c r="D156" s="625"/>
      <c r="E156" s="625"/>
      <c r="F156" s="625"/>
      <c r="G156" s="625"/>
      <c r="H156" s="625"/>
      <c r="I156" s="625"/>
      <c r="J156" s="625"/>
      <c r="K156" s="625"/>
      <c r="L156" s="625"/>
      <c r="M156" s="625"/>
      <c r="N156" s="625"/>
      <c r="O156" s="625"/>
      <c r="P156" s="625"/>
      <c r="Q156" s="625"/>
      <c r="R156" s="625"/>
      <c r="S156" s="625"/>
      <c r="T156" s="625"/>
      <c r="U156" s="625"/>
      <c r="V156" s="625"/>
      <c r="W156" s="625"/>
      <c r="X156" s="625"/>
      <c r="Y156" s="625"/>
      <c r="Z156" s="625"/>
      <c r="AA156" s="625"/>
      <c r="AB156" s="625"/>
      <c r="AC156" s="625"/>
      <c r="AD156" s="625"/>
      <c r="AE156" s="625"/>
      <c r="AF156" s="625"/>
      <c r="AG156" s="625"/>
      <c r="AH156" s="625"/>
    </row>
    <row r="157" spans="1:71" x14ac:dyDescent="0.25">
      <c r="A157" s="625"/>
      <c r="B157" s="625"/>
      <c r="C157" s="625"/>
      <c r="D157" s="625"/>
      <c r="E157" s="625"/>
      <c r="F157" s="625"/>
      <c r="G157" s="625"/>
      <c r="H157" s="625"/>
      <c r="I157" s="625"/>
      <c r="J157" s="625"/>
      <c r="K157" s="625"/>
      <c r="L157" s="625"/>
      <c r="M157" s="625"/>
      <c r="N157" s="625"/>
      <c r="O157" s="625"/>
      <c r="P157" s="625"/>
      <c r="Q157" s="625"/>
      <c r="R157" s="625"/>
      <c r="S157" s="625"/>
      <c r="T157" s="625"/>
      <c r="U157" s="625"/>
      <c r="V157" s="625"/>
      <c r="W157" s="625"/>
      <c r="X157" s="625"/>
      <c r="Y157" s="625"/>
      <c r="Z157" s="625"/>
      <c r="AA157" s="625"/>
      <c r="AB157" s="625"/>
      <c r="AC157" s="625"/>
      <c r="AD157" s="625"/>
      <c r="AE157" s="625"/>
      <c r="AF157" s="625"/>
      <c r="AG157" s="625"/>
      <c r="AH157" s="625"/>
    </row>
    <row r="158" spans="1:71" x14ac:dyDescent="0.25">
      <c r="A158" s="625"/>
      <c r="B158" s="625"/>
      <c r="C158" s="625"/>
      <c r="D158" s="625"/>
      <c r="E158" s="625"/>
      <c r="F158" s="625"/>
      <c r="G158" s="625"/>
      <c r="H158" s="625"/>
      <c r="I158" s="625"/>
      <c r="J158" s="625"/>
      <c r="K158" s="625"/>
      <c r="L158" s="625"/>
      <c r="M158" s="625"/>
      <c r="N158" s="625"/>
      <c r="O158" s="625"/>
      <c r="P158" s="625"/>
      <c r="Q158" s="625"/>
      <c r="R158" s="625"/>
      <c r="S158" s="625"/>
      <c r="T158" s="625"/>
      <c r="U158" s="625"/>
      <c r="V158" s="625"/>
      <c r="W158" s="625"/>
      <c r="X158" s="625"/>
      <c r="Y158" s="625"/>
      <c r="Z158" s="625"/>
      <c r="AA158" s="625"/>
      <c r="AB158" s="625"/>
      <c r="AC158" s="625"/>
      <c r="AD158" s="625"/>
      <c r="AE158" s="625"/>
      <c r="AF158" s="625"/>
      <c r="AG158" s="625"/>
      <c r="AH158" s="625"/>
    </row>
    <row r="159" spans="1:71" x14ac:dyDescent="0.25">
      <c r="A159" s="625"/>
      <c r="B159" s="625"/>
      <c r="C159" s="625"/>
      <c r="D159" s="625"/>
      <c r="E159" s="625"/>
      <c r="F159" s="625"/>
      <c r="G159" s="625"/>
      <c r="H159" s="625"/>
      <c r="I159" s="625"/>
      <c r="J159" s="625"/>
      <c r="K159" s="625"/>
      <c r="L159" s="625"/>
      <c r="M159" s="625"/>
      <c r="N159" s="625"/>
      <c r="O159" s="625"/>
      <c r="P159" s="625"/>
      <c r="Q159" s="625"/>
      <c r="R159" s="625"/>
      <c r="S159" s="625"/>
      <c r="T159" s="625"/>
      <c r="U159" s="625"/>
      <c r="V159" s="625"/>
      <c r="W159" s="625"/>
      <c r="X159" s="625"/>
      <c r="Y159" s="625"/>
      <c r="Z159" s="625"/>
      <c r="AA159" s="625"/>
      <c r="AB159" s="625"/>
      <c r="AC159" s="625"/>
      <c r="AD159" s="625"/>
      <c r="AE159" s="625"/>
      <c r="AF159" s="625"/>
      <c r="AG159" s="625"/>
      <c r="AH159" s="625"/>
    </row>
    <row r="160" spans="1:71" x14ac:dyDescent="0.25">
      <c r="A160" s="625"/>
      <c r="B160" s="625"/>
      <c r="C160" s="625"/>
      <c r="D160" s="625"/>
      <c r="E160" s="625"/>
      <c r="F160" s="625"/>
      <c r="G160" s="625"/>
      <c r="H160" s="625"/>
      <c r="I160" s="625"/>
      <c r="J160" s="625"/>
      <c r="K160" s="625"/>
      <c r="L160" s="625"/>
      <c r="M160" s="625"/>
      <c r="N160" s="625"/>
      <c r="O160" s="625"/>
      <c r="P160" s="625"/>
      <c r="Q160" s="625"/>
      <c r="R160" s="625"/>
      <c r="S160" s="625"/>
      <c r="T160" s="625"/>
      <c r="U160" s="625"/>
      <c r="V160" s="625"/>
      <c r="W160" s="625"/>
      <c r="X160" s="625"/>
      <c r="Y160" s="625"/>
      <c r="Z160" s="625"/>
      <c r="AA160" s="625"/>
      <c r="AB160" s="625"/>
      <c r="AC160" s="625"/>
      <c r="AD160" s="625"/>
      <c r="AE160" s="625"/>
      <c r="AF160" s="625"/>
      <c r="AG160" s="625"/>
      <c r="AH160" s="625"/>
    </row>
    <row r="161" spans="1:71" x14ac:dyDescent="0.25">
      <c r="A161" s="625"/>
      <c r="B161" s="625"/>
      <c r="C161" s="625"/>
      <c r="D161" s="625"/>
      <c r="E161" s="625"/>
      <c r="F161" s="625"/>
      <c r="G161" s="625"/>
      <c r="H161" s="625"/>
      <c r="I161" s="625"/>
      <c r="J161" s="625"/>
      <c r="K161" s="625"/>
      <c r="L161" s="625"/>
      <c r="M161" s="625"/>
      <c r="N161" s="625"/>
      <c r="O161" s="625"/>
      <c r="P161" s="625"/>
      <c r="Q161" s="625"/>
      <c r="R161" s="625"/>
      <c r="S161" s="625"/>
      <c r="T161" s="625"/>
      <c r="U161" s="625"/>
      <c r="V161" s="625"/>
      <c r="W161" s="625"/>
      <c r="X161" s="625"/>
      <c r="Y161" s="625"/>
      <c r="Z161" s="625"/>
      <c r="AA161" s="625"/>
      <c r="AB161" s="625"/>
      <c r="AC161" s="625"/>
      <c r="AD161" s="625"/>
      <c r="AE161" s="625"/>
      <c r="AF161" s="625"/>
      <c r="AG161" s="625"/>
      <c r="AH161" s="625"/>
    </row>
    <row r="162" spans="1:71" x14ac:dyDescent="0.25">
      <c r="A162" s="625"/>
      <c r="B162" s="625"/>
      <c r="C162" s="625"/>
      <c r="D162" s="625"/>
      <c r="E162" s="625"/>
      <c r="F162" s="625"/>
      <c r="G162" s="625"/>
      <c r="H162" s="625"/>
      <c r="I162" s="625"/>
      <c r="J162" s="625"/>
      <c r="K162" s="625"/>
      <c r="L162" s="625"/>
      <c r="M162" s="625"/>
      <c r="N162" s="625"/>
      <c r="O162" s="625"/>
      <c r="P162" s="625"/>
      <c r="Q162" s="625"/>
      <c r="R162" s="625"/>
      <c r="S162" s="625"/>
      <c r="T162" s="625"/>
      <c r="U162" s="625"/>
      <c r="V162" s="625"/>
      <c r="W162" s="625"/>
      <c r="X162" s="625"/>
      <c r="Y162" s="625"/>
      <c r="Z162" s="625"/>
      <c r="AA162" s="625"/>
      <c r="AB162" s="625"/>
      <c r="AC162" s="625"/>
      <c r="AD162" s="625"/>
      <c r="AE162" s="625"/>
      <c r="AF162" s="625"/>
      <c r="AG162" s="625"/>
      <c r="AH162" s="625"/>
    </row>
    <row r="163" spans="1:71" x14ac:dyDescent="0.25">
      <c r="A163" s="625"/>
      <c r="B163" s="625"/>
      <c r="C163" s="625"/>
      <c r="D163" s="625"/>
      <c r="E163" s="625"/>
      <c r="F163" s="625"/>
      <c r="G163" s="625"/>
      <c r="H163" s="625"/>
      <c r="I163" s="625"/>
      <c r="J163" s="625"/>
      <c r="K163" s="625"/>
      <c r="L163" s="625"/>
      <c r="M163" s="625"/>
      <c r="N163" s="625"/>
      <c r="O163" s="625"/>
      <c r="P163" s="625"/>
      <c r="Q163" s="625"/>
      <c r="R163" s="625"/>
      <c r="S163" s="625"/>
      <c r="T163" s="625"/>
      <c r="U163" s="625"/>
      <c r="V163" s="625"/>
      <c r="W163" s="625"/>
      <c r="X163" s="625"/>
      <c r="Y163" s="625"/>
      <c r="Z163" s="625"/>
      <c r="AA163" s="625"/>
      <c r="AB163" s="625"/>
      <c r="AC163" s="625"/>
      <c r="AD163" s="625"/>
      <c r="AE163" s="625"/>
      <c r="AF163" s="625"/>
      <c r="AG163" s="625"/>
      <c r="AH163" s="625"/>
    </row>
    <row r="164" spans="1:71" x14ac:dyDescent="0.25">
      <c r="A164" s="625"/>
      <c r="B164" s="625"/>
      <c r="C164" s="625"/>
      <c r="D164" s="625"/>
      <c r="E164" s="625"/>
      <c r="F164" s="625"/>
      <c r="G164" s="625"/>
      <c r="H164" s="625"/>
      <c r="I164" s="625"/>
      <c r="J164" s="625"/>
      <c r="K164" s="625"/>
      <c r="L164" s="625"/>
      <c r="M164" s="625"/>
      <c r="N164" s="625"/>
      <c r="O164" s="625"/>
      <c r="P164" s="625"/>
      <c r="Q164" s="625"/>
      <c r="R164" s="625"/>
      <c r="S164" s="625"/>
      <c r="T164" s="625"/>
      <c r="U164" s="625"/>
      <c r="V164" s="625"/>
      <c r="W164" s="625"/>
      <c r="X164" s="625"/>
      <c r="Y164" s="625"/>
      <c r="Z164" s="625"/>
      <c r="AA164" s="625"/>
      <c r="AB164" s="625"/>
      <c r="AC164" s="625"/>
      <c r="AD164" s="625"/>
      <c r="AE164" s="625"/>
      <c r="AF164" s="625"/>
      <c r="AG164" s="625"/>
      <c r="AH164" s="625"/>
    </row>
    <row r="165" spans="1:71" x14ac:dyDescent="0.25">
      <c r="A165" s="625"/>
      <c r="B165" s="625"/>
      <c r="C165" s="625"/>
      <c r="D165" s="625"/>
      <c r="E165" s="625"/>
      <c r="F165" s="625"/>
      <c r="G165" s="625"/>
      <c r="H165" s="625"/>
      <c r="I165" s="625"/>
      <c r="J165" s="625"/>
      <c r="K165" s="625"/>
      <c r="L165" s="625"/>
      <c r="M165" s="625"/>
      <c r="N165" s="625"/>
      <c r="O165" s="625"/>
      <c r="P165" s="625"/>
      <c r="Q165" s="625"/>
      <c r="R165" s="625"/>
      <c r="S165" s="625"/>
      <c r="T165" s="625"/>
      <c r="U165" s="625"/>
      <c r="V165" s="625"/>
      <c r="W165" s="625"/>
      <c r="X165" s="625"/>
      <c r="Y165" s="625"/>
      <c r="Z165" s="625"/>
      <c r="AA165" s="625"/>
      <c r="AB165" s="625"/>
      <c r="AC165" s="625"/>
      <c r="AD165" s="625"/>
      <c r="AE165" s="625"/>
      <c r="AF165" s="625"/>
      <c r="AG165" s="625"/>
      <c r="AH165" s="625"/>
    </row>
    <row r="166" spans="1:71" x14ac:dyDescent="0.25">
      <c r="A166" s="625"/>
      <c r="B166" s="625"/>
      <c r="C166" s="625"/>
      <c r="D166" s="625"/>
      <c r="E166" s="625"/>
      <c r="F166" s="625"/>
      <c r="G166" s="625"/>
      <c r="H166" s="625"/>
      <c r="I166" s="625"/>
      <c r="J166" s="625"/>
      <c r="K166" s="625"/>
      <c r="L166" s="625"/>
      <c r="M166" s="625"/>
      <c r="N166" s="625"/>
      <c r="O166" s="625"/>
      <c r="P166" s="625"/>
      <c r="Q166" s="625"/>
      <c r="R166" s="625"/>
      <c r="S166" s="625"/>
      <c r="T166" s="625"/>
      <c r="U166" s="625"/>
      <c r="V166" s="625"/>
      <c r="W166" s="625"/>
      <c r="X166" s="625"/>
      <c r="Y166" s="625"/>
      <c r="Z166" s="625"/>
      <c r="AA166" s="625"/>
      <c r="AB166" s="625"/>
      <c r="AC166" s="625"/>
      <c r="AD166" s="625"/>
      <c r="AE166" s="625"/>
      <c r="AF166" s="625"/>
      <c r="AG166" s="625"/>
      <c r="AH166" s="625"/>
    </row>
    <row r="167" spans="1:71" x14ac:dyDescent="0.25">
      <c r="A167" s="625"/>
      <c r="B167" s="625"/>
      <c r="C167" s="625"/>
      <c r="D167" s="625"/>
      <c r="E167" s="625"/>
      <c r="F167" s="625"/>
      <c r="G167" s="625"/>
      <c r="H167" s="625"/>
      <c r="I167" s="625"/>
      <c r="J167" s="625"/>
      <c r="K167" s="625"/>
      <c r="L167" s="625"/>
      <c r="M167" s="625"/>
      <c r="N167" s="625"/>
      <c r="O167" s="625"/>
      <c r="P167" s="625"/>
      <c r="Q167" s="625"/>
      <c r="R167" s="625"/>
      <c r="S167" s="625"/>
      <c r="T167" s="625"/>
      <c r="U167" s="625"/>
      <c r="V167" s="625"/>
      <c r="W167" s="625"/>
      <c r="X167" s="625"/>
      <c r="Y167" s="625"/>
      <c r="Z167" s="625"/>
      <c r="AA167" s="625"/>
      <c r="AB167" s="625"/>
      <c r="AC167" s="625"/>
      <c r="AD167" s="625"/>
      <c r="AE167" s="625"/>
      <c r="AF167" s="625"/>
      <c r="AG167" s="625"/>
      <c r="AH167" s="625"/>
    </row>
    <row r="168" spans="1:71" x14ac:dyDescent="0.25">
      <c r="A168" s="625"/>
      <c r="B168" s="625"/>
      <c r="C168" s="625"/>
      <c r="D168" s="625"/>
      <c r="E168" s="625"/>
      <c r="F168" s="625"/>
      <c r="G168" s="625"/>
      <c r="H168" s="625"/>
      <c r="I168" s="625"/>
      <c r="J168" s="625"/>
      <c r="K168" s="625"/>
      <c r="L168" s="625"/>
      <c r="M168" s="625"/>
      <c r="N168" s="625"/>
      <c r="O168" s="625"/>
      <c r="P168" s="625"/>
      <c r="Q168" s="625"/>
      <c r="R168" s="625"/>
      <c r="S168" s="625"/>
      <c r="T168" s="625"/>
      <c r="U168" s="625"/>
      <c r="V168" s="625"/>
      <c r="W168" s="625"/>
      <c r="X168" s="625"/>
      <c r="Y168" s="625"/>
      <c r="Z168" s="625"/>
      <c r="AA168" s="625"/>
      <c r="AB168" s="625"/>
      <c r="AC168" s="625"/>
      <c r="AD168" s="625"/>
      <c r="AE168" s="625"/>
      <c r="AF168" s="625"/>
      <c r="AG168" s="625"/>
      <c r="AH168" s="625"/>
    </row>
    <row r="169" spans="1:71" x14ac:dyDescent="0.25">
      <c r="A169" s="625"/>
      <c r="B169" s="625"/>
      <c r="C169" s="625"/>
      <c r="D169" s="625"/>
      <c r="E169" s="625"/>
      <c r="F169" s="625"/>
      <c r="G169" s="625"/>
      <c r="H169" s="625"/>
      <c r="I169" s="625"/>
      <c r="J169" s="625"/>
      <c r="K169" s="625"/>
      <c r="L169" s="625"/>
      <c r="M169" s="625"/>
      <c r="N169" s="625"/>
      <c r="O169" s="625"/>
      <c r="P169" s="625"/>
      <c r="Q169" s="625"/>
      <c r="R169" s="625"/>
      <c r="S169" s="625"/>
      <c r="T169" s="625"/>
      <c r="U169" s="625"/>
      <c r="V169" s="625"/>
      <c r="W169" s="625"/>
      <c r="X169" s="625"/>
      <c r="Y169" s="625"/>
      <c r="Z169" s="625"/>
      <c r="AA169" s="625"/>
      <c r="AB169" s="625"/>
      <c r="AC169" s="625"/>
      <c r="AD169" s="625"/>
      <c r="AE169" s="625"/>
      <c r="AF169" s="625"/>
      <c r="AG169" s="625"/>
      <c r="AH169" s="625"/>
    </row>
    <row r="170" spans="1:71" x14ac:dyDescent="0.25">
      <c r="A170" s="625"/>
      <c r="B170" s="625"/>
      <c r="C170" s="625"/>
      <c r="D170" s="625"/>
      <c r="E170" s="625"/>
      <c r="F170" s="625"/>
      <c r="G170" s="625"/>
      <c r="H170" s="625"/>
      <c r="I170" s="625"/>
      <c r="J170" s="625"/>
      <c r="K170" s="625"/>
      <c r="L170" s="625"/>
      <c r="M170" s="625"/>
      <c r="N170" s="625"/>
      <c r="O170" s="625"/>
      <c r="P170" s="625"/>
      <c r="Q170" s="625"/>
      <c r="R170" s="625"/>
      <c r="S170" s="625"/>
      <c r="T170" s="625"/>
      <c r="U170" s="625"/>
      <c r="V170" s="625"/>
      <c r="W170" s="625"/>
      <c r="X170" s="625"/>
      <c r="Y170" s="625"/>
      <c r="Z170" s="625"/>
      <c r="AA170" s="625"/>
      <c r="AB170" s="625"/>
      <c r="AC170" s="625"/>
      <c r="AD170" s="625"/>
      <c r="AE170" s="625"/>
      <c r="AF170" s="625"/>
      <c r="AG170" s="625"/>
      <c r="AH170" s="625"/>
    </row>
    <row r="171" spans="1:71" x14ac:dyDescent="0.25">
      <c r="A171" s="625"/>
      <c r="B171" s="625"/>
      <c r="C171" s="625"/>
      <c r="D171" s="625"/>
      <c r="E171" s="625"/>
      <c r="F171" s="625"/>
      <c r="G171" s="625"/>
      <c r="H171" s="625"/>
      <c r="I171" s="625"/>
      <c r="J171" s="625"/>
      <c r="K171" s="625"/>
      <c r="L171" s="625"/>
      <c r="M171" s="625"/>
      <c r="N171" s="625"/>
      <c r="O171" s="625"/>
      <c r="P171" s="625"/>
      <c r="Q171" s="625"/>
      <c r="R171" s="625"/>
      <c r="S171" s="625"/>
      <c r="T171" s="625"/>
      <c r="U171" s="625"/>
      <c r="V171" s="625"/>
      <c r="W171" s="625"/>
      <c r="X171" s="625"/>
      <c r="Y171" s="625"/>
      <c r="Z171" s="625"/>
      <c r="AA171" s="625"/>
      <c r="AB171" s="625"/>
      <c r="AC171" s="625"/>
      <c r="AD171" s="625"/>
      <c r="AE171" s="625"/>
      <c r="AF171" s="625"/>
      <c r="AG171" s="625"/>
      <c r="AH171" s="625"/>
    </row>
    <row r="172" spans="1:71" x14ac:dyDescent="0.25">
      <c r="A172" s="625"/>
      <c r="B172" s="625"/>
      <c r="C172" s="625"/>
      <c r="D172" s="625"/>
      <c r="E172" s="625"/>
      <c r="F172" s="625"/>
      <c r="G172" s="625"/>
      <c r="H172" s="625"/>
      <c r="I172" s="625"/>
      <c r="J172" s="625"/>
      <c r="K172" s="625"/>
      <c r="L172" s="625"/>
      <c r="M172" s="625"/>
      <c r="N172" s="625"/>
      <c r="O172" s="625"/>
      <c r="P172" s="625"/>
      <c r="Q172" s="625"/>
      <c r="R172" s="625"/>
      <c r="S172" s="625"/>
      <c r="T172" s="625"/>
      <c r="U172" s="625"/>
      <c r="V172" s="625"/>
      <c r="W172" s="625"/>
      <c r="X172" s="625"/>
      <c r="Y172" s="625"/>
      <c r="Z172" s="625"/>
      <c r="AA172" s="625"/>
      <c r="AB172" s="625"/>
      <c r="AC172" s="625"/>
      <c r="AD172" s="625"/>
      <c r="AE172" s="625"/>
      <c r="AF172" s="625"/>
      <c r="AG172" s="625"/>
      <c r="AH172" s="625"/>
    </row>
    <row r="173" spans="1:71" x14ac:dyDescent="0.25">
      <c r="A173" s="625"/>
      <c r="B173" s="625"/>
      <c r="C173" s="625"/>
      <c r="D173" s="625"/>
      <c r="E173" s="625"/>
      <c r="F173" s="625"/>
      <c r="G173" s="625"/>
      <c r="H173" s="625"/>
      <c r="I173" s="625"/>
      <c r="J173" s="625"/>
      <c r="K173" s="625"/>
      <c r="L173" s="625"/>
      <c r="M173" s="625"/>
      <c r="N173" s="625"/>
      <c r="O173" s="625"/>
      <c r="P173" s="625"/>
      <c r="Q173" s="625"/>
      <c r="R173" s="625"/>
      <c r="S173" s="625"/>
      <c r="T173" s="625"/>
      <c r="U173" s="625"/>
      <c r="V173" s="625"/>
      <c r="W173" s="625"/>
      <c r="X173" s="625"/>
      <c r="Y173" s="625"/>
      <c r="Z173" s="625"/>
      <c r="AA173" s="625"/>
      <c r="AB173" s="625"/>
      <c r="AC173" s="625"/>
      <c r="AD173" s="625"/>
      <c r="AE173" s="625"/>
      <c r="AF173" s="625"/>
      <c r="AG173" s="625"/>
      <c r="AH173" s="625"/>
    </row>
    <row r="174" spans="1:71" x14ac:dyDescent="0.25">
      <c r="A174" s="625"/>
      <c r="B174" s="625"/>
      <c r="C174" s="625"/>
      <c r="D174" s="625"/>
      <c r="E174" s="625"/>
      <c r="F174" s="625"/>
      <c r="G174" s="625"/>
      <c r="H174" s="625"/>
      <c r="I174" s="625"/>
      <c r="J174" s="625"/>
      <c r="K174" s="625"/>
      <c r="L174" s="625"/>
      <c r="M174" s="625"/>
      <c r="N174" s="625"/>
      <c r="O174" s="625"/>
      <c r="P174" s="625"/>
      <c r="Q174" s="625"/>
      <c r="R174" s="625"/>
      <c r="S174" s="625"/>
      <c r="T174" s="625"/>
      <c r="U174" s="625"/>
      <c r="V174" s="625"/>
      <c r="W174" s="625"/>
      <c r="X174" s="625"/>
      <c r="Y174" s="625"/>
      <c r="Z174" s="625"/>
      <c r="AA174" s="625"/>
      <c r="AB174" s="625"/>
      <c r="AC174" s="625"/>
      <c r="AD174" s="625"/>
      <c r="AE174" s="625"/>
      <c r="AF174" s="625"/>
      <c r="AG174" s="625"/>
      <c r="AH174" s="625"/>
    </row>
    <row r="175" spans="1:71" ht="15.75" thickBot="1" x14ac:dyDescent="0.3"/>
    <row r="176" spans="1:71" ht="14.25" customHeight="1" thickBot="1" x14ac:dyDescent="0.3">
      <c r="A176" s="915" t="s">
        <v>61</v>
      </c>
      <c r="B176" s="916"/>
      <c r="C176" s="916"/>
      <c r="D176" s="916"/>
      <c r="E176" s="916"/>
      <c r="F176" s="916"/>
      <c r="G176" s="931"/>
      <c r="H176" s="917" t="s">
        <v>1</v>
      </c>
      <c r="I176" s="902"/>
      <c r="J176" s="902"/>
      <c r="K176" s="902"/>
      <c r="L176" s="902"/>
      <c r="M176" s="902"/>
      <c r="N176" s="902"/>
      <c r="O176" s="903"/>
      <c r="P176" s="917" t="s">
        <v>0</v>
      </c>
      <c r="Q176" s="902"/>
      <c r="R176" s="902"/>
      <c r="S176" s="902"/>
      <c r="T176" s="902"/>
      <c r="U176" s="902"/>
      <c r="V176" s="902"/>
      <c r="W176" s="902"/>
      <c r="X176" s="903"/>
      <c r="Y176" s="918"/>
      <c r="Z176" s="919"/>
      <c r="AA176" s="919"/>
      <c r="AB176" s="919"/>
      <c r="AC176" s="919"/>
      <c r="AD176" s="919"/>
      <c r="AE176" s="919"/>
      <c r="AF176" s="932"/>
      <c r="AG176" s="888" t="s">
        <v>81</v>
      </c>
      <c r="AH176" s="889"/>
      <c r="AI176" s="889"/>
      <c r="AJ176" s="889"/>
      <c r="AK176" s="889"/>
      <c r="AL176" s="889"/>
      <c r="AM176" s="889"/>
      <c r="AN176" s="890"/>
      <c r="AO176" s="888" t="s">
        <v>83</v>
      </c>
      <c r="AP176" s="902"/>
      <c r="AQ176" s="902"/>
      <c r="AR176" s="902"/>
      <c r="AS176" s="902"/>
      <c r="AT176" s="902"/>
      <c r="AU176" s="902"/>
      <c r="AV176" s="902"/>
      <c r="AW176" s="903"/>
      <c r="AX176" s="900"/>
      <c r="AY176" s="900"/>
      <c r="AZ176" s="900"/>
      <c r="BA176" s="900"/>
      <c r="BB176" s="928"/>
      <c r="BC176" s="901" t="s">
        <v>1</v>
      </c>
      <c r="BD176" s="902"/>
      <c r="BE176" s="902"/>
      <c r="BF176" s="902"/>
      <c r="BG176" s="902"/>
      <c r="BH176" s="902"/>
      <c r="BI176" s="902"/>
      <c r="BJ176" s="903"/>
      <c r="BK176" s="901" t="s">
        <v>0</v>
      </c>
      <c r="BL176" s="902"/>
      <c r="BM176" s="902"/>
      <c r="BN176" s="902"/>
      <c r="BO176" s="902"/>
      <c r="BP176" s="902"/>
      <c r="BQ176" s="902"/>
      <c r="BR176" s="902"/>
      <c r="BS176" s="903"/>
    </row>
    <row r="177" spans="1:71" ht="15" customHeight="1" thickBot="1" x14ac:dyDescent="0.3">
      <c r="A177" s="907" t="s">
        <v>58</v>
      </c>
      <c r="B177" s="909" t="s">
        <v>63</v>
      </c>
      <c r="C177" s="909" t="s">
        <v>64</v>
      </c>
      <c r="D177" s="909" t="s">
        <v>82</v>
      </c>
      <c r="E177" s="911" t="s">
        <v>15</v>
      </c>
      <c r="F177" s="909" t="s">
        <v>16</v>
      </c>
      <c r="G177" s="929" t="s">
        <v>19</v>
      </c>
      <c r="H177" s="906"/>
      <c r="I177" s="904"/>
      <c r="J177" s="904"/>
      <c r="K177" s="904"/>
      <c r="L177" s="904"/>
      <c r="M177" s="904"/>
      <c r="N177" s="904"/>
      <c r="O177" s="905"/>
      <c r="P177" s="906"/>
      <c r="Q177" s="904"/>
      <c r="R177" s="904"/>
      <c r="S177" s="904"/>
      <c r="T177" s="904"/>
      <c r="U177" s="904"/>
      <c r="V177" s="904"/>
      <c r="W177" s="904"/>
      <c r="X177" s="905"/>
      <c r="Y177" s="912" t="s">
        <v>40</v>
      </c>
      <c r="Z177" s="914" t="s">
        <v>58</v>
      </c>
      <c r="AA177" s="914" t="s">
        <v>63</v>
      </c>
      <c r="AB177" s="914" t="s">
        <v>64</v>
      </c>
      <c r="AC177" s="914" t="s">
        <v>82</v>
      </c>
      <c r="AD177" s="912" t="s">
        <v>41</v>
      </c>
      <c r="AE177" s="914" t="s">
        <v>16</v>
      </c>
      <c r="AF177" s="912" t="s">
        <v>19</v>
      </c>
      <c r="AG177" s="891"/>
      <c r="AH177" s="892"/>
      <c r="AI177" s="892"/>
      <c r="AJ177" s="892"/>
      <c r="AK177" s="892"/>
      <c r="AL177" s="892"/>
      <c r="AM177" s="892"/>
      <c r="AN177" s="893"/>
      <c r="AO177" s="906"/>
      <c r="AP177" s="904"/>
      <c r="AQ177" s="904"/>
      <c r="AR177" s="904"/>
      <c r="AS177" s="904"/>
      <c r="AT177" s="904"/>
      <c r="AU177" s="904"/>
      <c r="AV177" s="904"/>
      <c r="AW177" s="905"/>
      <c r="AX177" s="897" t="s">
        <v>15</v>
      </c>
      <c r="AY177" s="899" t="s">
        <v>63</v>
      </c>
      <c r="AZ177" s="899" t="s">
        <v>65</v>
      </c>
      <c r="BA177" s="899" t="s">
        <v>64</v>
      </c>
      <c r="BB177" s="897" t="s">
        <v>19</v>
      </c>
      <c r="BC177" s="904"/>
      <c r="BD177" s="904"/>
      <c r="BE177" s="904"/>
      <c r="BF177" s="904"/>
      <c r="BG177" s="904"/>
      <c r="BH177" s="904"/>
      <c r="BI177" s="904"/>
      <c r="BJ177" s="905"/>
      <c r="BK177" s="906"/>
      <c r="BL177" s="904"/>
      <c r="BM177" s="904"/>
      <c r="BN177" s="904"/>
      <c r="BO177" s="904"/>
      <c r="BP177" s="904"/>
      <c r="BQ177" s="904"/>
      <c r="BR177" s="904"/>
      <c r="BS177" s="905"/>
    </row>
    <row r="178" spans="1:71" ht="15.75" thickBot="1" x14ac:dyDescent="0.3">
      <c r="A178" s="922"/>
      <c r="B178" s="923"/>
      <c r="C178" s="923"/>
      <c r="D178" s="923"/>
      <c r="E178" s="910"/>
      <c r="F178" s="910"/>
      <c r="G178" s="936"/>
      <c r="H178" s="103" t="s">
        <v>9</v>
      </c>
      <c r="I178" s="104" t="s">
        <v>5</v>
      </c>
      <c r="J178" s="104" t="s">
        <v>8</v>
      </c>
      <c r="K178" s="104" t="s">
        <v>4</v>
      </c>
      <c r="L178" s="104" t="s">
        <v>10</v>
      </c>
      <c r="M178" s="104" t="s">
        <v>6</v>
      </c>
      <c r="N178" s="104" t="s">
        <v>7</v>
      </c>
      <c r="O178" s="105" t="s">
        <v>20</v>
      </c>
      <c r="P178" s="103" t="s">
        <v>22</v>
      </c>
      <c r="Q178" s="104" t="s">
        <v>23</v>
      </c>
      <c r="R178" s="104" t="s">
        <v>24</v>
      </c>
      <c r="S178" s="104" t="s">
        <v>25</v>
      </c>
      <c r="T178" s="104" t="s">
        <v>26</v>
      </c>
      <c r="U178" s="104" t="s">
        <v>27</v>
      </c>
      <c r="V178" s="104" t="s">
        <v>28</v>
      </c>
      <c r="W178" s="104" t="s">
        <v>29</v>
      </c>
      <c r="X178" s="105" t="s">
        <v>30</v>
      </c>
      <c r="Y178" s="913"/>
      <c r="Z178" s="921"/>
      <c r="AA178" s="921"/>
      <c r="AB178" s="921"/>
      <c r="AC178" s="921"/>
      <c r="AD178" s="913"/>
      <c r="AE178" s="913"/>
      <c r="AF178" s="913"/>
      <c r="AG178" s="109" t="s">
        <v>9</v>
      </c>
      <c r="AH178" s="110" t="s">
        <v>5</v>
      </c>
      <c r="AI178" s="110" t="s">
        <v>8</v>
      </c>
      <c r="AJ178" s="110" t="s">
        <v>4</v>
      </c>
      <c r="AK178" s="110" t="s">
        <v>10</v>
      </c>
      <c r="AL178" s="110" t="s">
        <v>6</v>
      </c>
      <c r="AM178" s="110" t="s">
        <v>7</v>
      </c>
      <c r="AN178" s="111" t="s">
        <v>20</v>
      </c>
      <c r="AO178" s="106" t="s">
        <v>22</v>
      </c>
      <c r="AP178" s="107" t="s">
        <v>23</v>
      </c>
      <c r="AQ178" s="107" t="s">
        <v>24</v>
      </c>
      <c r="AR178" s="107" t="s">
        <v>25</v>
      </c>
      <c r="AS178" s="107" t="s">
        <v>26</v>
      </c>
      <c r="AT178" s="107" t="s">
        <v>27</v>
      </c>
      <c r="AU178" s="107" t="s">
        <v>28</v>
      </c>
      <c r="AV178" s="107" t="s">
        <v>29</v>
      </c>
      <c r="AW178" s="108" t="s">
        <v>30</v>
      </c>
      <c r="AX178" s="898"/>
      <c r="AY178" s="920"/>
      <c r="AZ178" s="920"/>
      <c r="BA178" s="920"/>
      <c r="BB178" s="937"/>
      <c r="BC178" s="132" t="s">
        <v>9</v>
      </c>
      <c r="BD178" s="132" t="s">
        <v>5</v>
      </c>
      <c r="BE178" s="132" t="s">
        <v>8</v>
      </c>
      <c r="BF178" s="132" t="s">
        <v>4</v>
      </c>
      <c r="BG178" s="132" t="s">
        <v>10</v>
      </c>
      <c r="BH178" s="132" t="s">
        <v>6</v>
      </c>
      <c r="BI178" s="132" t="s">
        <v>7</v>
      </c>
      <c r="BJ178" s="132" t="s">
        <v>20</v>
      </c>
      <c r="BK178" s="131" t="s">
        <v>22</v>
      </c>
      <c r="BL178" s="131" t="s">
        <v>23</v>
      </c>
      <c r="BM178" s="131" t="s">
        <v>24</v>
      </c>
      <c r="BN178" s="131" t="s">
        <v>25</v>
      </c>
      <c r="BO178" s="131" t="s">
        <v>26</v>
      </c>
      <c r="BP178" s="131" t="s">
        <v>27</v>
      </c>
      <c r="BQ178" s="131" t="s">
        <v>28</v>
      </c>
      <c r="BR178" s="131" t="s">
        <v>29</v>
      </c>
      <c r="BS178" s="132" t="s">
        <v>30</v>
      </c>
    </row>
    <row r="179" spans="1:71" x14ac:dyDescent="0.25">
      <c r="A179" s="114">
        <v>130</v>
      </c>
      <c r="B179" s="115">
        <v>130</v>
      </c>
      <c r="C179" s="115">
        <v>17.416697508022999</v>
      </c>
      <c r="D179" s="497">
        <v>136.13568165555799</v>
      </c>
      <c r="E179" s="378" t="s">
        <v>9</v>
      </c>
      <c r="F179" s="498">
        <v>60</v>
      </c>
      <c r="G179" s="210" t="s">
        <v>21</v>
      </c>
      <c r="H179" s="114">
        <v>266.13600000000002</v>
      </c>
      <c r="I179" s="115">
        <v>8.7314900000000009</v>
      </c>
      <c r="J179" s="115">
        <v>104.77800000000001</v>
      </c>
      <c r="K179" s="115">
        <v>2.6613600000000002</v>
      </c>
      <c r="L179" s="311">
        <v>1.65369E-3</v>
      </c>
      <c r="M179" s="115">
        <v>2661.36</v>
      </c>
      <c r="N179" s="115">
        <v>2.9104999999999999</v>
      </c>
      <c r="O179" s="117">
        <v>2661357</v>
      </c>
      <c r="P179" s="114">
        <v>153090</v>
      </c>
      <c r="Q179" s="115">
        <v>1530.9</v>
      </c>
      <c r="R179" s="115">
        <v>15.308999999999999</v>
      </c>
      <c r="S179" s="115">
        <v>0.15309</v>
      </c>
      <c r="T179" s="115">
        <v>237.291</v>
      </c>
      <c r="U179" s="115">
        <v>1.64785</v>
      </c>
      <c r="V179" s="392">
        <v>1.5309E-3</v>
      </c>
      <c r="W179" s="116">
        <v>1.5309046456327499E-5</v>
      </c>
      <c r="X179" s="314">
        <v>3.7829477644893703E-5</v>
      </c>
      <c r="Y179" s="434">
        <v>1</v>
      </c>
      <c r="Z179" s="8">
        <v>130</v>
      </c>
      <c r="AA179" s="260">
        <v>130</v>
      </c>
      <c r="AB179" s="260">
        <v>17.416689999999999</v>
      </c>
      <c r="AC179" s="493">
        <v>136.13569000000001</v>
      </c>
      <c r="AD179" s="285" t="s">
        <v>9</v>
      </c>
      <c r="AE179" s="490">
        <v>60</v>
      </c>
      <c r="AF179" s="18" t="s">
        <v>21</v>
      </c>
      <c r="AG179" s="409">
        <f>AA179+AC179</f>
        <v>266.13569000000001</v>
      </c>
      <c r="AH179" s="7">
        <v>8.7315000000000005</v>
      </c>
      <c r="AI179" s="7">
        <v>104.77800000000001</v>
      </c>
      <c r="AJ179" s="7">
        <v>2.6613600000000002</v>
      </c>
      <c r="AK179" s="301">
        <v>1.65369E-3</v>
      </c>
      <c r="AL179" s="7">
        <v>2661.36</v>
      </c>
      <c r="AM179" s="7">
        <v>2.9104999999999999</v>
      </c>
      <c r="AN179" s="14">
        <v>2661360</v>
      </c>
      <c r="AO179" s="8">
        <v>153091</v>
      </c>
      <c r="AP179" s="12">
        <f>(Z179*Z179)/2*(AE187-SIN(AE187))</f>
        <v>1530.9149918490596</v>
      </c>
      <c r="AQ179" s="7">
        <v>15.309100000000001</v>
      </c>
      <c r="AR179" s="7">
        <v>0.153091</v>
      </c>
      <c r="AS179" s="7">
        <v>237.292</v>
      </c>
      <c r="AT179" s="7">
        <v>1.6478600000000001</v>
      </c>
      <c r="AU179" s="301">
        <v>1.5309099999999999E-3</v>
      </c>
      <c r="AV179" s="384">
        <v>1.5309099999999999E-5</v>
      </c>
      <c r="AW179" s="306">
        <v>3.7829609954189797E-5</v>
      </c>
      <c r="AX179" s="442" t="s">
        <v>9</v>
      </c>
      <c r="AY179" s="216">
        <f>(100*(B179-AA179))/AA179</f>
        <v>0</v>
      </c>
      <c r="AZ179" s="90">
        <f>(100*(D179-AC179))/AC179</f>
        <v>-6.1295036023908867E-6</v>
      </c>
      <c r="BA179" s="229">
        <f>(100*(C179-AB179))/AB179</f>
        <v>4.3108208274696102E-5</v>
      </c>
      <c r="BB179" s="273" t="s">
        <v>21</v>
      </c>
      <c r="BC179" s="133">
        <f>(100*(H179-AG179))/AG179</f>
        <v>1.164819344647586E-4</v>
      </c>
      <c r="BD179" s="91">
        <f t="shared" ref="BD179:BJ179" si="131">(100*(I179-AH179))/AH179</f>
        <v>-1.1452785889734207E-4</v>
      </c>
      <c r="BE179" s="91">
        <f t="shared" si="131"/>
        <v>0</v>
      </c>
      <c r="BF179" s="91">
        <f t="shared" si="131"/>
        <v>0</v>
      </c>
      <c r="BG179" s="91">
        <f t="shared" si="131"/>
        <v>0</v>
      </c>
      <c r="BH179" s="91">
        <f t="shared" si="131"/>
        <v>0</v>
      </c>
      <c r="BI179" s="91">
        <f t="shared" si="131"/>
        <v>0</v>
      </c>
      <c r="BJ179" s="419">
        <f t="shared" si="131"/>
        <v>-1.1272432139958517E-4</v>
      </c>
      <c r="BK179" s="138">
        <f>(100*(P179-AO179))/AO179</f>
        <v>-6.5320626294164907E-4</v>
      </c>
      <c r="BL179" s="93">
        <f>(100*(Q179-AP179))/AP179</f>
        <v>-9.7927377674724347E-4</v>
      </c>
      <c r="BM179" s="93">
        <f t="shared" ref="BM179:BS179" si="132">(100*(R179-AQ179))/AQ179</f>
        <v>-6.5320626295172998E-4</v>
      </c>
      <c r="BN179" s="93">
        <f t="shared" si="132"/>
        <v>-6.532062629423023E-4</v>
      </c>
      <c r="BO179" s="93">
        <f t="shared" si="132"/>
        <v>-4.2142170827704888E-4</v>
      </c>
      <c r="BP179" s="93">
        <f t="shared" si="132"/>
        <v>-6.0684766910207852E-4</v>
      </c>
      <c r="BQ179" s="93">
        <f t="shared" si="132"/>
        <v>-6.532062629377699E-4</v>
      </c>
      <c r="BR179" s="93">
        <f t="shared" si="132"/>
        <v>-3.4975062217931248E-4</v>
      </c>
      <c r="BS179" s="95">
        <f t="shared" si="132"/>
        <v>-3.4975062194551898E-4</v>
      </c>
    </row>
    <row r="180" spans="1:71" x14ac:dyDescent="0.25">
      <c r="A180" s="118">
        <v>80</v>
      </c>
      <c r="B180" s="1">
        <v>122.567110899036</v>
      </c>
      <c r="C180" s="1">
        <v>28.576991225076899</v>
      </c>
      <c r="D180" s="119">
        <v>139.626340159546</v>
      </c>
      <c r="E180" s="379" t="s">
        <v>5</v>
      </c>
      <c r="F180" s="211">
        <v>100</v>
      </c>
      <c r="G180" s="211" t="s">
        <v>21</v>
      </c>
      <c r="H180" s="118">
        <v>7991.66</v>
      </c>
      <c r="I180" s="1">
        <v>262.19299999999998</v>
      </c>
      <c r="J180" s="1">
        <v>3146.32</v>
      </c>
      <c r="K180" s="1">
        <v>79.916600000000003</v>
      </c>
      <c r="L180" s="1">
        <v>4.9657899999999998E-2</v>
      </c>
      <c r="M180" s="1">
        <v>79916.600000000006</v>
      </c>
      <c r="N180" s="1">
        <v>87.397800000000004</v>
      </c>
      <c r="O180" s="119">
        <v>79916564</v>
      </c>
      <c r="P180" s="118">
        <v>226095230</v>
      </c>
      <c r="Q180" s="1">
        <v>2260952</v>
      </c>
      <c r="R180" s="1">
        <v>22609.5</v>
      </c>
      <c r="S180" s="1">
        <v>226.095</v>
      </c>
      <c r="T180" s="1">
        <v>350448</v>
      </c>
      <c r="U180" s="1">
        <v>2433.67</v>
      </c>
      <c r="V180" s="1">
        <v>2.2609499999999998</v>
      </c>
      <c r="W180" s="52">
        <v>2.2609500000000001E-2</v>
      </c>
      <c r="X180" s="119">
        <v>5.5869299999999997E-2</v>
      </c>
      <c r="Y180" s="435">
        <v>2</v>
      </c>
      <c r="Z180" s="15">
        <v>80</v>
      </c>
      <c r="AA180" s="2">
        <v>122.57</v>
      </c>
      <c r="AB180" s="2">
        <v>28.58</v>
      </c>
      <c r="AC180" s="16">
        <v>139.63</v>
      </c>
      <c r="AD180" s="35" t="s">
        <v>5</v>
      </c>
      <c r="AE180" s="19">
        <v>100</v>
      </c>
      <c r="AF180" s="19" t="s">
        <v>21</v>
      </c>
      <c r="AG180" s="15">
        <v>7991.86</v>
      </c>
      <c r="AH180" s="186">
        <f>AA180+AC180</f>
        <v>262.2</v>
      </c>
      <c r="AI180" s="2">
        <v>3146.4</v>
      </c>
      <c r="AJ180" s="2">
        <v>79.918599999999998</v>
      </c>
      <c r="AK180" s="2">
        <v>4.9659099999999998E-2</v>
      </c>
      <c r="AL180" s="2">
        <v>79918.600000000006</v>
      </c>
      <c r="AM180" s="2">
        <v>87.4</v>
      </c>
      <c r="AN180" s="16">
        <v>79918560</v>
      </c>
      <c r="AO180" s="15">
        <v>226095341</v>
      </c>
      <c r="AP180" s="2">
        <v>2260953</v>
      </c>
      <c r="AQ180" s="2">
        <v>22609.5</v>
      </c>
      <c r="AR180" s="2">
        <v>226.095</v>
      </c>
      <c r="AS180" s="2">
        <v>350448</v>
      </c>
      <c r="AT180" s="2">
        <f>(Z180*Z180)/2*(AE188-SIN(AE188))</f>
        <v>2433.6716060092449</v>
      </c>
      <c r="AU180" s="2">
        <v>2.2609499999999998</v>
      </c>
      <c r="AV180" s="342">
        <v>2.2609500000000001E-2</v>
      </c>
      <c r="AW180" s="42">
        <v>5.58694E-2</v>
      </c>
      <c r="AX180" s="426" t="s">
        <v>5</v>
      </c>
      <c r="AY180" s="217">
        <f t="shared" ref="AY180:AY186" si="133">(100*(B180-AA180))/AA180</f>
        <v>-2.3571028506141375E-3</v>
      </c>
      <c r="AZ180" s="73">
        <f t="shared" ref="AZ180:AZ186" si="134">(100*(D180-AC180))/AC180</f>
        <v>-2.6210989429145543E-3</v>
      </c>
      <c r="BA180" s="230">
        <f t="shared" ref="BA180:BA186" si="135">(100*(C180-AB180))/AB180</f>
        <v>-1.0527553964658386E-2</v>
      </c>
      <c r="BB180" s="274" t="s">
        <v>21</v>
      </c>
      <c r="BC180" s="134">
        <f t="shared" ref="BC180:BC186" si="136">(100*(H180-AG180))/AG180</f>
        <v>-2.5025463408995916E-3</v>
      </c>
      <c r="BD180" s="82">
        <f t="shared" ref="BD180:BD187" si="137">(100*(I180-AH180))/AH180</f>
        <v>-2.6697177726945089E-3</v>
      </c>
      <c r="BE180" s="82">
        <f t="shared" ref="BE180:BE187" si="138">(100*(J180-AI180))/AI180</f>
        <v>-2.5425883549430217E-3</v>
      </c>
      <c r="BF180" s="82">
        <f t="shared" ref="BF180:BF187" si="139">(100*(K180-AJ180))/AJ180</f>
        <v>-2.5025463408960354E-3</v>
      </c>
      <c r="BG180" s="82">
        <f t="shared" ref="BG180:BG187" si="140">(100*(L180-AK180))/AK180</f>
        <v>-2.4164755301642848E-3</v>
      </c>
      <c r="BH180" s="82">
        <f t="shared" ref="BH180:BH187" si="141">(100*(M180-AL180))/AL180</f>
        <v>-2.5025463409018675E-3</v>
      </c>
      <c r="BI180" s="82">
        <f t="shared" ref="BI180:BI187" si="142">(100*(N180-AM180))/AM180</f>
        <v>-2.5171624713981443E-3</v>
      </c>
      <c r="BJ180" s="420">
        <f t="shared" ref="BJ180:BJ187" si="143">(100*(O180-AN180))/AN180</f>
        <v>-2.4975424982632321E-3</v>
      </c>
      <c r="BK180" s="139">
        <f t="shared" ref="BK180:BK186" si="144">(100*(P180-AO180))/AO180</f>
        <v>-4.9094333173366894E-5</v>
      </c>
      <c r="BL180" s="80">
        <f t="shared" ref="BL180:BL186" si="145">(100*(Q180-AP180))/AP180</f>
        <v>-4.4229137005501663E-5</v>
      </c>
      <c r="BM180" s="80">
        <f t="shared" ref="BM180:BM187" si="146">(100*(R180-AQ180))/AQ180</f>
        <v>0</v>
      </c>
      <c r="BN180" s="80">
        <f t="shared" ref="BN180:BN187" si="147">(100*(S180-AR180))/AR180</f>
        <v>0</v>
      </c>
      <c r="BO180" s="80">
        <f t="shared" ref="BO180:BO187" si="148">(100*(T180-AS180))/AS180</f>
        <v>0</v>
      </c>
      <c r="BP180" s="80">
        <f t="shared" ref="BP180:BP187" si="149">(100*(U180-AT180))/AT180</f>
        <v>-6.5991206079680704E-5</v>
      </c>
      <c r="BQ180" s="80">
        <f t="shared" ref="BQ180:BQ187" si="150">(100*(V180-AU180))/AU180</f>
        <v>0</v>
      </c>
      <c r="BR180" s="80">
        <f t="shared" ref="BR180:BR187" si="151">(100*(W180-AV180))/AV180</f>
        <v>0</v>
      </c>
      <c r="BS180" s="96">
        <f t="shared" ref="BS180:BS187" si="152">(100*(X180-AW180))/AW180</f>
        <v>-1.789888561589628E-4</v>
      </c>
    </row>
    <row r="181" spans="1:71" x14ac:dyDescent="0.25">
      <c r="A181" s="118">
        <v>63</v>
      </c>
      <c r="B181" s="1">
        <v>126</v>
      </c>
      <c r="C181" s="1">
        <v>63</v>
      </c>
      <c r="D181" s="119">
        <v>197.92033717615701</v>
      </c>
      <c r="E181" s="379" t="s">
        <v>8</v>
      </c>
      <c r="F181" s="211">
        <v>180</v>
      </c>
      <c r="G181" s="211" t="s">
        <v>21</v>
      </c>
      <c r="H181" s="118">
        <v>822.75800000000004</v>
      </c>
      <c r="I181" s="1">
        <v>26.993400000000001</v>
      </c>
      <c r="J181" s="1">
        <v>323.92</v>
      </c>
      <c r="K181" s="1">
        <v>8.2275799999999997</v>
      </c>
      <c r="L181" s="1">
        <v>5.1123799999999997E-3</v>
      </c>
      <c r="M181" s="1">
        <v>8227.58</v>
      </c>
      <c r="N181" s="1">
        <v>8.9977900000000002</v>
      </c>
      <c r="O181" s="119">
        <v>8227577</v>
      </c>
      <c r="P181" s="118">
        <v>4022244</v>
      </c>
      <c r="Q181" s="1">
        <v>40222.400000000001</v>
      </c>
      <c r="R181" s="1">
        <v>402.22399999999999</v>
      </c>
      <c r="S181" s="1">
        <v>4.02224</v>
      </c>
      <c r="T181" s="1">
        <v>6234.49</v>
      </c>
      <c r="U181" s="1">
        <v>43.295099999999998</v>
      </c>
      <c r="V181" s="78">
        <v>4.0222399999999998E-2</v>
      </c>
      <c r="W181" s="316">
        <v>4.0222400000000002E-4</v>
      </c>
      <c r="X181" s="317">
        <v>9.939180000000001E-4</v>
      </c>
      <c r="Y181" s="435">
        <v>3</v>
      </c>
      <c r="Z181" s="15">
        <v>63</v>
      </c>
      <c r="AA181" s="2">
        <v>126</v>
      </c>
      <c r="AB181" s="2">
        <v>63</v>
      </c>
      <c r="AC181" s="16">
        <v>197.92034000000001</v>
      </c>
      <c r="AD181" s="35" t="s">
        <v>8</v>
      </c>
      <c r="AE181" s="19">
        <v>180</v>
      </c>
      <c r="AF181" s="19" t="s">
        <v>21</v>
      </c>
      <c r="AG181" s="15">
        <v>822.75699999999995</v>
      </c>
      <c r="AH181" s="2">
        <v>26.993300000000001</v>
      </c>
      <c r="AI181" s="186">
        <f>AA181+AC181</f>
        <v>323.92034000000001</v>
      </c>
      <c r="AJ181" s="2">
        <v>8.2275700000000001</v>
      </c>
      <c r="AK181" s="2">
        <v>5.1123699999999998E-3</v>
      </c>
      <c r="AL181" s="2">
        <v>8227.57</v>
      </c>
      <c r="AM181" s="2">
        <v>8.9977800000000006</v>
      </c>
      <c r="AN181" s="16">
        <v>8227568</v>
      </c>
      <c r="AO181" s="27">
        <v>4022237</v>
      </c>
      <c r="AP181" s="340">
        <v>40222.400000000001</v>
      </c>
      <c r="AQ181" s="2">
        <v>402.22399999999999</v>
      </c>
      <c r="AR181" s="2">
        <v>4.02224</v>
      </c>
      <c r="AS181" s="2">
        <f>(Z181*Z181)/2*(AE189-SIN(AE189))</f>
        <v>6234.4800889510552</v>
      </c>
      <c r="AT181" s="2">
        <v>43.295000000000002</v>
      </c>
      <c r="AU181" s="342">
        <v>4.0222399999999998E-2</v>
      </c>
      <c r="AV181" s="302">
        <v>4.0222400000000002E-4</v>
      </c>
      <c r="AW181" s="188">
        <v>9.9391600000000007E-4</v>
      </c>
      <c r="AX181" s="426" t="s">
        <v>8</v>
      </c>
      <c r="AY181" s="217">
        <f t="shared" si="133"/>
        <v>0</v>
      </c>
      <c r="AZ181" s="73">
        <f t="shared" si="134"/>
        <v>-1.4267573533686525E-6</v>
      </c>
      <c r="BA181" s="230">
        <f t="shared" si="135"/>
        <v>0</v>
      </c>
      <c r="BB181" s="274" t="s">
        <v>21</v>
      </c>
      <c r="BC181" s="134">
        <f t="shared" si="136"/>
        <v>1.2154256968826033E-4</v>
      </c>
      <c r="BD181" s="82">
        <f t="shared" si="137"/>
        <v>3.7046229990318687E-4</v>
      </c>
      <c r="BE181" s="82">
        <f t="shared" si="138"/>
        <v>-1.0496407851209152E-4</v>
      </c>
      <c r="BF181" s="82">
        <f t="shared" si="139"/>
        <v>1.215425696727153E-4</v>
      </c>
      <c r="BG181" s="82">
        <f t="shared" si="140"/>
        <v>1.9560399579726453E-4</v>
      </c>
      <c r="BH181" s="82">
        <f t="shared" si="141"/>
        <v>1.2154256967996966E-4</v>
      </c>
      <c r="BI181" s="82">
        <f t="shared" si="142"/>
        <v>1.1113852527647289E-4</v>
      </c>
      <c r="BJ181" s="420">
        <f t="shared" si="143"/>
        <v>1.0938833930026467E-4</v>
      </c>
      <c r="BK181" s="139">
        <f t="shared" si="144"/>
        <v>1.7403250977006079E-4</v>
      </c>
      <c r="BL181" s="80">
        <f t="shared" si="145"/>
        <v>0</v>
      </c>
      <c r="BM181" s="80">
        <f t="shared" si="146"/>
        <v>0</v>
      </c>
      <c r="BN181" s="80">
        <f t="shared" si="147"/>
        <v>0</v>
      </c>
      <c r="BO181" s="80">
        <f t="shared" si="148"/>
        <v>1.5897153897602423E-4</v>
      </c>
      <c r="BP181" s="80">
        <f t="shared" si="149"/>
        <v>2.3097355351937688E-4</v>
      </c>
      <c r="BQ181" s="80">
        <f t="shared" si="150"/>
        <v>0</v>
      </c>
      <c r="BR181" s="80">
        <f t="shared" si="151"/>
        <v>0</v>
      </c>
      <c r="BS181" s="96">
        <f t="shared" si="152"/>
        <v>2.0122424832998869E-4</v>
      </c>
    </row>
    <row r="182" spans="1:71" x14ac:dyDescent="0.25">
      <c r="A182" s="118">
        <v>654</v>
      </c>
      <c r="B182" s="1">
        <v>1288.12854093997</v>
      </c>
      <c r="C182" s="1">
        <v>767.56590819417204</v>
      </c>
      <c r="D182" s="119">
        <v>2282.8906616085801</v>
      </c>
      <c r="E182" s="379" t="s">
        <v>4</v>
      </c>
      <c r="F182" s="499">
        <v>200</v>
      </c>
      <c r="G182" s="211" t="s">
        <v>21</v>
      </c>
      <c r="H182" s="118">
        <v>357102</v>
      </c>
      <c r="I182" s="1">
        <v>11715.9</v>
      </c>
      <c r="J182" s="1">
        <v>140591</v>
      </c>
      <c r="K182" s="1">
        <v>3571.02</v>
      </c>
      <c r="L182" s="1">
        <v>2.2189299999999998</v>
      </c>
      <c r="M182" s="1">
        <v>3571019</v>
      </c>
      <c r="N182" s="1">
        <v>3905.31</v>
      </c>
      <c r="O182" s="119">
        <v>3571019203</v>
      </c>
      <c r="P182" s="118">
        <v>819648990157</v>
      </c>
      <c r="Q182" s="1">
        <v>8196489902</v>
      </c>
      <c r="R182" s="1">
        <v>81964899</v>
      </c>
      <c r="S182" s="1">
        <v>819649</v>
      </c>
      <c r="T182" s="1">
        <v>1270458476</v>
      </c>
      <c r="U182" s="1">
        <v>8822628</v>
      </c>
      <c r="V182" s="1">
        <v>8196.49</v>
      </c>
      <c r="W182" s="1">
        <v>81.9649</v>
      </c>
      <c r="X182" s="119">
        <v>202.54</v>
      </c>
      <c r="Y182" s="435">
        <v>4</v>
      </c>
      <c r="Z182" s="15">
        <v>654</v>
      </c>
      <c r="AA182" s="2">
        <v>1288.1286600000001</v>
      </c>
      <c r="AB182" s="2">
        <v>767.56577000000004</v>
      </c>
      <c r="AC182" s="16">
        <v>2282.8904299999999</v>
      </c>
      <c r="AD182" s="35" t="s">
        <v>4</v>
      </c>
      <c r="AE182" s="491">
        <v>200</v>
      </c>
      <c r="AF182" s="19" t="s">
        <v>21</v>
      </c>
      <c r="AG182" s="15">
        <v>357102</v>
      </c>
      <c r="AH182" s="2">
        <v>11715.9</v>
      </c>
      <c r="AI182" s="2">
        <v>140591</v>
      </c>
      <c r="AJ182" s="186">
        <f>AA182+AC182</f>
        <v>3571.0190899999998</v>
      </c>
      <c r="AK182" s="2">
        <v>2.2189299999999998</v>
      </c>
      <c r="AL182" s="2">
        <v>3571020</v>
      </c>
      <c r="AM182" s="2">
        <v>3905.31</v>
      </c>
      <c r="AN182" s="16">
        <v>3571020000</v>
      </c>
      <c r="AO182" s="28">
        <v>819650000000</v>
      </c>
      <c r="AP182" s="2">
        <v>8196500000</v>
      </c>
      <c r="AQ182" s="2">
        <v>81965000</v>
      </c>
      <c r="AR182" s="2">
        <f>(Z182*Z182)/2*(AE190-SIN(AE190))</f>
        <v>819649.61073087167</v>
      </c>
      <c r="AS182" s="2">
        <v>1270460041</v>
      </c>
      <c r="AT182" s="2">
        <v>8822639</v>
      </c>
      <c r="AU182" s="2">
        <v>8196.5</v>
      </c>
      <c r="AV182" s="2">
        <v>81.965000000000003</v>
      </c>
      <c r="AW182" s="42">
        <v>202.54</v>
      </c>
      <c r="AX182" s="426" t="s">
        <v>4</v>
      </c>
      <c r="AY182" s="217">
        <f t="shared" si="133"/>
        <v>-9.2428678748236635E-6</v>
      </c>
      <c r="AZ182" s="73">
        <f t="shared" si="134"/>
        <v>1.0145409395730583E-5</v>
      </c>
      <c r="BA182" s="230">
        <f t="shared" si="135"/>
        <v>1.8004212459287341E-5</v>
      </c>
      <c r="BB182" s="274" t="s">
        <v>21</v>
      </c>
      <c r="BC182" s="134">
        <f t="shared" si="136"/>
        <v>0</v>
      </c>
      <c r="BD182" s="82">
        <f t="shared" si="137"/>
        <v>0</v>
      </c>
      <c r="BE182" s="82">
        <f t="shared" si="138"/>
        <v>0</v>
      </c>
      <c r="BF182" s="82">
        <f t="shared" si="139"/>
        <v>2.5482921744996367E-5</v>
      </c>
      <c r="BG182" s="82">
        <f t="shared" si="140"/>
        <v>0</v>
      </c>
      <c r="BH182" s="82">
        <f t="shared" si="141"/>
        <v>-2.8003203566488006E-5</v>
      </c>
      <c r="BI182" s="82">
        <f t="shared" si="142"/>
        <v>0</v>
      </c>
      <c r="BJ182" s="420">
        <f t="shared" si="143"/>
        <v>-2.2318553242490942E-5</v>
      </c>
      <c r="BK182" s="139">
        <f t="shared" si="144"/>
        <v>-1.2320417251265785E-4</v>
      </c>
      <c r="BL182" s="80">
        <f t="shared" si="145"/>
        <v>-1.2319892637101203E-4</v>
      </c>
      <c r="BM182" s="80">
        <f t="shared" si="146"/>
        <v>-1.2322332702982981E-4</v>
      </c>
      <c r="BN182" s="80">
        <f t="shared" si="147"/>
        <v>-7.4511213533063646E-5</v>
      </c>
      <c r="BO182" s="80">
        <f t="shared" si="148"/>
        <v>-1.2318372475281968E-4</v>
      </c>
      <c r="BP182" s="80">
        <f t="shared" si="149"/>
        <v>-1.2467924846522679E-4</v>
      </c>
      <c r="BQ182" s="80">
        <f t="shared" si="150"/>
        <v>-1.2200329409160348E-4</v>
      </c>
      <c r="BR182" s="80">
        <f t="shared" si="151"/>
        <v>-1.2200329409299048E-4</v>
      </c>
      <c r="BS182" s="96">
        <f t="shared" si="152"/>
        <v>0</v>
      </c>
    </row>
    <row r="183" spans="1:71" x14ac:dyDescent="0.25">
      <c r="A183" s="118">
        <v>110</v>
      </c>
      <c r="B183" s="1">
        <v>168.52977748617499</v>
      </c>
      <c r="C183" s="1">
        <v>39.293362934480697</v>
      </c>
      <c r="D183" s="372">
        <v>191.98621771937599</v>
      </c>
      <c r="E183" s="379" t="s">
        <v>10</v>
      </c>
      <c r="F183" s="500">
        <v>100</v>
      </c>
      <c r="G183" s="211" t="s">
        <v>21</v>
      </c>
      <c r="H183" s="120">
        <v>58019425</v>
      </c>
      <c r="I183" s="1">
        <v>1903524</v>
      </c>
      <c r="J183" s="1">
        <v>22842293</v>
      </c>
      <c r="K183" s="1">
        <v>580194</v>
      </c>
      <c r="L183" s="1">
        <v>360.51600000000002</v>
      </c>
      <c r="M183" s="1">
        <v>580194254</v>
      </c>
      <c r="N183" s="1">
        <v>634508</v>
      </c>
      <c r="O183" s="119">
        <v>580194253788</v>
      </c>
      <c r="P183" s="120">
        <v>1.19169369221125E+16</v>
      </c>
      <c r="Q183" s="59">
        <v>119169369221125</v>
      </c>
      <c r="R183" s="59">
        <v>1191693692211</v>
      </c>
      <c r="S183" s="1">
        <v>11916936922</v>
      </c>
      <c r="T183" s="1">
        <v>18471289171853</v>
      </c>
      <c r="U183" s="1">
        <v>128272841471</v>
      </c>
      <c r="V183" s="1">
        <v>119169369</v>
      </c>
      <c r="W183" s="1">
        <v>1191694</v>
      </c>
      <c r="X183" s="119">
        <v>2944739</v>
      </c>
      <c r="Y183" s="435">
        <v>5</v>
      </c>
      <c r="Z183" s="15">
        <v>110</v>
      </c>
      <c r="AA183" s="2">
        <v>168.52978999999999</v>
      </c>
      <c r="AB183" s="2">
        <v>39.293329999999997</v>
      </c>
      <c r="AC183" s="438">
        <v>191.98618999999999</v>
      </c>
      <c r="AD183" s="35" t="s">
        <v>10</v>
      </c>
      <c r="AE183" s="492">
        <v>100</v>
      </c>
      <c r="AF183" s="19" t="s">
        <v>21</v>
      </c>
      <c r="AG183" s="15">
        <v>58019426</v>
      </c>
      <c r="AH183" s="2">
        <v>1903524</v>
      </c>
      <c r="AI183" s="2">
        <v>22842294</v>
      </c>
      <c r="AJ183" s="2">
        <v>580194</v>
      </c>
      <c r="AK183" s="186">
        <f>AA183+AC183</f>
        <v>360.51598000000001</v>
      </c>
      <c r="AL183" s="2">
        <v>580194262</v>
      </c>
      <c r="AM183" s="2">
        <v>634508</v>
      </c>
      <c r="AN183" s="16">
        <v>580194261504</v>
      </c>
      <c r="AO183" s="28">
        <v>1.1916950678E+16</v>
      </c>
      <c r="AP183" s="29">
        <v>119169506780000</v>
      </c>
      <c r="AQ183" s="29">
        <v>1191695067800</v>
      </c>
      <c r="AR183" s="26">
        <f>(Z183*Z183)/2*(AE191-SIN(AE191))*1609.344*1609.344</f>
        <v>11916950678.237154</v>
      </c>
      <c r="AS183" s="29">
        <v>18471310493521</v>
      </c>
      <c r="AT183" s="29">
        <v>128272989538</v>
      </c>
      <c r="AU183" s="2">
        <v>119169507</v>
      </c>
      <c r="AV183" s="2">
        <v>1191695</v>
      </c>
      <c r="AW183" s="42">
        <v>2944743</v>
      </c>
      <c r="AX183" s="426" t="s">
        <v>10</v>
      </c>
      <c r="AY183" s="217">
        <f t="shared" si="133"/>
        <v>-7.4252896170168007E-6</v>
      </c>
      <c r="AZ183" s="73">
        <f t="shared" si="134"/>
        <v>1.4438213494821725E-5</v>
      </c>
      <c r="BA183" s="230">
        <f t="shared" si="135"/>
        <v>8.3816975298261299E-5</v>
      </c>
      <c r="BB183" s="274" t="s">
        <v>21</v>
      </c>
      <c r="BC183" s="134">
        <f t="shared" si="136"/>
        <v>-1.723560657080613E-6</v>
      </c>
      <c r="BD183" s="82">
        <f t="shared" si="137"/>
        <v>0</v>
      </c>
      <c r="BE183" s="82">
        <f t="shared" si="138"/>
        <v>-4.3778440116391113E-6</v>
      </c>
      <c r="BF183" s="82">
        <f t="shared" si="139"/>
        <v>0</v>
      </c>
      <c r="BG183" s="82">
        <f t="shared" si="140"/>
        <v>5.547604299356792E-6</v>
      </c>
      <c r="BH183" s="82">
        <f t="shared" si="141"/>
        <v>-1.3788485209114323E-6</v>
      </c>
      <c r="BI183" s="82">
        <f t="shared" si="142"/>
        <v>0</v>
      </c>
      <c r="BJ183" s="420">
        <f t="shared" si="143"/>
        <v>-1.3298993995559888E-6</v>
      </c>
      <c r="BK183" s="139">
        <f t="shared" si="144"/>
        <v>-1.1543126989184305E-4</v>
      </c>
      <c r="BL183" s="80">
        <f t="shared" si="145"/>
        <v>-1.1543126989184305E-4</v>
      </c>
      <c r="BM183" s="80">
        <f t="shared" si="146"/>
        <v>-1.1543129087036405E-4</v>
      </c>
      <c r="BN183" s="80">
        <f t="shared" si="147"/>
        <v>-1.1543420397911629E-4</v>
      </c>
      <c r="BO183" s="80">
        <f t="shared" si="148"/>
        <v>-1.1543126843912234E-4</v>
      </c>
      <c r="BP183" s="80">
        <f t="shared" si="149"/>
        <v>-1.1543116016340771E-4</v>
      </c>
      <c r="BQ183" s="80">
        <f t="shared" si="150"/>
        <v>-1.1580143568102535E-4</v>
      </c>
      <c r="BR183" s="80">
        <f t="shared" si="151"/>
        <v>-8.3914088755931678E-5</v>
      </c>
      <c r="BS183" s="96">
        <f t="shared" si="152"/>
        <v>-1.358352834186209E-4</v>
      </c>
    </row>
    <row r="184" spans="1:71" x14ac:dyDescent="0.25">
      <c r="A184" s="118">
        <v>41</v>
      </c>
      <c r="B184" s="1">
        <v>75.481397983100095</v>
      </c>
      <c r="C184" s="1">
        <v>24.980023731939799</v>
      </c>
      <c r="D184" s="119">
        <v>95.888389104568503</v>
      </c>
      <c r="E184" s="379" t="s">
        <v>6</v>
      </c>
      <c r="F184" s="211">
        <v>134</v>
      </c>
      <c r="G184" s="211" t="s">
        <v>21</v>
      </c>
      <c r="H184" s="118">
        <v>17.137</v>
      </c>
      <c r="I184" s="1">
        <v>0.56223699999999999</v>
      </c>
      <c r="J184" s="1">
        <v>6.7468399999999997</v>
      </c>
      <c r="K184" s="1">
        <v>0.17136999999999999</v>
      </c>
      <c r="L184" s="77">
        <v>1.0648400000000001E-4</v>
      </c>
      <c r="M184" s="1">
        <v>171.37</v>
      </c>
      <c r="N184" s="1">
        <v>0.187412</v>
      </c>
      <c r="O184" s="119">
        <v>171370</v>
      </c>
      <c r="P184" s="374">
        <v>1361.11</v>
      </c>
      <c r="Q184" s="347">
        <v>13.6111</v>
      </c>
      <c r="R184" s="78">
        <v>0.13611100000000001</v>
      </c>
      <c r="S184" s="326">
        <v>1.36111E-3</v>
      </c>
      <c r="T184" s="78">
        <v>2.1097199999999998</v>
      </c>
      <c r="U184" s="49">
        <v>1.46508E-2</v>
      </c>
      <c r="V184" s="51">
        <v>1.3611068744590201E-5</v>
      </c>
      <c r="W184" s="79">
        <v>1.3611068744590199E-7</v>
      </c>
      <c r="X184" s="128">
        <v>3.3633683343077698E-7</v>
      </c>
      <c r="Y184" s="435">
        <v>6</v>
      </c>
      <c r="Z184" s="15">
        <v>41</v>
      </c>
      <c r="AA184" s="2">
        <v>75.483639999999994</v>
      </c>
      <c r="AB184" s="2">
        <v>24.980869999999999</v>
      </c>
      <c r="AC184" s="16">
        <v>95.891210000000001</v>
      </c>
      <c r="AD184" s="35" t="s">
        <v>6</v>
      </c>
      <c r="AE184" s="19">
        <v>134</v>
      </c>
      <c r="AF184" s="19" t="s">
        <v>21</v>
      </c>
      <c r="AG184" s="15">
        <v>17.137499999999999</v>
      </c>
      <c r="AH184" s="2">
        <v>0.56225400000000003</v>
      </c>
      <c r="AI184" s="2">
        <v>6.7470499999999998</v>
      </c>
      <c r="AJ184" s="2">
        <v>0.171375</v>
      </c>
      <c r="AK184" s="302">
        <v>1.06487E-4</v>
      </c>
      <c r="AL184" s="186">
        <f>AA184+AC184</f>
        <v>171.37484999999998</v>
      </c>
      <c r="AM184" s="2">
        <v>0.187418</v>
      </c>
      <c r="AN184" s="16">
        <v>171375</v>
      </c>
      <c r="AO184" s="15">
        <f>(Z184*Z184)/2*(AE192-SIN(AE192))</f>
        <v>1361.1051685423574</v>
      </c>
      <c r="AP184" s="2">
        <v>13.6111</v>
      </c>
      <c r="AQ184" s="2">
        <v>0.13611100000000001</v>
      </c>
      <c r="AR184" s="309">
        <v>1.36111E-3</v>
      </c>
      <c r="AS184" s="2">
        <v>2.1097199999999998</v>
      </c>
      <c r="AT184" s="342">
        <v>1.46509E-2</v>
      </c>
      <c r="AU184" s="323">
        <v>1.3611099999999999E-5</v>
      </c>
      <c r="AV184" s="360">
        <v>1.3611099999999999E-7</v>
      </c>
      <c r="AW184" s="385">
        <v>3.3633760576877298E-7</v>
      </c>
      <c r="AX184" s="426" t="s">
        <v>6</v>
      </c>
      <c r="AY184" s="217">
        <f t="shared" si="133"/>
        <v>-2.9702024172378453E-3</v>
      </c>
      <c r="AZ184" s="73">
        <f t="shared" si="134"/>
        <v>-2.9417664366709535E-3</v>
      </c>
      <c r="BA184" s="230">
        <f t="shared" si="135"/>
        <v>-3.3876644816646807E-3</v>
      </c>
      <c r="BB184" s="274" t="s">
        <v>21</v>
      </c>
      <c r="BC184" s="134">
        <f t="shared" si="136"/>
        <v>-2.9175784099129669E-3</v>
      </c>
      <c r="BD184" s="82">
        <f t="shared" si="137"/>
        <v>-3.0235445190331693E-3</v>
      </c>
      <c r="BE184" s="82">
        <f t="shared" si="138"/>
        <v>-3.112471376379951E-3</v>
      </c>
      <c r="BF184" s="82">
        <f t="shared" si="139"/>
        <v>-2.9175784099226844E-3</v>
      </c>
      <c r="BG184" s="82">
        <f t="shared" si="140"/>
        <v>-2.8172452975415078E-3</v>
      </c>
      <c r="BH184" s="82">
        <f t="shared" si="141"/>
        <v>-2.83005353467925E-3</v>
      </c>
      <c r="BI184" s="82">
        <f t="shared" si="142"/>
        <v>-3.2014000789710702E-3</v>
      </c>
      <c r="BJ184" s="420">
        <f t="shared" si="143"/>
        <v>-2.9175784099197666E-3</v>
      </c>
      <c r="BK184" s="139">
        <f t="shared" si="144"/>
        <v>3.5496578472634982E-4</v>
      </c>
      <c r="BL184" s="80">
        <f t="shared" si="145"/>
        <v>0</v>
      </c>
      <c r="BM184" s="80">
        <f t="shared" si="146"/>
        <v>0</v>
      </c>
      <c r="BN184" s="80">
        <f t="shared" si="147"/>
        <v>0</v>
      </c>
      <c r="BO184" s="80">
        <f t="shared" si="148"/>
        <v>0</v>
      </c>
      <c r="BP184" s="80">
        <f t="shared" si="149"/>
        <v>-6.8255192513365132E-4</v>
      </c>
      <c r="BQ184" s="80">
        <f t="shared" si="150"/>
        <v>-2.2963176964633508E-4</v>
      </c>
      <c r="BR184" s="80">
        <f t="shared" si="151"/>
        <v>-2.2963176966189284E-4</v>
      </c>
      <c r="BS184" s="96">
        <f t="shared" si="152"/>
        <v>-2.2963176961230587E-4</v>
      </c>
    </row>
    <row r="185" spans="1:71" x14ac:dyDescent="0.25">
      <c r="A185" s="118">
        <v>96.8</v>
      </c>
      <c r="B185" s="1">
        <v>130.17021391935199</v>
      </c>
      <c r="C185" s="1">
        <v>25.146885259274701</v>
      </c>
      <c r="D185" s="119">
        <v>142.760951496128</v>
      </c>
      <c r="E185" s="379" t="s">
        <v>7</v>
      </c>
      <c r="F185" s="211">
        <v>84.5</v>
      </c>
      <c r="G185" s="211" t="s">
        <v>21</v>
      </c>
      <c r="H185" s="118">
        <v>24956.799999999999</v>
      </c>
      <c r="I185" s="1">
        <v>818.79300000000001</v>
      </c>
      <c r="J185" s="1">
        <v>9825.52</v>
      </c>
      <c r="K185" s="1">
        <v>249.56800000000001</v>
      </c>
      <c r="L185" s="1">
        <v>0.15507499999999999</v>
      </c>
      <c r="M185" s="1">
        <v>249568</v>
      </c>
      <c r="N185" s="1">
        <v>272.93099999999998</v>
      </c>
      <c r="O185" s="119">
        <v>249568258</v>
      </c>
      <c r="P185" s="118">
        <v>1878008452</v>
      </c>
      <c r="Q185" s="1">
        <v>18780085</v>
      </c>
      <c r="R185" s="1">
        <v>187801</v>
      </c>
      <c r="S185" s="1">
        <v>1878.01</v>
      </c>
      <c r="T185" s="1">
        <v>2910919</v>
      </c>
      <c r="U185" s="1">
        <v>20214.7</v>
      </c>
      <c r="V185" s="1">
        <v>18.780100000000001</v>
      </c>
      <c r="W185" s="1">
        <v>0.187801</v>
      </c>
      <c r="X185" s="119">
        <v>0.46406599999999998</v>
      </c>
      <c r="Y185" s="435">
        <v>7</v>
      </c>
      <c r="Z185" s="15">
        <v>96.8</v>
      </c>
      <c r="AA185" s="2">
        <v>130.17639</v>
      </c>
      <c r="AB185" s="2">
        <v>25.149660000000001</v>
      </c>
      <c r="AC185" s="16">
        <v>142.76931999999999</v>
      </c>
      <c r="AD185" s="35" t="s">
        <v>7</v>
      </c>
      <c r="AE185" s="19">
        <v>84.5</v>
      </c>
      <c r="AF185" s="19" t="s">
        <v>21</v>
      </c>
      <c r="AG185" s="15">
        <v>24958.2</v>
      </c>
      <c r="AH185" s="2">
        <v>818.83799999999997</v>
      </c>
      <c r="AI185" s="2">
        <v>9826.06</v>
      </c>
      <c r="AJ185" s="2">
        <v>249.58199999999999</v>
      </c>
      <c r="AK185" s="2">
        <v>0.155083</v>
      </c>
      <c r="AL185" s="2">
        <v>249582</v>
      </c>
      <c r="AM185" s="186">
        <f>AA185+AC185</f>
        <v>272.94570999999996</v>
      </c>
      <c r="AN185" s="16">
        <v>249581822</v>
      </c>
      <c r="AO185" s="15">
        <v>1878000000</v>
      </c>
      <c r="AP185" s="2">
        <v>18780000</v>
      </c>
      <c r="AQ185" s="2">
        <v>187800</v>
      </c>
      <c r="AR185" s="2">
        <f>(Z185*Z185)/2*(AE193-SIN(AE193))*0.9144*0.9144</f>
        <v>1877.9970544794926</v>
      </c>
      <c r="AS185" s="2">
        <v>2910906</v>
      </c>
      <c r="AT185" s="2">
        <v>20214.599999999999</v>
      </c>
      <c r="AU185" s="396">
        <v>18.78</v>
      </c>
      <c r="AV185" s="2">
        <v>0.18779999999999999</v>
      </c>
      <c r="AW185" s="42">
        <v>0.46406399999999998</v>
      </c>
      <c r="AX185" s="426" t="s">
        <v>7</v>
      </c>
      <c r="AY185" s="217">
        <f t="shared" si="133"/>
        <v>-4.7443938551405447E-3</v>
      </c>
      <c r="AZ185" s="73">
        <f t="shared" si="134"/>
        <v>-5.8615561606597706E-3</v>
      </c>
      <c r="BA185" s="230">
        <f t="shared" si="135"/>
        <v>-1.1032915456114564E-2</v>
      </c>
      <c r="BB185" s="274" t="s">
        <v>21</v>
      </c>
      <c r="BC185" s="134">
        <f t="shared" si="136"/>
        <v>-5.6093788814956811E-3</v>
      </c>
      <c r="BD185" s="82">
        <f t="shared" si="137"/>
        <v>-5.4955925347821028E-3</v>
      </c>
      <c r="BE185" s="82">
        <f t="shared" si="138"/>
        <v>-5.4955902976274737E-3</v>
      </c>
      <c r="BF185" s="82">
        <f t="shared" si="139"/>
        <v>-5.609378881482472E-3</v>
      </c>
      <c r="BG185" s="82">
        <f t="shared" si="140"/>
        <v>-5.1585280140363553E-3</v>
      </c>
      <c r="BH185" s="82">
        <f t="shared" si="141"/>
        <v>-5.6093788814898507E-3</v>
      </c>
      <c r="BI185" s="82">
        <f t="shared" si="142"/>
        <v>-5.3893501385237283E-3</v>
      </c>
      <c r="BJ185" s="420">
        <f t="shared" si="143"/>
        <v>-5.4346906723038504E-3</v>
      </c>
      <c r="BK185" s="139">
        <f t="shared" si="144"/>
        <v>4.5005324813631522E-4</v>
      </c>
      <c r="BL185" s="80">
        <f t="shared" si="145"/>
        <v>4.5260915867944624E-4</v>
      </c>
      <c r="BM185" s="80">
        <f t="shared" si="146"/>
        <v>5.3248136315228972E-4</v>
      </c>
      <c r="BN185" s="80">
        <f t="shared" si="147"/>
        <v>6.8932592181242453E-4</v>
      </c>
      <c r="BO185" s="80">
        <f t="shared" si="148"/>
        <v>4.4659635178875579E-4</v>
      </c>
      <c r="BP185" s="80">
        <f t="shared" si="149"/>
        <v>4.9469195533022076E-4</v>
      </c>
      <c r="BQ185" s="80">
        <f t="shared" si="150"/>
        <v>5.3248136315104863E-4</v>
      </c>
      <c r="BR185" s="80">
        <f t="shared" si="151"/>
        <v>5.3248136315282217E-4</v>
      </c>
      <c r="BS185" s="96">
        <f t="shared" si="152"/>
        <v>4.3097503792623436E-4</v>
      </c>
    </row>
    <row r="186" spans="1:71" ht="15.75" thickBot="1" x14ac:dyDescent="0.3">
      <c r="A186" s="121">
        <v>98</v>
      </c>
      <c r="B186" s="55">
        <v>52.244708630431298</v>
      </c>
      <c r="C186" s="55">
        <v>3.5456586226427902</v>
      </c>
      <c r="D186" s="122">
        <v>52.8840453127643</v>
      </c>
      <c r="E186" s="380" t="s">
        <v>20</v>
      </c>
      <c r="F186" s="212">
        <v>30.918700000000001</v>
      </c>
      <c r="G186" s="212" t="s">
        <v>21</v>
      </c>
      <c r="H186" s="121">
        <v>1.05129E-2</v>
      </c>
      <c r="I186" s="329">
        <v>3.4491099999999999E-4</v>
      </c>
      <c r="J186" s="55">
        <v>4.1389299999999999E-3</v>
      </c>
      <c r="K186" s="329">
        <v>1.05129E-4</v>
      </c>
      <c r="L186" s="67">
        <v>6.5323979176108804E-8</v>
      </c>
      <c r="M186" s="351">
        <v>0.105129</v>
      </c>
      <c r="N186" s="335">
        <v>1.1497000000000001E-4</v>
      </c>
      <c r="O186" s="122">
        <v>105.129</v>
      </c>
      <c r="P186" s="446">
        <v>1.23948E-4</v>
      </c>
      <c r="Q186" s="333">
        <v>1.23948448255792E-6</v>
      </c>
      <c r="R186" s="67">
        <v>1.23948448255792E-8</v>
      </c>
      <c r="S186" s="68">
        <v>1.2394844825579201E-10</v>
      </c>
      <c r="T186" s="353">
        <v>1.9212047903743599E-7</v>
      </c>
      <c r="U186" s="65">
        <v>1.3341699933155199E-9</v>
      </c>
      <c r="V186" s="69">
        <v>1.23948448255792E-12</v>
      </c>
      <c r="W186" s="71">
        <v>1.23948448255792E-14</v>
      </c>
      <c r="X186" s="501">
        <v>3.0628328588510698E-14</v>
      </c>
      <c r="Y186" s="436">
        <v>8</v>
      </c>
      <c r="Z186" s="494">
        <v>98</v>
      </c>
      <c r="AA186" s="495">
        <v>52.244259999999997</v>
      </c>
      <c r="AB186" s="495">
        <v>3.54575</v>
      </c>
      <c r="AC186" s="496">
        <v>52.883800000000001</v>
      </c>
      <c r="AD186" s="286" t="s">
        <v>20</v>
      </c>
      <c r="AE186" s="20">
        <v>30.918700000000001</v>
      </c>
      <c r="AF186" s="20" t="s">
        <v>21</v>
      </c>
      <c r="AG186" s="17">
        <v>1.0512799999999999E-2</v>
      </c>
      <c r="AH186" s="318">
        <v>3.44908E-4</v>
      </c>
      <c r="AI186" s="9">
        <v>4.1389E-3</v>
      </c>
      <c r="AJ186" s="318">
        <v>1.05128E-4</v>
      </c>
      <c r="AK186" s="206">
        <v>6.5323510697526397E-8</v>
      </c>
      <c r="AL186" s="9">
        <v>0.105128</v>
      </c>
      <c r="AM186" s="318">
        <v>1.14969E-4</v>
      </c>
      <c r="AN186" s="467">
        <f>AA186+AC186</f>
        <v>105.12806</v>
      </c>
      <c r="AO186" s="17">
        <f>(Z186*Z186)/2*(AE194-SIN(AE194))/1000/1000</f>
        <v>1.2394632236441128E-4</v>
      </c>
      <c r="AP186" s="416">
        <v>1.2394599999999999E-6</v>
      </c>
      <c r="AQ186" s="400">
        <v>1.2394599999999999E-8</v>
      </c>
      <c r="AR186" s="417">
        <v>1.2394599999999999E-10</v>
      </c>
      <c r="AS186" s="320">
        <v>1.92116684233368E-7</v>
      </c>
      <c r="AT186" s="206">
        <v>1.3341436405095E-9</v>
      </c>
      <c r="AU186" s="418">
        <v>1.2394600000000001E-12</v>
      </c>
      <c r="AV186" s="36">
        <v>1.23946E-14</v>
      </c>
      <c r="AW186" s="475">
        <v>3.0627723611329302E-14</v>
      </c>
      <c r="AX186" s="443" t="s">
        <v>20</v>
      </c>
      <c r="AY186" s="218">
        <f t="shared" si="133"/>
        <v>8.5871717065281572E-4</v>
      </c>
      <c r="AZ186" s="97">
        <f t="shared" si="134"/>
        <v>4.6387128818163419E-4</v>
      </c>
      <c r="BA186" s="231">
        <f t="shared" si="135"/>
        <v>-2.5770953172041277E-3</v>
      </c>
      <c r="BB186" s="275" t="s">
        <v>21</v>
      </c>
      <c r="BC186" s="135">
        <f t="shared" si="136"/>
        <v>9.5122136824766807E-4</v>
      </c>
      <c r="BD186" s="98">
        <f t="shared" si="137"/>
        <v>8.6979716329949595E-4</v>
      </c>
      <c r="BE186" s="98">
        <f t="shared" si="138"/>
        <v>7.2483026890772517E-4</v>
      </c>
      <c r="BF186" s="98">
        <f t="shared" si="139"/>
        <v>9.5122136823890186E-4</v>
      </c>
      <c r="BG186" s="98">
        <f t="shared" si="140"/>
        <v>7.1716687821021623E-4</v>
      </c>
      <c r="BH186" s="98">
        <f t="shared" si="141"/>
        <v>9.5122136823776735E-4</v>
      </c>
      <c r="BI186" s="98">
        <f t="shared" si="142"/>
        <v>8.6979968513442119E-4</v>
      </c>
      <c r="BJ186" s="421">
        <f t="shared" si="143"/>
        <v>8.9414757582318251E-4</v>
      </c>
      <c r="BK186" s="140">
        <f t="shared" si="144"/>
        <v>1.3535178428159492E-3</v>
      </c>
      <c r="BL186" s="100">
        <f t="shared" si="145"/>
        <v>1.9752600261519863E-3</v>
      </c>
      <c r="BM186" s="100">
        <f t="shared" si="146"/>
        <v>1.9752600261471812E-3</v>
      </c>
      <c r="BN186" s="100">
        <f t="shared" si="147"/>
        <v>1.9752600261605286E-3</v>
      </c>
      <c r="BO186" s="100">
        <f t="shared" si="148"/>
        <v>1.9752600265492293E-3</v>
      </c>
      <c r="BP186" s="100">
        <f t="shared" si="149"/>
        <v>1.9752600259619435E-3</v>
      </c>
      <c r="BQ186" s="100">
        <f t="shared" si="150"/>
        <v>1.9752600261377178E-3</v>
      </c>
      <c r="BR186" s="100">
        <f t="shared" si="151"/>
        <v>1.9752600261397548E-3</v>
      </c>
      <c r="BS186" s="102">
        <f t="shared" si="152"/>
        <v>1.9752600260876415E-3</v>
      </c>
    </row>
    <row r="187" spans="1:71" x14ac:dyDescent="0.25">
      <c r="A187" s="114">
        <v>130</v>
      </c>
      <c r="B187" s="115">
        <v>130</v>
      </c>
      <c r="C187" s="115">
        <v>17.416697508022999</v>
      </c>
      <c r="D187" s="497">
        <v>136.13568165555799</v>
      </c>
      <c r="E187" s="245" t="s">
        <v>9</v>
      </c>
      <c r="F187" s="246">
        <v>1.0471975511966001</v>
      </c>
      <c r="G187" s="245" t="s">
        <v>31</v>
      </c>
      <c r="H187" s="114">
        <v>266.13600000000002</v>
      </c>
      <c r="I187" s="115">
        <v>8.7314900000000009</v>
      </c>
      <c r="J187" s="115">
        <v>104.77800000000001</v>
      </c>
      <c r="K187" s="115">
        <v>2.6613600000000002</v>
      </c>
      <c r="L187" s="311">
        <v>1.65369E-3</v>
      </c>
      <c r="M187" s="115">
        <v>2661.36</v>
      </c>
      <c r="N187" s="115">
        <v>2.9104999999999999</v>
      </c>
      <c r="O187" s="117">
        <v>2661357</v>
      </c>
      <c r="P187" s="114">
        <v>153090</v>
      </c>
      <c r="Q187" s="115">
        <v>1530.9</v>
      </c>
      <c r="R187" s="115">
        <v>15.308999999999999</v>
      </c>
      <c r="S187" s="115">
        <v>0.15309</v>
      </c>
      <c r="T187" s="115">
        <v>237.291</v>
      </c>
      <c r="U187" s="115">
        <v>1.64785</v>
      </c>
      <c r="V187" s="392">
        <v>1.5309E-3</v>
      </c>
      <c r="W187" s="116">
        <v>1.5309046456327499E-5</v>
      </c>
      <c r="X187" s="314">
        <v>3.7829477644893703E-5</v>
      </c>
      <c r="Y187" s="434">
        <v>1</v>
      </c>
      <c r="Z187" s="8">
        <v>130</v>
      </c>
      <c r="AA187" s="260">
        <v>130</v>
      </c>
      <c r="AB187" s="260">
        <v>17.416689999999999</v>
      </c>
      <c r="AC187" s="493">
        <v>136.13569000000001</v>
      </c>
      <c r="AD187" s="285" t="s">
        <v>9</v>
      </c>
      <c r="AE187" s="12">
        <v>1.0471999999999999</v>
      </c>
      <c r="AF187" s="18" t="s">
        <v>31</v>
      </c>
      <c r="AG187" s="409">
        <f>AA187+AC187</f>
        <v>266.13569000000001</v>
      </c>
      <c r="AH187" s="7">
        <v>8.7315000000000005</v>
      </c>
      <c r="AI187" s="7">
        <v>104.77800000000001</v>
      </c>
      <c r="AJ187" s="7">
        <v>2.6613600000000002</v>
      </c>
      <c r="AK187" s="301">
        <v>1.65369E-3</v>
      </c>
      <c r="AL187" s="7">
        <v>2661.36</v>
      </c>
      <c r="AM187" s="7">
        <v>2.9104999999999999</v>
      </c>
      <c r="AN187" s="14">
        <v>2661360</v>
      </c>
      <c r="AO187" s="8">
        <v>153091</v>
      </c>
      <c r="AP187" s="12">
        <f>(Z187*Z187)/2*(AE187-SIN(AE187))</f>
        <v>1530.9149918490596</v>
      </c>
      <c r="AQ187" s="7">
        <v>15.309100000000001</v>
      </c>
      <c r="AR187" s="7">
        <v>0.153091</v>
      </c>
      <c r="AS187" s="7">
        <v>237.292</v>
      </c>
      <c r="AT187" s="7">
        <v>1.6478600000000001</v>
      </c>
      <c r="AU187" s="301">
        <v>1.5309099999999999E-3</v>
      </c>
      <c r="AV187" s="384">
        <v>1.5309099999999999E-5</v>
      </c>
      <c r="AW187" s="306">
        <v>3.7829609954189797E-5</v>
      </c>
      <c r="AX187" s="47" t="s">
        <v>9</v>
      </c>
      <c r="AY187" s="216">
        <f>(100*(B187-AA187))/AA187</f>
        <v>0</v>
      </c>
      <c r="AZ187" s="90">
        <f>(100*(D187-AC187))/AC187</f>
        <v>-6.1295036023908867E-6</v>
      </c>
      <c r="BA187" s="229">
        <f>(100*(C187-AB187))/AB187</f>
        <v>4.3108208274696102E-5</v>
      </c>
      <c r="BB187" s="237" t="s">
        <v>31</v>
      </c>
      <c r="BC187" s="133">
        <f>(100*(H187-AG187))/AG187</f>
        <v>1.164819344647586E-4</v>
      </c>
      <c r="BD187" s="91">
        <f t="shared" si="137"/>
        <v>-1.1452785889734207E-4</v>
      </c>
      <c r="BE187" s="91">
        <f t="shared" si="138"/>
        <v>0</v>
      </c>
      <c r="BF187" s="91">
        <f t="shared" si="139"/>
        <v>0</v>
      </c>
      <c r="BG187" s="91">
        <f t="shared" si="140"/>
        <v>0</v>
      </c>
      <c r="BH187" s="91">
        <f t="shared" si="141"/>
        <v>0</v>
      </c>
      <c r="BI187" s="91">
        <f t="shared" si="142"/>
        <v>0</v>
      </c>
      <c r="BJ187" s="419">
        <f t="shared" si="143"/>
        <v>-1.1272432139958517E-4</v>
      </c>
      <c r="BK187" s="138">
        <f>(100*(P187-AO187))/AO187</f>
        <v>-6.5320626294164907E-4</v>
      </c>
      <c r="BL187" s="93">
        <f>(100*(Q187-AP187))/AP187</f>
        <v>-9.7927377674724347E-4</v>
      </c>
      <c r="BM187" s="93">
        <f t="shared" si="146"/>
        <v>-6.5320626295172998E-4</v>
      </c>
      <c r="BN187" s="93">
        <f t="shared" si="147"/>
        <v>-6.532062629423023E-4</v>
      </c>
      <c r="BO187" s="93">
        <f t="shared" si="148"/>
        <v>-4.2142170827704888E-4</v>
      </c>
      <c r="BP187" s="93">
        <f t="shared" si="149"/>
        <v>-6.0684766910207852E-4</v>
      </c>
      <c r="BQ187" s="93">
        <f t="shared" si="150"/>
        <v>-6.532062629377699E-4</v>
      </c>
      <c r="BR187" s="93">
        <f t="shared" si="151"/>
        <v>-3.4975062217931248E-4</v>
      </c>
      <c r="BS187" s="95">
        <f t="shared" si="152"/>
        <v>-3.4975062194551898E-4</v>
      </c>
    </row>
    <row r="188" spans="1:71" x14ac:dyDescent="0.25">
      <c r="A188" s="118">
        <v>80</v>
      </c>
      <c r="B188" s="1">
        <v>122.567110899036</v>
      </c>
      <c r="C188" s="1">
        <v>28.576991225076899</v>
      </c>
      <c r="D188" s="119">
        <v>139.626340159546</v>
      </c>
      <c r="E188" s="211" t="s">
        <v>5</v>
      </c>
      <c r="F188" s="56">
        <v>1.74532925199433</v>
      </c>
      <c r="G188" s="211" t="s">
        <v>31</v>
      </c>
      <c r="H188" s="118">
        <v>7991.66</v>
      </c>
      <c r="I188" s="1">
        <v>262.19299999999998</v>
      </c>
      <c r="J188" s="1">
        <v>3146.32</v>
      </c>
      <c r="K188" s="1">
        <v>79.916600000000003</v>
      </c>
      <c r="L188" s="1">
        <v>4.9657899999999998E-2</v>
      </c>
      <c r="M188" s="1">
        <v>79916.600000000006</v>
      </c>
      <c r="N188" s="1">
        <v>87.397800000000004</v>
      </c>
      <c r="O188" s="119">
        <v>79916564</v>
      </c>
      <c r="P188" s="118">
        <v>226095230</v>
      </c>
      <c r="Q188" s="1">
        <v>2260952</v>
      </c>
      <c r="R188" s="1">
        <v>22609.5</v>
      </c>
      <c r="S188" s="1">
        <v>226.095</v>
      </c>
      <c r="T188" s="1">
        <v>350448</v>
      </c>
      <c r="U188" s="1">
        <v>2433.67</v>
      </c>
      <c r="V188" s="1">
        <v>2.2609499999999998</v>
      </c>
      <c r="W188" s="52">
        <v>2.2609500000000001E-2</v>
      </c>
      <c r="X188" s="119">
        <v>5.5869299999999997E-2</v>
      </c>
      <c r="Y188" s="435">
        <v>2</v>
      </c>
      <c r="Z188" s="15">
        <v>80</v>
      </c>
      <c r="AA188" s="2">
        <v>122.57</v>
      </c>
      <c r="AB188" s="2">
        <v>28.58</v>
      </c>
      <c r="AC188" s="16">
        <v>139.63</v>
      </c>
      <c r="AD188" s="35" t="s">
        <v>5</v>
      </c>
      <c r="AE188" s="34">
        <v>1.74533</v>
      </c>
      <c r="AF188" s="19" t="s">
        <v>31</v>
      </c>
      <c r="AG188" s="15">
        <v>7991.86</v>
      </c>
      <c r="AH188" s="186">
        <f>AA188+AC188</f>
        <v>262.2</v>
      </c>
      <c r="AI188" s="2">
        <v>3146.4</v>
      </c>
      <c r="AJ188" s="2">
        <v>79.918599999999998</v>
      </c>
      <c r="AK188" s="2">
        <v>4.9659099999999998E-2</v>
      </c>
      <c r="AL188" s="2">
        <v>79918.600000000006</v>
      </c>
      <c r="AM188" s="2">
        <v>87.4</v>
      </c>
      <c r="AN188" s="16">
        <v>79918560</v>
      </c>
      <c r="AO188" s="15">
        <v>226095341</v>
      </c>
      <c r="AP188" s="2">
        <v>2260953</v>
      </c>
      <c r="AQ188" s="2">
        <v>22609.5</v>
      </c>
      <c r="AR188" s="2">
        <v>226.095</v>
      </c>
      <c r="AS188" s="2">
        <v>350448</v>
      </c>
      <c r="AT188" s="2">
        <f>(Z188*Z188)/2*(AE188-SIN(AE188))</f>
        <v>2433.6716060092449</v>
      </c>
      <c r="AU188" s="2">
        <v>2.2609499999999998</v>
      </c>
      <c r="AV188" s="342">
        <v>2.2609500000000001E-2</v>
      </c>
      <c r="AW188" s="42">
        <v>5.58694E-2</v>
      </c>
      <c r="AX188" s="46" t="s">
        <v>5</v>
      </c>
      <c r="AY188" s="217">
        <f t="shared" ref="AY188:AY194" si="153">(100*(B188-AA188))/AA188</f>
        <v>-2.3571028506141375E-3</v>
      </c>
      <c r="AZ188" s="73">
        <f t="shared" ref="AZ188:AZ194" si="154">(100*(D188-AC188))/AC188</f>
        <v>-2.6210989429145543E-3</v>
      </c>
      <c r="BA188" s="230">
        <f t="shared" ref="BA188:BA194" si="155">(100*(C188-AB188))/AB188</f>
        <v>-1.0527553964658386E-2</v>
      </c>
      <c r="BB188" s="238" t="s">
        <v>31</v>
      </c>
      <c r="BC188" s="134">
        <f t="shared" ref="BC188:BC194" si="156">(100*(H188-AG188))/AG188</f>
        <v>-2.5025463408995916E-3</v>
      </c>
      <c r="BD188" s="82">
        <f t="shared" ref="BD188:BD202" si="157">(100*(I188-AH188))/AH188</f>
        <v>-2.6697177726945089E-3</v>
      </c>
      <c r="BE188" s="82">
        <f t="shared" ref="BE188:BE202" si="158">(100*(J188-AI188))/AI188</f>
        <v>-2.5425883549430217E-3</v>
      </c>
      <c r="BF188" s="82">
        <f t="shared" ref="BF188:BF202" si="159">(100*(K188-AJ188))/AJ188</f>
        <v>-2.5025463408960354E-3</v>
      </c>
      <c r="BG188" s="82">
        <f t="shared" ref="BG188:BG202" si="160">(100*(L188-AK188))/AK188</f>
        <v>-2.4164755301642848E-3</v>
      </c>
      <c r="BH188" s="82">
        <f t="shared" ref="BH188:BH202" si="161">(100*(M188-AL188))/AL188</f>
        <v>-2.5025463409018675E-3</v>
      </c>
      <c r="BI188" s="82">
        <f t="shared" ref="BI188:BI202" si="162">(100*(N188-AM188))/AM188</f>
        <v>-2.5171624713981443E-3</v>
      </c>
      <c r="BJ188" s="420">
        <f t="shared" ref="BJ188:BJ202" si="163">(100*(O188-AN188))/AN188</f>
        <v>-2.4975424982632321E-3</v>
      </c>
      <c r="BK188" s="139">
        <f t="shared" ref="BK188:BK194" si="164">(100*(P188-AO188))/AO188</f>
        <v>-4.9094333173366894E-5</v>
      </c>
      <c r="BL188" s="80">
        <f t="shared" ref="BL188:BL194" si="165">(100*(Q188-AP188))/AP188</f>
        <v>-4.4229137005501663E-5</v>
      </c>
      <c r="BM188" s="80">
        <f t="shared" ref="BM188:BM202" si="166">(100*(R188-AQ188))/AQ188</f>
        <v>0</v>
      </c>
      <c r="BN188" s="80">
        <f t="shared" ref="BN188:BN202" si="167">(100*(S188-AR188))/AR188</f>
        <v>0</v>
      </c>
      <c r="BO188" s="80">
        <f t="shared" ref="BO188:BO202" si="168">(100*(T188-AS188))/AS188</f>
        <v>0</v>
      </c>
      <c r="BP188" s="80">
        <f t="shared" ref="BP188:BP202" si="169">(100*(U188-AT188))/AT188</f>
        <v>-6.5991206079680704E-5</v>
      </c>
      <c r="BQ188" s="80">
        <f t="shared" ref="BQ188:BQ202" si="170">(100*(V188-AU188))/AU188</f>
        <v>0</v>
      </c>
      <c r="BR188" s="80">
        <f t="shared" ref="BR188:BR202" si="171">(100*(W188-AV188))/AV188</f>
        <v>0</v>
      </c>
      <c r="BS188" s="96">
        <f t="shared" ref="BS188:BS202" si="172">(100*(X188-AW188))/AW188</f>
        <v>-1.789888561589628E-4</v>
      </c>
    </row>
    <row r="189" spans="1:71" x14ac:dyDescent="0.25">
      <c r="A189" s="118">
        <v>63</v>
      </c>
      <c r="B189" s="1">
        <v>126</v>
      </c>
      <c r="C189" s="1">
        <v>63</v>
      </c>
      <c r="D189" s="119">
        <v>197.92033717615701</v>
      </c>
      <c r="E189" s="211" t="s">
        <v>8</v>
      </c>
      <c r="F189" s="56">
        <v>3.14159265358979</v>
      </c>
      <c r="G189" s="211" t="s">
        <v>31</v>
      </c>
      <c r="H189" s="118">
        <v>822.75800000000004</v>
      </c>
      <c r="I189" s="1">
        <v>26.993400000000001</v>
      </c>
      <c r="J189" s="1">
        <v>323.92</v>
      </c>
      <c r="K189" s="1">
        <v>8.2275799999999997</v>
      </c>
      <c r="L189" s="1">
        <v>5.1123799999999997E-3</v>
      </c>
      <c r="M189" s="1">
        <v>8227.58</v>
      </c>
      <c r="N189" s="1">
        <v>8.9977900000000002</v>
      </c>
      <c r="O189" s="119">
        <v>8227577</v>
      </c>
      <c r="P189" s="118">
        <v>4022244</v>
      </c>
      <c r="Q189" s="1">
        <v>40222.400000000001</v>
      </c>
      <c r="R189" s="1">
        <v>402.22399999999999</v>
      </c>
      <c r="S189" s="1">
        <v>4.02224</v>
      </c>
      <c r="T189" s="1">
        <v>6234.49</v>
      </c>
      <c r="U189" s="1">
        <v>43.295099999999998</v>
      </c>
      <c r="V189" s="78">
        <v>4.0222399999999998E-2</v>
      </c>
      <c r="W189" s="316">
        <v>4.0222400000000002E-4</v>
      </c>
      <c r="X189" s="317">
        <v>9.939180000000001E-4</v>
      </c>
      <c r="Y189" s="435">
        <v>3</v>
      </c>
      <c r="Z189" s="15">
        <v>63</v>
      </c>
      <c r="AA189" s="2">
        <v>126</v>
      </c>
      <c r="AB189" s="2">
        <v>63</v>
      </c>
      <c r="AC189" s="16">
        <v>197.92034000000001</v>
      </c>
      <c r="AD189" s="35" t="s">
        <v>8</v>
      </c>
      <c r="AE189" s="34">
        <v>3.1415899999999999</v>
      </c>
      <c r="AF189" s="19" t="s">
        <v>31</v>
      </c>
      <c r="AG189" s="15">
        <v>822.75699999999995</v>
      </c>
      <c r="AH189" s="2">
        <v>26.993300000000001</v>
      </c>
      <c r="AI189" s="186">
        <f>AA189+AC189</f>
        <v>323.92034000000001</v>
      </c>
      <c r="AJ189" s="2">
        <v>8.2275700000000001</v>
      </c>
      <c r="AK189" s="2">
        <v>5.1123699999999998E-3</v>
      </c>
      <c r="AL189" s="2">
        <v>8227.57</v>
      </c>
      <c r="AM189" s="2">
        <v>8.9977800000000006</v>
      </c>
      <c r="AN189" s="16">
        <v>8227568</v>
      </c>
      <c r="AO189" s="27">
        <v>4022237</v>
      </c>
      <c r="AP189" s="340">
        <v>40222.400000000001</v>
      </c>
      <c r="AQ189" s="2">
        <v>402.22399999999999</v>
      </c>
      <c r="AR189" s="2">
        <v>4.02224</v>
      </c>
      <c r="AS189" s="2">
        <f>(Z189*Z189)/2*(AE189-SIN(AE189))</f>
        <v>6234.4800889510552</v>
      </c>
      <c r="AT189" s="2">
        <v>43.295000000000002</v>
      </c>
      <c r="AU189" s="342">
        <v>4.0222399999999998E-2</v>
      </c>
      <c r="AV189" s="302">
        <v>4.0222400000000002E-4</v>
      </c>
      <c r="AW189" s="188">
        <v>9.9391600000000007E-4</v>
      </c>
      <c r="AX189" s="46" t="s">
        <v>8</v>
      </c>
      <c r="AY189" s="217">
        <f t="shared" si="153"/>
        <v>0</v>
      </c>
      <c r="AZ189" s="73">
        <f t="shared" si="154"/>
        <v>-1.4267573533686525E-6</v>
      </c>
      <c r="BA189" s="230">
        <f t="shared" si="155"/>
        <v>0</v>
      </c>
      <c r="BB189" s="238" t="s">
        <v>31</v>
      </c>
      <c r="BC189" s="134">
        <f t="shared" si="156"/>
        <v>1.2154256968826033E-4</v>
      </c>
      <c r="BD189" s="82">
        <f t="shared" si="157"/>
        <v>3.7046229990318687E-4</v>
      </c>
      <c r="BE189" s="82">
        <f t="shared" si="158"/>
        <v>-1.0496407851209152E-4</v>
      </c>
      <c r="BF189" s="82">
        <f t="shared" si="159"/>
        <v>1.215425696727153E-4</v>
      </c>
      <c r="BG189" s="82">
        <f t="shared" si="160"/>
        <v>1.9560399579726453E-4</v>
      </c>
      <c r="BH189" s="82">
        <f t="shared" si="161"/>
        <v>1.2154256967996966E-4</v>
      </c>
      <c r="BI189" s="82">
        <f t="shared" si="162"/>
        <v>1.1113852527647289E-4</v>
      </c>
      <c r="BJ189" s="420">
        <f t="shared" si="163"/>
        <v>1.0938833930026467E-4</v>
      </c>
      <c r="BK189" s="139">
        <f t="shared" si="164"/>
        <v>1.7403250977006079E-4</v>
      </c>
      <c r="BL189" s="80">
        <f t="shared" si="165"/>
        <v>0</v>
      </c>
      <c r="BM189" s="80">
        <f t="shared" si="166"/>
        <v>0</v>
      </c>
      <c r="BN189" s="80">
        <f t="shared" si="167"/>
        <v>0</v>
      </c>
      <c r="BO189" s="80">
        <f t="shared" si="168"/>
        <v>1.5897153897602423E-4</v>
      </c>
      <c r="BP189" s="80">
        <f t="shared" si="169"/>
        <v>2.3097355351937688E-4</v>
      </c>
      <c r="BQ189" s="80">
        <f t="shared" si="170"/>
        <v>0</v>
      </c>
      <c r="BR189" s="80">
        <f t="shared" si="171"/>
        <v>0</v>
      </c>
      <c r="BS189" s="96">
        <f t="shared" si="172"/>
        <v>2.0122424832998869E-4</v>
      </c>
    </row>
    <row r="190" spans="1:71" x14ac:dyDescent="0.25">
      <c r="A190" s="118">
        <v>654</v>
      </c>
      <c r="B190" s="1">
        <v>1288.12854093997</v>
      </c>
      <c r="C190" s="1">
        <v>767.56590819417204</v>
      </c>
      <c r="D190" s="119">
        <v>2282.8906616085801</v>
      </c>
      <c r="E190" s="211" t="s">
        <v>4</v>
      </c>
      <c r="F190" s="56">
        <v>3.49065850398866</v>
      </c>
      <c r="G190" s="211" t="s">
        <v>31</v>
      </c>
      <c r="H190" s="118">
        <v>357102</v>
      </c>
      <c r="I190" s="1">
        <v>11715.9</v>
      </c>
      <c r="J190" s="1">
        <v>140591</v>
      </c>
      <c r="K190" s="1">
        <v>3571.02</v>
      </c>
      <c r="L190" s="1">
        <v>2.2189299999999998</v>
      </c>
      <c r="M190" s="1">
        <v>3571019</v>
      </c>
      <c r="N190" s="1">
        <v>3905.31</v>
      </c>
      <c r="O190" s="119">
        <v>3571019203</v>
      </c>
      <c r="P190" s="118">
        <v>819648990157</v>
      </c>
      <c r="Q190" s="1">
        <v>8196489902</v>
      </c>
      <c r="R190" s="1">
        <v>81964899</v>
      </c>
      <c r="S190" s="1">
        <v>819649</v>
      </c>
      <c r="T190" s="1">
        <v>1270458476</v>
      </c>
      <c r="U190" s="1">
        <v>8822628</v>
      </c>
      <c r="V190" s="1">
        <v>8196.49</v>
      </c>
      <c r="W190" s="1">
        <v>81.9649</v>
      </c>
      <c r="X190" s="119">
        <v>202.54</v>
      </c>
      <c r="Y190" s="435">
        <v>4</v>
      </c>
      <c r="Z190" s="15">
        <v>654</v>
      </c>
      <c r="AA190" s="2">
        <v>1288.1286600000001</v>
      </c>
      <c r="AB190" s="2">
        <v>767.56577000000004</v>
      </c>
      <c r="AC190" s="16">
        <v>2282.8904299999999</v>
      </c>
      <c r="AD190" s="35" t="s">
        <v>4</v>
      </c>
      <c r="AE190" s="34">
        <v>3.4906600000000001</v>
      </c>
      <c r="AF190" s="19" t="s">
        <v>31</v>
      </c>
      <c r="AG190" s="15">
        <v>357102</v>
      </c>
      <c r="AH190" s="2">
        <v>11715.9</v>
      </c>
      <c r="AI190" s="2">
        <v>140591</v>
      </c>
      <c r="AJ190" s="186">
        <f>AA190+AC190</f>
        <v>3571.0190899999998</v>
      </c>
      <c r="AK190" s="2">
        <v>2.2189299999999998</v>
      </c>
      <c r="AL190" s="2">
        <v>3571020</v>
      </c>
      <c r="AM190" s="2">
        <v>3905.31</v>
      </c>
      <c r="AN190" s="16">
        <v>3571020000</v>
      </c>
      <c r="AO190" s="28">
        <v>819650000000</v>
      </c>
      <c r="AP190" s="2">
        <v>8196500000</v>
      </c>
      <c r="AQ190" s="2">
        <v>81965000</v>
      </c>
      <c r="AR190" s="2">
        <f>(Z190*Z190)/2*(AE190-SIN(AE190))</f>
        <v>819649.61073087167</v>
      </c>
      <c r="AS190" s="2">
        <v>1270460041</v>
      </c>
      <c r="AT190" s="2">
        <v>8822639</v>
      </c>
      <c r="AU190" s="2">
        <v>8196.5</v>
      </c>
      <c r="AV190" s="2">
        <v>81.965000000000003</v>
      </c>
      <c r="AW190" s="42">
        <v>202.54</v>
      </c>
      <c r="AX190" s="46" t="s">
        <v>4</v>
      </c>
      <c r="AY190" s="217">
        <f t="shared" si="153"/>
        <v>-9.2428678748236635E-6</v>
      </c>
      <c r="AZ190" s="73">
        <f t="shared" si="154"/>
        <v>1.0145409395730583E-5</v>
      </c>
      <c r="BA190" s="230">
        <f t="shared" si="155"/>
        <v>1.8004212459287341E-5</v>
      </c>
      <c r="BB190" s="238" t="s">
        <v>31</v>
      </c>
      <c r="BC190" s="134">
        <f t="shared" si="156"/>
        <v>0</v>
      </c>
      <c r="BD190" s="82">
        <f t="shared" si="157"/>
        <v>0</v>
      </c>
      <c r="BE190" s="82">
        <f t="shared" si="158"/>
        <v>0</v>
      </c>
      <c r="BF190" s="82">
        <f t="shared" si="159"/>
        <v>2.5482921744996367E-5</v>
      </c>
      <c r="BG190" s="82">
        <f t="shared" si="160"/>
        <v>0</v>
      </c>
      <c r="BH190" s="82">
        <f t="shared" si="161"/>
        <v>-2.8003203566488006E-5</v>
      </c>
      <c r="BI190" s="82">
        <f t="shared" si="162"/>
        <v>0</v>
      </c>
      <c r="BJ190" s="420">
        <f t="shared" si="163"/>
        <v>-2.2318553242490942E-5</v>
      </c>
      <c r="BK190" s="139">
        <f t="shared" si="164"/>
        <v>-1.2320417251265785E-4</v>
      </c>
      <c r="BL190" s="80">
        <f t="shared" si="165"/>
        <v>-1.2319892637101203E-4</v>
      </c>
      <c r="BM190" s="80">
        <f t="shared" si="166"/>
        <v>-1.2322332702982981E-4</v>
      </c>
      <c r="BN190" s="80">
        <f t="shared" si="167"/>
        <v>-7.4511213533063646E-5</v>
      </c>
      <c r="BO190" s="80">
        <f t="shared" si="168"/>
        <v>-1.2318372475281968E-4</v>
      </c>
      <c r="BP190" s="80">
        <f t="shared" si="169"/>
        <v>-1.2467924846522679E-4</v>
      </c>
      <c r="BQ190" s="80">
        <f t="shared" si="170"/>
        <v>-1.2200329409160348E-4</v>
      </c>
      <c r="BR190" s="80">
        <f t="shared" si="171"/>
        <v>-1.2200329409299048E-4</v>
      </c>
      <c r="BS190" s="96">
        <f t="shared" si="172"/>
        <v>0</v>
      </c>
    </row>
    <row r="191" spans="1:71" x14ac:dyDescent="0.25">
      <c r="A191" s="118">
        <v>110</v>
      </c>
      <c r="B191" s="1">
        <v>168.52977748617499</v>
      </c>
      <c r="C191" s="1">
        <v>39.293362934480697</v>
      </c>
      <c r="D191" s="372">
        <v>191.98621771937599</v>
      </c>
      <c r="E191" s="211" t="s">
        <v>10</v>
      </c>
      <c r="F191" s="247">
        <v>1.74532925199433</v>
      </c>
      <c r="G191" s="211" t="s">
        <v>31</v>
      </c>
      <c r="H191" s="120">
        <v>58019425</v>
      </c>
      <c r="I191" s="1">
        <v>1903524</v>
      </c>
      <c r="J191" s="1">
        <v>22842293</v>
      </c>
      <c r="K191" s="1">
        <v>580194</v>
      </c>
      <c r="L191" s="1">
        <v>360.51600000000002</v>
      </c>
      <c r="M191" s="1">
        <v>580194254</v>
      </c>
      <c r="N191" s="1">
        <v>634508</v>
      </c>
      <c r="O191" s="119">
        <v>580194253788</v>
      </c>
      <c r="P191" s="120">
        <v>1.19169369221125E+16</v>
      </c>
      <c r="Q191" s="59">
        <v>119169369221125</v>
      </c>
      <c r="R191" s="59">
        <v>1191693692211</v>
      </c>
      <c r="S191" s="1">
        <v>11916936922</v>
      </c>
      <c r="T191" s="1">
        <v>18471289171853</v>
      </c>
      <c r="U191" s="1">
        <v>128272841471</v>
      </c>
      <c r="V191" s="1">
        <v>119169369</v>
      </c>
      <c r="W191" s="1">
        <v>1191694</v>
      </c>
      <c r="X191" s="119">
        <v>2944739</v>
      </c>
      <c r="Y191" s="435">
        <v>5</v>
      </c>
      <c r="Z191" s="15">
        <v>110</v>
      </c>
      <c r="AA191" s="2">
        <v>168.52978999999999</v>
      </c>
      <c r="AB191" s="2">
        <v>39.293329999999997</v>
      </c>
      <c r="AC191" s="438">
        <v>191.98618999999999</v>
      </c>
      <c r="AD191" s="35" t="s">
        <v>10</v>
      </c>
      <c r="AE191" s="476">
        <v>1.74533</v>
      </c>
      <c r="AF191" s="19" t="s">
        <v>31</v>
      </c>
      <c r="AG191" s="15">
        <v>58019426</v>
      </c>
      <c r="AH191" s="2">
        <v>1903524</v>
      </c>
      <c r="AI191" s="2">
        <v>22842294</v>
      </c>
      <c r="AJ191" s="2">
        <v>580194</v>
      </c>
      <c r="AK191" s="186">
        <f>AA191+AC191</f>
        <v>360.51598000000001</v>
      </c>
      <c r="AL191" s="2">
        <v>580194262</v>
      </c>
      <c r="AM191" s="2">
        <v>634508</v>
      </c>
      <c r="AN191" s="16">
        <v>580194261504</v>
      </c>
      <c r="AO191" s="28">
        <v>1.1916950678E+16</v>
      </c>
      <c r="AP191" s="29">
        <v>119169506780000</v>
      </c>
      <c r="AQ191" s="29">
        <v>1191695067800</v>
      </c>
      <c r="AR191" s="26">
        <f>(Z191*Z191)/2*(AE191-SIN(AE191))*1609.344*1609.344</f>
        <v>11916950678.237154</v>
      </c>
      <c r="AS191" s="29">
        <v>18471310493521</v>
      </c>
      <c r="AT191" s="29">
        <v>128272989538</v>
      </c>
      <c r="AU191" s="2">
        <v>119169507</v>
      </c>
      <c r="AV191" s="2">
        <v>1191695</v>
      </c>
      <c r="AW191" s="42">
        <v>2944743</v>
      </c>
      <c r="AX191" s="46" t="s">
        <v>10</v>
      </c>
      <c r="AY191" s="217">
        <f t="shared" si="153"/>
        <v>-7.4252896170168007E-6</v>
      </c>
      <c r="AZ191" s="73">
        <f t="shared" si="154"/>
        <v>1.4438213494821725E-5</v>
      </c>
      <c r="BA191" s="230">
        <f t="shared" si="155"/>
        <v>8.3816975298261299E-5</v>
      </c>
      <c r="BB191" s="238" t="s">
        <v>31</v>
      </c>
      <c r="BC191" s="134">
        <f t="shared" si="156"/>
        <v>-1.723560657080613E-6</v>
      </c>
      <c r="BD191" s="82">
        <f t="shared" si="157"/>
        <v>0</v>
      </c>
      <c r="BE191" s="82">
        <f t="shared" si="158"/>
        <v>-4.3778440116391113E-6</v>
      </c>
      <c r="BF191" s="82">
        <f t="shared" si="159"/>
        <v>0</v>
      </c>
      <c r="BG191" s="82">
        <f t="shared" si="160"/>
        <v>5.547604299356792E-6</v>
      </c>
      <c r="BH191" s="82">
        <f t="shared" si="161"/>
        <v>-1.3788485209114323E-6</v>
      </c>
      <c r="BI191" s="82">
        <f t="shared" si="162"/>
        <v>0</v>
      </c>
      <c r="BJ191" s="420">
        <f t="shared" si="163"/>
        <v>-1.3298993995559888E-6</v>
      </c>
      <c r="BK191" s="139">
        <f t="shared" si="164"/>
        <v>-1.1543126989184305E-4</v>
      </c>
      <c r="BL191" s="80">
        <f t="shared" si="165"/>
        <v>-1.1543126989184305E-4</v>
      </c>
      <c r="BM191" s="80">
        <f t="shared" si="166"/>
        <v>-1.1543129087036405E-4</v>
      </c>
      <c r="BN191" s="80">
        <f t="shared" si="167"/>
        <v>-1.1543420397911629E-4</v>
      </c>
      <c r="BO191" s="80">
        <f t="shared" si="168"/>
        <v>-1.1543126843912234E-4</v>
      </c>
      <c r="BP191" s="80">
        <f t="shared" si="169"/>
        <v>-1.1543116016340771E-4</v>
      </c>
      <c r="BQ191" s="80">
        <f t="shared" si="170"/>
        <v>-1.1580143568102535E-4</v>
      </c>
      <c r="BR191" s="80">
        <f t="shared" si="171"/>
        <v>-8.3914088755931678E-5</v>
      </c>
      <c r="BS191" s="96">
        <f t="shared" si="172"/>
        <v>-1.358352834186209E-4</v>
      </c>
    </row>
    <row r="192" spans="1:71" x14ac:dyDescent="0.25">
      <c r="A192" s="118">
        <v>41</v>
      </c>
      <c r="B192" s="1">
        <v>75.481397983100095</v>
      </c>
      <c r="C192" s="1">
        <v>24.980023731939799</v>
      </c>
      <c r="D192" s="119">
        <v>95.888389104568503</v>
      </c>
      <c r="E192" s="211" t="s">
        <v>6</v>
      </c>
      <c r="F192" s="56">
        <v>2.3387411976724</v>
      </c>
      <c r="G192" s="211" t="s">
        <v>31</v>
      </c>
      <c r="H192" s="118">
        <v>17.137</v>
      </c>
      <c r="I192" s="1">
        <v>0.56223699999999999</v>
      </c>
      <c r="J192" s="1">
        <v>6.7468399999999997</v>
      </c>
      <c r="K192" s="1">
        <v>0.17136999999999999</v>
      </c>
      <c r="L192" s="77">
        <v>1.0648400000000001E-4</v>
      </c>
      <c r="M192" s="1">
        <v>171.37</v>
      </c>
      <c r="N192" s="1">
        <v>0.187412</v>
      </c>
      <c r="O192" s="119">
        <v>171370</v>
      </c>
      <c r="P192" s="374">
        <v>1361.11</v>
      </c>
      <c r="Q192" s="347">
        <v>13.6111</v>
      </c>
      <c r="R192" s="78">
        <v>0.13611100000000001</v>
      </c>
      <c r="S192" s="326">
        <v>1.36111E-3</v>
      </c>
      <c r="T192" s="78">
        <v>2.1097199999999998</v>
      </c>
      <c r="U192" s="49">
        <v>1.46508E-2</v>
      </c>
      <c r="V192" s="51">
        <v>1.3611068744590201E-5</v>
      </c>
      <c r="W192" s="79">
        <v>1.3611068744590199E-7</v>
      </c>
      <c r="X192" s="128">
        <v>3.3633683343077698E-7</v>
      </c>
      <c r="Y192" s="435">
        <v>6</v>
      </c>
      <c r="Z192" s="15">
        <v>41</v>
      </c>
      <c r="AA192" s="2">
        <v>75.483639999999994</v>
      </c>
      <c r="AB192" s="2">
        <v>24.980869999999999</v>
      </c>
      <c r="AC192" s="16">
        <v>95.891210000000001</v>
      </c>
      <c r="AD192" s="35" t="s">
        <v>6</v>
      </c>
      <c r="AE192" s="34">
        <v>2.33874</v>
      </c>
      <c r="AF192" s="19" t="s">
        <v>31</v>
      </c>
      <c r="AG192" s="15">
        <v>17.137499999999999</v>
      </c>
      <c r="AH192" s="2">
        <v>0.56225400000000003</v>
      </c>
      <c r="AI192" s="2">
        <v>6.7470499999999998</v>
      </c>
      <c r="AJ192" s="2">
        <v>0.171375</v>
      </c>
      <c r="AK192" s="302">
        <v>1.06487E-4</v>
      </c>
      <c r="AL192" s="186">
        <f>AA192+AC192</f>
        <v>171.37484999999998</v>
      </c>
      <c r="AM192" s="2">
        <v>0.187418</v>
      </c>
      <c r="AN192" s="16">
        <v>171375</v>
      </c>
      <c r="AO192" s="15">
        <f>(Z192*Z192)/2*(AE192-SIN(AE192))</f>
        <v>1361.1051685423574</v>
      </c>
      <c r="AP192" s="2">
        <v>13.6111</v>
      </c>
      <c r="AQ192" s="2">
        <v>0.13611100000000001</v>
      </c>
      <c r="AR192" s="309">
        <v>1.36111E-3</v>
      </c>
      <c r="AS192" s="2">
        <v>2.1097199999999998</v>
      </c>
      <c r="AT192" s="342">
        <v>1.46509E-2</v>
      </c>
      <c r="AU192" s="323">
        <v>1.3611099999999999E-5</v>
      </c>
      <c r="AV192" s="360">
        <v>1.3611099999999999E-7</v>
      </c>
      <c r="AW192" s="385">
        <v>3.3633760576877298E-7</v>
      </c>
      <c r="AX192" s="46" t="s">
        <v>6</v>
      </c>
      <c r="AY192" s="217">
        <f t="shared" si="153"/>
        <v>-2.9702024172378453E-3</v>
      </c>
      <c r="AZ192" s="73">
        <f t="shared" si="154"/>
        <v>-2.9417664366709535E-3</v>
      </c>
      <c r="BA192" s="230">
        <f t="shared" si="155"/>
        <v>-3.3876644816646807E-3</v>
      </c>
      <c r="BB192" s="238" t="s">
        <v>31</v>
      </c>
      <c r="BC192" s="134">
        <f t="shared" si="156"/>
        <v>-2.9175784099129669E-3</v>
      </c>
      <c r="BD192" s="82">
        <f t="shared" si="157"/>
        <v>-3.0235445190331693E-3</v>
      </c>
      <c r="BE192" s="82">
        <f t="shared" si="158"/>
        <v>-3.112471376379951E-3</v>
      </c>
      <c r="BF192" s="82">
        <f t="shared" si="159"/>
        <v>-2.9175784099226844E-3</v>
      </c>
      <c r="BG192" s="82">
        <f t="shared" si="160"/>
        <v>-2.8172452975415078E-3</v>
      </c>
      <c r="BH192" s="82">
        <f t="shared" si="161"/>
        <v>-2.83005353467925E-3</v>
      </c>
      <c r="BI192" s="82">
        <f t="shared" si="162"/>
        <v>-3.2014000789710702E-3</v>
      </c>
      <c r="BJ192" s="420">
        <f t="shared" si="163"/>
        <v>-2.9175784099197666E-3</v>
      </c>
      <c r="BK192" s="139">
        <f t="shared" si="164"/>
        <v>3.5496578472634982E-4</v>
      </c>
      <c r="BL192" s="80">
        <f t="shared" si="165"/>
        <v>0</v>
      </c>
      <c r="BM192" s="80">
        <f t="shared" si="166"/>
        <v>0</v>
      </c>
      <c r="BN192" s="80">
        <f t="shared" si="167"/>
        <v>0</v>
      </c>
      <c r="BO192" s="80">
        <f t="shared" si="168"/>
        <v>0</v>
      </c>
      <c r="BP192" s="80">
        <f t="shared" si="169"/>
        <v>-6.8255192513365132E-4</v>
      </c>
      <c r="BQ192" s="80">
        <f t="shared" si="170"/>
        <v>-2.2963176964633508E-4</v>
      </c>
      <c r="BR192" s="80">
        <f t="shared" si="171"/>
        <v>-2.2963176966189284E-4</v>
      </c>
      <c r="BS192" s="96">
        <f t="shared" si="172"/>
        <v>-2.2963176961230587E-4</v>
      </c>
    </row>
    <row r="193" spans="1:71" x14ac:dyDescent="0.25">
      <c r="A193" s="118">
        <v>96.8</v>
      </c>
      <c r="B193" s="1">
        <v>130.17021391935199</v>
      </c>
      <c r="C193" s="1">
        <v>25.146885259274701</v>
      </c>
      <c r="D193" s="119">
        <v>142.760951496128</v>
      </c>
      <c r="E193" s="211" t="s">
        <v>7</v>
      </c>
      <c r="F193" s="56">
        <v>1.47480321793521</v>
      </c>
      <c r="G193" s="211" t="s">
        <v>31</v>
      </c>
      <c r="H193" s="118">
        <v>24956.799999999999</v>
      </c>
      <c r="I193" s="1">
        <v>818.79300000000001</v>
      </c>
      <c r="J193" s="1">
        <v>9825.52</v>
      </c>
      <c r="K193" s="1">
        <v>249.56800000000001</v>
      </c>
      <c r="L193" s="1">
        <v>0.15507499999999999</v>
      </c>
      <c r="M193" s="1">
        <v>249568</v>
      </c>
      <c r="N193" s="1">
        <v>272.93099999999998</v>
      </c>
      <c r="O193" s="119">
        <v>249568258</v>
      </c>
      <c r="P193" s="118">
        <v>1878008452</v>
      </c>
      <c r="Q193" s="1">
        <v>18780085</v>
      </c>
      <c r="R193" s="1">
        <v>187801</v>
      </c>
      <c r="S193" s="1">
        <v>1878.01</v>
      </c>
      <c r="T193" s="1">
        <v>2910919</v>
      </c>
      <c r="U193" s="1">
        <v>20214.7</v>
      </c>
      <c r="V193" s="1">
        <v>18.780100000000001</v>
      </c>
      <c r="W193" s="1">
        <v>0.187801</v>
      </c>
      <c r="X193" s="119">
        <v>0.46406599999999998</v>
      </c>
      <c r="Y193" s="435">
        <v>7</v>
      </c>
      <c r="Z193" s="15">
        <v>96.8</v>
      </c>
      <c r="AA193" s="2">
        <v>130.17639</v>
      </c>
      <c r="AB193" s="2">
        <v>25.149660000000001</v>
      </c>
      <c r="AC193" s="16">
        <v>142.76931999999999</v>
      </c>
      <c r="AD193" s="35" t="s">
        <v>7</v>
      </c>
      <c r="AE193" s="34">
        <v>1.4748000000000001</v>
      </c>
      <c r="AF193" s="19" t="s">
        <v>31</v>
      </c>
      <c r="AG193" s="15">
        <v>24958.2</v>
      </c>
      <c r="AH193" s="2">
        <v>818.83799999999997</v>
      </c>
      <c r="AI193" s="2">
        <v>9826.06</v>
      </c>
      <c r="AJ193" s="2">
        <v>249.58199999999999</v>
      </c>
      <c r="AK193" s="2">
        <v>0.155083</v>
      </c>
      <c r="AL193" s="2">
        <v>249582</v>
      </c>
      <c r="AM193" s="186">
        <f>AA193+AC193</f>
        <v>272.94570999999996</v>
      </c>
      <c r="AN193" s="16">
        <v>249581822</v>
      </c>
      <c r="AO193" s="15">
        <v>1878000000</v>
      </c>
      <c r="AP193" s="2">
        <v>18780000</v>
      </c>
      <c r="AQ193" s="2">
        <v>187800</v>
      </c>
      <c r="AR193" s="2">
        <f>(Z193*Z193)/2*(AE193-SIN(AE193))*0.9144*0.9144</f>
        <v>1877.9970544794926</v>
      </c>
      <c r="AS193" s="2">
        <v>2910906</v>
      </c>
      <c r="AT193" s="2">
        <v>20214.599999999999</v>
      </c>
      <c r="AU193" s="396">
        <v>18.78</v>
      </c>
      <c r="AV193" s="2">
        <v>0.18779999999999999</v>
      </c>
      <c r="AW193" s="42">
        <v>0.46406399999999998</v>
      </c>
      <c r="AX193" s="46" t="s">
        <v>7</v>
      </c>
      <c r="AY193" s="217">
        <f t="shared" si="153"/>
        <v>-4.7443938551405447E-3</v>
      </c>
      <c r="AZ193" s="73">
        <f t="shared" si="154"/>
        <v>-5.8615561606597706E-3</v>
      </c>
      <c r="BA193" s="230">
        <f t="shared" si="155"/>
        <v>-1.1032915456114564E-2</v>
      </c>
      <c r="BB193" s="238" t="s">
        <v>31</v>
      </c>
      <c r="BC193" s="134">
        <f t="shared" si="156"/>
        <v>-5.6093788814956811E-3</v>
      </c>
      <c r="BD193" s="82">
        <f t="shared" si="157"/>
        <v>-5.4955925347821028E-3</v>
      </c>
      <c r="BE193" s="82">
        <f t="shared" si="158"/>
        <v>-5.4955902976274737E-3</v>
      </c>
      <c r="BF193" s="82">
        <f t="shared" si="159"/>
        <v>-5.609378881482472E-3</v>
      </c>
      <c r="BG193" s="82">
        <f t="shared" si="160"/>
        <v>-5.1585280140363553E-3</v>
      </c>
      <c r="BH193" s="82">
        <f t="shared" si="161"/>
        <v>-5.6093788814898507E-3</v>
      </c>
      <c r="BI193" s="82">
        <f t="shared" si="162"/>
        <v>-5.3893501385237283E-3</v>
      </c>
      <c r="BJ193" s="420">
        <f t="shared" si="163"/>
        <v>-5.4346906723038504E-3</v>
      </c>
      <c r="BK193" s="139">
        <f t="shared" si="164"/>
        <v>4.5005324813631522E-4</v>
      </c>
      <c r="BL193" s="80">
        <f t="shared" si="165"/>
        <v>4.5260915867944624E-4</v>
      </c>
      <c r="BM193" s="80">
        <f t="shared" si="166"/>
        <v>5.3248136315228972E-4</v>
      </c>
      <c r="BN193" s="80">
        <f t="shared" si="167"/>
        <v>6.8932592181242453E-4</v>
      </c>
      <c r="BO193" s="80">
        <f t="shared" si="168"/>
        <v>4.4659635178875579E-4</v>
      </c>
      <c r="BP193" s="80">
        <f t="shared" si="169"/>
        <v>4.9469195533022076E-4</v>
      </c>
      <c r="BQ193" s="80">
        <f t="shared" si="170"/>
        <v>5.3248136315104863E-4</v>
      </c>
      <c r="BR193" s="80">
        <f t="shared" si="171"/>
        <v>5.3248136315282217E-4</v>
      </c>
      <c r="BS193" s="96">
        <f t="shared" si="172"/>
        <v>4.3097503792623436E-4</v>
      </c>
    </row>
    <row r="194" spans="1:71" ht="15.75" thickBot="1" x14ac:dyDescent="0.3">
      <c r="A194" s="121">
        <v>98</v>
      </c>
      <c r="B194" s="55">
        <v>52.244708630431298</v>
      </c>
      <c r="C194" s="55">
        <v>3.5456586226427902</v>
      </c>
      <c r="D194" s="122">
        <v>52.8840453127643</v>
      </c>
      <c r="E194" s="212" t="s">
        <v>20</v>
      </c>
      <c r="F194" s="61">
        <v>0.53963311543637105</v>
      </c>
      <c r="G194" s="212" t="s">
        <v>31</v>
      </c>
      <c r="H194" s="121">
        <v>1.05129E-2</v>
      </c>
      <c r="I194" s="329">
        <v>3.4491099999999999E-4</v>
      </c>
      <c r="J194" s="55">
        <v>4.1389299999999999E-3</v>
      </c>
      <c r="K194" s="329">
        <v>1.05129E-4</v>
      </c>
      <c r="L194" s="67">
        <v>6.5323979176108804E-8</v>
      </c>
      <c r="M194" s="351">
        <v>0.105129</v>
      </c>
      <c r="N194" s="335">
        <v>1.1497000000000001E-4</v>
      </c>
      <c r="O194" s="122">
        <v>105.129</v>
      </c>
      <c r="P194" s="446">
        <v>1.23948E-4</v>
      </c>
      <c r="Q194" s="333">
        <v>1.23948448255792E-6</v>
      </c>
      <c r="R194" s="67">
        <v>1.23948448255792E-8</v>
      </c>
      <c r="S194" s="68">
        <v>1.2394844825579201E-10</v>
      </c>
      <c r="T194" s="353">
        <v>1.9212047903743599E-7</v>
      </c>
      <c r="U194" s="65">
        <v>1.3341699933155199E-9</v>
      </c>
      <c r="V194" s="69">
        <v>1.23948448255792E-12</v>
      </c>
      <c r="W194" s="71">
        <v>1.23948448255792E-14</v>
      </c>
      <c r="X194" s="501">
        <v>3.0628328588510698E-14</v>
      </c>
      <c r="Y194" s="436">
        <v>8</v>
      </c>
      <c r="Z194" s="494">
        <v>98</v>
      </c>
      <c r="AA194" s="495">
        <v>52.244259999999997</v>
      </c>
      <c r="AB194" s="495">
        <v>3.54575</v>
      </c>
      <c r="AC194" s="496">
        <v>52.883800000000001</v>
      </c>
      <c r="AD194" s="286" t="s">
        <v>20</v>
      </c>
      <c r="AE194" s="281">
        <v>0.53963000000000005</v>
      </c>
      <c r="AF194" s="20" t="s">
        <v>31</v>
      </c>
      <c r="AG194" s="17">
        <v>1.0512799999999999E-2</v>
      </c>
      <c r="AH194" s="318">
        <v>3.44908E-4</v>
      </c>
      <c r="AI194" s="9">
        <v>4.1389E-3</v>
      </c>
      <c r="AJ194" s="318">
        <v>1.05128E-4</v>
      </c>
      <c r="AK194" s="206">
        <v>6.5323510697526397E-8</v>
      </c>
      <c r="AL194" s="9">
        <v>0.105128</v>
      </c>
      <c r="AM194" s="318">
        <v>1.14969E-4</v>
      </c>
      <c r="AN194" s="467">
        <f>AA194+AC194</f>
        <v>105.12806</v>
      </c>
      <c r="AO194" s="17">
        <v>1.23946E-4</v>
      </c>
      <c r="AP194" s="416">
        <v>1.2394599999999999E-6</v>
      </c>
      <c r="AQ194" s="400">
        <v>1.2394599999999999E-8</v>
      </c>
      <c r="AR194" s="417">
        <v>1.2394599999999999E-10</v>
      </c>
      <c r="AS194" s="320">
        <v>1.92116684233368E-7</v>
      </c>
      <c r="AT194" s="206">
        <v>1.3341436405095E-9</v>
      </c>
      <c r="AU194" s="418">
        <v>1.2394600000000001E-12</v>
      </c>
      <c r="AV194" s="36">
        <v>1.23946E-14</v>
      </c>
      <c r="AW194" s="475">
        <v>3.0627723611329302E-14</v>
      </c>
      <c r="AX194" s="48" t="s">
        <v>20</v>
      </c>
      <c r="AY194" s="218">
        <f t="shared" si="153"/>
        <v>8.5871717065281572E-4</v>
      </c>
      <c r="AZ194" s="97">
        <f t="shared" si="154"/>
        <v>4.6387128818163419E-4</v>
      </c>
      <c r="BA194" s="231">
        <f t="shared" si="155"/>
        <v>-2.5770953172041277E-3</v>
      </c>
      <c r="BB194" s="239" t="s">
        <v>31</v>
      </c>
      <c r="BC194" s="135">
        <f t="shared" si="156"/>
        <v>9.5122136824766807E-4</v>
      </c>
      <c r="BD194" s="98">
        <f t="shared" si="157"/>
        <v>8.6979716329949595E-4</v>
      </c>
      <c r="BE194" s="98">
        <f t="shared" si="158"/>
        <v>7.2483026890772517E-4</v>
      </c>
      <c r="BF194" s="98">
        <f t="shared" si="159"/>
        <v>9.5122136823890186E-4</v>
      </c>
      <c r="BG194" s="98">
        <f t="shared" si="160"/>
        <v>7.1716687821021623E-4</v>
      </c>
      <c r="BH194" s="98">
        <f t="shared" si="161"/>
        <v>9.5122136823776735E-4</v>
      </c>
      <c r="BI194" s="98">
        <f t="shared" si="162"/>
        <v>8.6979968513442119E-4</v>
      </c>
      <c r="BJ194" s="421">
        <f t="shared" si="163"/>
        <v>8.9414757582318251E-4</v>
      </c>
      <c r="BK194" s="140">
        <f t="shared" si="164"/>
        <v>1.6136059251644955E-3</v>
      </c>
      <c r="BL194" s="100">
        <f t="shared" si="165"/>
        <v>1.9752600261519863E-3</v>
      </c>
      <c r="BM194" s="100">
        <f t="shared" si="166"/>
        <v>1.9752600261471812E-3</v>
      </c>
      <c r="BN194" s="100">
        <f t="shared" si="167"/>
        <v>1.9752600261605286E-3</v>
      </c>
      <c r="BO194" s="100">
        <f t="shared" si="168"/>
        <v>1.9752600265492293E-3</v>
      </c>
      <c r="BP194" s="100">
        <f t="shared" si="169"/>
        <v>1.9752600259619435E-3</v>
      </c>
      <c r="BQ194" s="100">
        <f t="shared" si="170"/>
        <v>1.9752600261377178E-3</v>
      </c>
      <c r="BR194" s="100">
        <f t="shared" si="171"/>
        <v>1.9752600261397548E-3</v>
      </c>
      <c r="BS194" s="102">
        <f t="shared" si="172"/>
        <v>1.9752600260876415E-3</v>
      </c>
    </row>
    <row r="195" spans="1:71" x14ac:dyDescent="0.25">
      <c r="A195" s="114">
        <v>130</v>
      </c>
      <c r="B195" s="115">
        <v>130</v>
      </c>
      <c r="C195" s="115">
        <v>17.416697508022999</v>
      </c>
      <c r="D195" s="497">
        <v>136.13568165555799</v>
      </c>
      <c r="E195" s="245" t="s">
        <v>9</v>
      </c>
      <c r="F195" s="246">
        <v>66.666666666666799</v>
      </c>
      <c r="G195" s="245" t="s">
        <v>32</v>
      </c>
      <c r="H195" s="114">
        <v>266.13600000000002</v>
      </c>
      <c r="I195" s="115">
        <v>8.7314900000000009</v>
      </c>
      <c r="J195" s="115">
        <v>104.77800000000001</v>
      </c>
      <c r="K195" s="115">
        <v>2.6613600000000002</v>
      </c>
      <c r="L195" s="311">
        <v>1.65369E-3</v>
      </c>
      <c r="M195" s="115">
        <v>2661.36</v>
      </c>
      <c r="N195" s="115">
        <v>2.9104999999999999</v>
      </c>
      <c r="O195" s="117">
        <v>2661357</v>
      </c>
      <c r="P195" s="114">
        <v>153090</v>
      </c>
      <c r="Q195" s="115">
        <v>1530.9</v>
      </c>
      <c r="R195" s="115">
        <v>15.308999999999999</v>
      </c>
      <c r="S195" s="115">
        <v>0.15309</v>
      </c>
      <c r="T195" s="115">
        <v>237.291</v>
      </c>
      <c r="U195" s="115">
        <v>1.64785</v>
      </c>
      <c r="V195" s="392">
        <v>1.5309E-3</v>
      </c>
      <c r="W195" s="116">
        <v>1.5309046456327499E-5</v>
      </c>
      <c r="X195" s="314">
        <v>3.7829477644893703E-5</v>
      </c>
      <c r="Y195" s="434">
        <v>1</v>
      </c>
      <c r="Z195" s="8">
        <v>130</v>
      </c>
      <c r="AA195" s="260">
        <v>130</v>
      </c>
      <c r="AB195" s="260">
        <v>17.416689999999999</v>
      </c>
      <c r="AC195" s="493">
        <v>136.13569000000001</v>
      </c>
      <c r="AD195" s="285" t="s">
        <v>9</v>
      </c>
      <c r="AE195" s="12">
        <v>66.666669999999996</v>
      </c>
      <c r="AF195" s="18" t="s">
        <v>32</v>
      </c>
      <c r="AG195" s="409">
        <f>AA195+AC195</f>
        <v>266.13569000000001</v>
      </c>
      <c r="AH195" s="7">
        <v>8.7315000000000005</v>
      </c>
      <c r="AI195" s="7">
        <v>104.77800000000001</v>
      </c>
      <c r="AJ195" s="7">
        <v>2.6613600000000002</v>
      </c>
      <c r="AK195" s="301">
        <v>1.65369E-3</v>
      </c>
      <c r="AL195" s="7">
        <v>2661.36</v>
      </c>
      <c r="AM195" s="7">
        <v>2.9104999999999999</v>
      </c>
      <c r="AN195" s="14">
        <v>2661360</v>
      </c>
      <c r="AO195" s="8">
        <v>153091</v>
      </c>
      <c r="AP195" s="12">
        <f>(Z195*Z195)/2*(AE187-SIN(AE187))</f>
        <v>1530.9149918490596</v>
      </c>
      <c r="AQ195" s="7">
        <v>15.309100000000001</v>
      </c>
      <c r="AR195" s="7">
        <v>0.153091</v>
      </c>
      <c r="AS195" s="7">
        <v>237.292</v>
      </c>
      <c r="AT195" s="7">
        <v>1.6478600000000001</v>
      </c>
      <c r="AU195" s="301">
        <v>1.5309099999999999E-3</v>
      </c>
      <c r="AV195" s="384">
        <v>1.5309099999999999E-5</v>
      </c>
      <c r="AW195" s="306">
        <v>3.7829609954189797E-5</v>
      </c>
      <c r="AX195" s="84" t="s">
        <v>9</v>
      </c>
      <c r="AY195" s="216">
        <f>(100*(B195-AA195))/AA195</f>
        <v>0</v>
      </c>
      <c r="AZ195" s="90">
        <f>(100*(D195-AC195))/AC195</f>
        <v>-6.1295036023908867E-6</v>
      </c>
      <c r="BA195" s="229">
        <f>(100*(C195-AB195))/AB195</f>
        <v>4.3108208274696102E-5</v>
      </c>
      <c r="BB195" s="240" t="s">
        <v>32</v>
      </c>
      <c r="BC195" s="133">
        <f>(100*(H195-AG195))/AG195</f>
        <v>1.164819344647586E-4</v>
      </c>
      <c r="BD195" s="91">
        <f t="shared" si="157"/>
        <v>-1.1452785889734207E-4</v>
      </c>
      <c r="BE195" s="91">
        <f t="shared" si="158"/>
        <v>0</v>
      </c>
      <c r="BF195" s="91">
        <f t="shared" si="159"/>
        <v>0</v>
      </c>
      <c r="BG195" s="91">
        <f t="shared" si="160"/>
        <v>0</v>
      </c>
      <c r="BH195" s="91">
        <f t="shared" si="161"/>
        <v>0</v>
      </c>
      <c r="BI195" s="91">
        <f t="shared" si="162"/>
        <v>0</v>
      </c>
      <c r="BJ195" s="419">
        <f t="shared" si="163"/>
        <v>-1.1272432139958517E-4</v>
      </c>
      <c r="BK195" s="138">
        <f>(100*(P195-AO195))/AO195</f>
        <v>-6.5320626294164907E-4</v>
      </c>
      <c r="BL195" s="93">
        <f>(100*(Q195-AP195))/AP195</f>
        <v>-9.7927377674724347E-4</v>
      </c>
      <c r="BM195" s="93">
        <f t="shared" si="166"/>
        <v>-6.5320626295172998E-4</v>
      </c>
      <c r="BN195" s="93">
        <f t="shared" si="167"/>
        <v>-6.532062629423023E-4</v>
      </c>
      <c r="BO195" s="93">
        <f t="shared" si="168"/>
        <v>-4.2142170827704888E-4</v>
      </c>
      <c r="BP195" s="93">
        <f t="shared" si="169"/>
        <v>-6.0684766910207852E-4</v>
      </c>
      <c r="BQ195" s="93">
        <f t="shared" si="170"/>
        <v>-6.532062629377699E-4</v>
      </c>
      <c r="BR195" s="93">
        <f t="shared" si="171"/>
        <v>-3.4975062217931248E-4</v>
      </c>
      <c r="BS195" s="95">
        <f t="shared" si="172"/>
        <v>-3.4975062194551898E-4</v>
      </c>
    </row>
    <row r="196" spans="1:71" x14ac:dyDescent="0.25">
      <c r="A196" s="118">
        <v>80</v>
      </c>
      <c r="B196" s="1">
        <v>122.567110899036</v>
      </c>
      <c r="C196" s="1">
        <v>28.576991225076899</v>
      </c>
      <c r="D196" s="119">
        <v>139.626340159546</v>
      </c>
      <c r="E196" s="211" t="s">
        <v>5</v>
      </c>
      <c r="F196" s="56">
        <v>111.111111111111</v>
      </c>
      <c r="G196" s="211" t="s">
        <v>32</v>
      </c>
      <c r="H196" s="118">
        <v>7991.66</v>
      </c>
      <c r="I196" s="1">
        <v>262.19299999999998</v>
      </c>
      <c r="J196" s="1">
        <v>3146.32</v>
      </c>
      <c r="K196" s="1">
        <v>79.916600000000003</v>
      </c>
      <c r="L196" s="1">
        <v>4.9657899999999998E-2</v>
      </c>
      <c r="M196" s="1">
        <v>79916.600000000006</v>
      </c>
      <c r="N196" s="1">
        <v>87.397800000000004</v>
      </c>
      <c r="O196" s="119">
        <v>79916564</v>
      </c>
      <c r="P196" s="118">
        <v>226095230</v>
      </c>
      <c r="Q196" s="1">
        <v>2260952</v>
      </c>
      <c r="R196" s="1">
        <v>22609.5</v>
      </c>
      <c r="S196" s="1">
        <v>226.095</v>
      </c>
      <c r="T196" s="1">
        <v>350448</v>
      </c>
      <c r="U196" s="1">
        <v>2433.67</v>
      </c>
      <c r="V196" s="1">
        <v>2.2609499999999998</v>
      </c>
      <c r="W196" s="52">
        <v>2.2609500000000001E-2</v>
      </c>
      <c r="X196" s="119">
        <v>5.5869299999999997E-2</v>
      </c>
      <c r="Y196" s="435">
        <v>2</v>
      </c>
      <c r="Z196" s="15">
        <v>80</v>
      </c>
      <c r="AA196" s="2">
        <v>122.57</v>
      </c>
      <c r="AB196" s="2">
        <v>28.58</v>
      </c>
      <c r="AC196" s="16">
        <v>139.63</v>
      </c>
      <c r="AD196" s="35" t="s">
        <v>5</v>
      </c>
      <c r="AE196" s="34">
        <v>111.11111</v>
      </c>
      <c r="AF196" s="19" t="s">
        <v>32</v>
      </c>
      <c r="AG196" s="15">
        <v>7991.86</v>
      </c>
      <c r="AH196" s="186">
        <f>AA196+AC196</f>
        <v>262.2</v>
      </c>
      <c r="AI196" s="2">
        <v>3146.4</v>
      </c>
      <c r="AJ196" s="2">
        <v>79.918599999999998</v>
      </c>
      <c r="AK196" s="2">
        <v>4.9659099999999998E-2</v>
      </c>
      <c r="AL196" s="2">
        <v>79918.600000000006</v>
      </c>
      <c r="AM196" s="2">
        <v>87.4</v>
      </c>
      <c r="AN196" s="16">
        <v>79918560</v>
      </c>
      <c r="AO196" s="15">
        <v>226095341</v>
      </c>
      <c r="AP196" s="2">
        <v>2260953</v>
      </c>
      <c r="AQ196" s="2">
        <v>22609.5</v>
      </c>
      <c r="AR196" s="2">
        <v>226.095</v>
      </c>
      <c r="AS196" s="2">
        <v>350448</v>
      </c>
      <c r="AT196" s="2">
        <f>(Z196*Z196)/2*(AE188-SIN(AE188))</f>
        <v>2433.6716060092449</v>
      </c>
      <c r="AU196" s="2">
        <v>2.2609499999999998</v>
      </c>
      <c r="AV196" s="342">
        <v>2.2609500000000001E-2</v>
      </c>
      <c r="AW196" s="42">
        <v>5.58694E-2</v>
      </c>
      <c r="AX196" s="46" t="s">
        <v>5</v>
      </c>
      <c r="AY196" s="217">
        <f t="shared" ref="AY196:AY202" si="173">(100*(B196-AA196))/AA196</f>
        <v>-2.3571028506141375E-3</v>
      </c>
      <c r="AZ196" s="73">
        <f t="shared" ref="AZ196:AZ202" si="174">(100*(D196-AC196))/AC196</f>
        <v>-2.6210989429145543E-3</v>
      </c>
      <c r="BA196" s="230">
        <f t="shared" ref="BA196:BA202" si="175">(100*(C196-AB196))/AB196</f>
        <v>-1.0527553964658386E-2</v>
      </c>
      <c r="BB196" s="238" t="s">
        <v>32</v>
      </c>
      <c r="BC196" s="134">
        <f t="shared" ref="BC196:BC202" si="176">(100*(H196-AG196))/AG196</f>
        <v>-2.5025463408995916E-3</v>
      </c>
      <c r="BD196" s="82">
        <f t="shared" si="157"/>
        <v>-2.6697177726945089E-3</v>
      </c>
      <c r="BE196" s="82">
        <f t="shared" si="158"/>
        <v>-2.5425883549430217E-3</v>
      </c>
      <c r="BF196" s="82">
        <f t="shared" si="159"/>
        <v>-2.5025463408960354E-3</v>
      </c>
      <c r="BG196" s="82">
        <f t="shared" si="160"/>
        <v>-2.4164755301642848E-3</v>
      </c>
      <c r="BH196" s="82">
        <f t="shared" si="161"/>
        <v>-2.5025463409018675E-3</v>
      </c>
      <c r="BI196" s="82">
        <f t="shared" si="162"/>
        <v>-2.5171624713981443E-3</v>
      </c>
      <c r="BJ196" s="420">
        <f t="shared" si="163"/>
        <v>-2.4975424982632321E-3</v>
      </c>
      <c r="BK196" s="139">
        <f t="shared" ref="BK196:BK202" si="177">(100*(P196-AO196))/AO196</f>
        <v>-4.9094333173366894E-5</v>
      </c>
      <c r="BL196" s="80">
        <f t="shared" ref="BL196:BL202" si="178">(100*(Q196-AP196))/AP196</f>
        <v>-4.4229137005501663E-5</v>
      </c>
      <c r="BM196" s="80">
        <f t="shared" si="166"/>
        <v>0</v>
      </c>
      <c r="BN196" s="80">
        <f t="shared" si="167"/>
        <v>0</v>
      </c>
      <c r="BO196" s="80">
        <f t="shared" si="168"/>
        <v>0</v>
      </c>
      <c r="BP196" s="80">
        <f t="shared" si="169"/>
        <v>-6.5991206079680704E-5</v>
      </c>
      <c r="BQ196" s="80">
        <f t="shared" si="170"/>
        <v>0</v>
      </c>
      <c r="BR196" s="80">
        <f t="shared" si="171"/>
        <v>0</v>
      </c>
      <c r="BS196" s="96">
        <f t="shared" si="172"/>
        <v>-1.789888561589628E-4</v>
      </c>
    </row>
    <row r="197" spans="1:71" x14ac:dyDescent="0.25">
      <c r="A197" s="118">
        <v>63</v>
      </c>
      <c r="B197" s="1">
        <v>126</v>
      </c>
      <c r="C197" s="1">
        <v>63</v>
      </c>
      <c r="D197" s="119">
        <v>197.92033717615701</v>
      </c>
      <c r="E197" s="211" t="s">
        <v>8</v>
      </c>
      <c r="F197" s="56">
        <v>200</v>
      </c>
      <c r="G197" s="211" t="s">
        <v>32</v>
      </c>
      <c r="H197" s="118">
        <v>822.75800000000004</v>
      </c>
      <c r="I197" s="1">
        <v>26.993400000000001</v>
      </c>
      <c r="J197" s="1">
        <v>323.92</v>
      </c>
      <c r="K197" s="1">
        <v>8.2275799999999997</v>
      </c>
      <c r="L197" s="1">
        <v>5.1123799999999997E-3</v>
      </c>
      <c r="M197" s="1">
        <v>8227.58</v>
      </c>
      <c r="N197" s="1">
        <v>8.9977900000000002</v>
      </c>
      <c r="O197" s="119">
        <v>8227577</v>
      </c>
      <c r="P197" s="118">
        <v>4022244</v>
      </c>
      <c r="Q197" s="1">
        <v>40222.400000000001</v>
      </c>
      <c r="R197" s="1">
        <v>402.22399999999999</v>
      </c>
      <c r="S197" s="1">
        <v>4.02224</v>
      </c>
      <c r="T197" s="1">
        <v>6234.49</v>
      </c>
      <c r="U197" s="1">
        <v>43.295099999999998</v>
      </c>
      <c r="V197" s="78">
        <v>4.0222399999999998E-2</v>
      </c>
      <c r="W197" s="316">
        <v>4.0222400000000002E-4</v>
      </c>
      <c r="X197" s="317">
        <v>9.939180000000001E-4</v>
      </c>
      <c r="Y197" s="435">
        <v>3</v>
      </c>
      <c r="Z197" s="15">
        <v>63</v>
      </c>
      <c r="AA197" s="2">
        <v>126</v>
      </c>
      <c r="AB197" s="2">
        <v>63</v>
      </c>
      <c r="AC197" s="16">
        <v>197.92034000000001</v>
      </c>
      <c r="AD197" s="35" t="s">
        <v>8</v>
      </c>
      <c r="AE197" s="34">
        <v>200</v>
      </c>
      <c r="AF197" s="19" t="s">
        <v>32</v>
      </c>
      <c r="AG197" s="15">
        <v>822.75699999999995</v>
      </c>
      <c r="AH197" s="2">
        <v>26.993300000000001</v>
      </c>
      <c r="AI197" s="186">
        <f>AA197+AC197</f>
        <v>323.92034000000001</v>
      </c>
      <c r="AJ197" s="2">
        <v>8.2275700000000001</v>
      </c>
      <c r="AK197" s="2">
        <v>5.1123699999999998E-3</v>
      </c>
      <c r="AL197" s="2">
        <v>8227.57</v>
      </c>
      <c r="AM197" s="2">
        <v>8.9977800000000006</v>
      </c>
      <c r="AN197" s="16">
        <v>8227568</v>
      </c>
      <c r="AO197" s="27">
        <v>4022237</v>
      </c>
      <c r="AP197" s="340">
        <v>40222.400000000001</v>
      </c>
      <c r="AQ197" s="2">
        <v>402.22399999999999</v>
      </c>
      <c r="AR197" s="2">
        <v>4.02224</v>
      </c>
      <c r="AS197" s="2">
        <f>(Z197*Z197)/2*(AE189-SIN(AE189))</f>
        <v>6234.4800889510552</v>
      </c>
      <c r="AT197" s="2">
        <v>43.295000000000002</v>
      </c>
      <c r="AU197" s="342">
        <v>4.0222399999999998E-2</v>
      </c>
      <c r="AV197" s="302">
        <v>4.0222400000000002E-4</v>
      </c>
      <c r="AW197" s="188">
        <v>9.9391600000000007E-4</v>
      </c>
      <c r="AX197" s="46" t="s">
        <v>8</v>
      </c>
      <c r="AY197" s="217">
        <f t="shared" si="173"/>
        <v>0</v>
      </c>
      <c r="AZ197" s="73">
        <f t="shared" si="174"/>
        <v>-1.4267573533686525E-6</v>
      </c>
      <c r="BA197" s="230">
        <f t="shared" si="175"/>
        <v>0</v>
      </c>
      <c r="BB197" s="238" t="s">
        <v>32</v>
      </c>
      <c r="BC197" s="134">
        <f t="shared" si="176"/>
        <v>1.2154256968826033E-4</v>
      </c>
      <c r="BD197" s="82">
        <f t="shared" si="157"/>
        <v>3.7046229990318687E-4</v>
      </c>
      <c r="BE197" s="82">
        <f t="shared" si="158"/>
        <v>-1.0496407851209152E-4</v>
      </c>
      <c r="BF197" s="82">
        <f t="shared" si="159"/>
        <v>1.215425696727153E-4</v>
      </c>
      <c r="BG197" s="82">
        <f t="shared" si="160"/>
        <v>1.9560399579726453E-4</v>
      </c>
      <c r="BH197" s="82">
        <f t="shared" si="161"/>
        <v>1.2154256967996966E-4</v>
      </c>
      <c r="BI197" s="82">
        <f t="shared" si="162"/>
        <v>1.1113852527647289E-4</v>
      </c>
      <c r="BJ197" s="420">
        <f t="shared" si="163"/>
        <v>1.0938833930026467E-4</v>
      </c>
      <c r="BK197" s="139">
        <f t="shared" si="177"/>
        <v>1.7403250977006079E-4</v>
      </c>
      <c r="BL197" s="80">
        <f t="shared" si="178"/>
        <v>0</v>
      </c>
      <c r="BM197" s="80">
        <f t="shared" si="166"/>
        <v>0</v>
      </c>
      <c r="BN197" s="80">
        <f t="shared" si="167"/>
        <v>0</v>
      </c>
      <c r="BO197" s="80">
        <f t="shared" si="168"/>
        <v>1.5897153897602423E-4</v>
      </c>
      <c r="BP197" s="80">
        <f t="shared" si="169"/>
        <v>2.3097355351937688E-4</v>
      </c>
      <c r="BQ197" s="80">
        <f t="shared" si="170"/>
        <v>0</v>
      </c>
      <c r="BR197" s="80">
        <f t="shared" si="171"/>
        <v>0</v>
      </c>
      <c r="BS197" s="96">
        <f t="shared" si="172"/>
        <v>2.0122424832998869E-4</v>
      </c>
    </row>
    <row r="198" spans="1:71" x14ac:dyDescent="0.25">
      <c r="A198" s="118">
        <v>654</v>
      </c>
      <c r="B198" s="1">
        <v>1288.12854093997</v>
      </c>
      <c r="C198" s="1">
        <v>767.56590819417204</v>
      </c>
      <c r="D198" s="119">
        <v>2282.8906616085801</v>
      </c>
      <c r="E198" s="211" t="s">
        <v>4</v>
      </c>
      <c r="F198" s="56">
        <v>222.222222222222</v>
      </c>
      <c r="G198" s="211" t="s">
        <v>32</v>
      </c>
      <c r="H198" s="118">
        <v>357102</v>
      </c>
      <c r="I198" s="1">
        <v>11715.9</v>
      </c>
      <c r="J198" s="1">
        <v>140591</v>
      </c>
      <c r="K198" s="1">
        <v>3571.02</v>
      </c>
      <c r="L198" s="1">
        <v>2.2189299999999998</v>
      </c>
      <c r="M198" s="1">
        <v>3571019</v>
      </c>
      <c r="N198" s="1">
        <v>3905.31</v>
      </c>
      <c r="O198" s="119">
        <v>3571019203</v>
      </c>
      <c r="P198" s="118">
        <v>819648990157</v>
      </c>
      <c r="Q198" s="1">
        <v>8196489902</v>
      </c>
      <c r="R198" s="1">
        <v>81964899</v>
      </c>
      <c r="S198" s="1">
        <v>819649</v>
      </c>
      <c r="T198" s="1">
        <v>1270458476</v>
      </c>
      <c r="U198" s="1">
        <v>8822628</v>
      </c>
      <c r="V198" s="1">
        <v>8196.49</v>
      </c>
      <c r="W198" s="1">
        <v>81.9649</v>
      </c>
      <c r="X198" s="119">
        <v>202.54</v>
      </c>
      <c r="Y198" s="435">
        <v>4</v>
      </c>
      <c r="Z198" s="15">
        <v>654</v>
      </c>
      <c r="AA198" s="2">
        <v>1288.1286600000001</v>
      </c>
      <c r="AB198" s="2">
        <v>767.56577000000004</v>
      </c>
      <c r="AC198" s="16">
        <v>2282.8904299999999</v>
      </c>
      <c r="AD198" s="35" t="s">
        <v>4</v>
      </c>
      <c r="AE198" s="34">
        <v>222.22200000000001</v>
      </c>
      <c r="AF198" s="19" t="s">
        <v>32</v>
      </c>
      <c r="AG198" s="15">
        <v>357102</v>
      </c>
      <c r="AH198" s="2">
        <v>11715.9</v>
      </c>
      <c r="AI198" s="2">
        <v>140591</v>
      </c>
      <c r="AJ198" s="186">
        <f>AA198+AC198</f>
        <v>3571.0190899999998</v>
      </c>
      <c r="AK198" s="2">
        <v>2.2189299999999998</v>
      </c>
      <c r="AL198" s="2">
        <v>3571020</v>
      </c>
      <c r="AM198" s="2">
        <v>3905.31</v>
      </c>
      <c r="AN198" s="16">
        <v>3571020000</v>
      </c>
      <c r="AO198" s="28">
        <v>819650000000</v>
      </c>
      <c r="AP198" s="2">
        <v>8196500000</v>
      </c>
      <c r="AQ198" s="2">
        <v>81965000</v>
      </c>
      <c r="AR198" s="2">
        <f>(Z198*Z198)/2*(AE190-SIN(AE190))</f>
        <v>819649.61073087167</v>
      </c>
      <c r="AS198" s="2">
        <v>1270460041</v>
      </c>
      <c r="AT198" s="2">
        <v>8822639</v>
      </c>
      <c r="AU198" s="2">
        <v>8196.5</v>
      </c>
      <c r="AV198" s="2">
        <v>81.965000000000003</v>
      </c>
      <c r="AW198" s="42">
        <v>202.54</v>
      </c>
      <c r="AX198" s="46" t="s">
        <v>4</v>
      </c>
      <c r="AY198" s="217">
        <f t="shared" si="173"/>
        <v>-9.2428678748236635E-6</v>
      </c>
      <c r="AZ198" s="73">
        <f t="shared" si="174"/>
        <v>1.0145409395730583E-5</v>
      </c>
      <c r="BA198" s="230">
        <f t="shared" si="175"/>
        <v>1.8004212459287341E-5</v>
      </c>
      <c r="BB198" s="238" t="s">
        <v>32</v>
      </c>
      <c r="BC198" s="134">
        <f t="shared" si="176"/>
        <v>0</v>
      </c>
      <c r="BD198" s="82">
        <f t="shared" si="157"/>
        <v>0</v>
      </c>
      <c r="BE198" s="82">
        <f t="shared" si="158"/>
        <v>0</v>
      </c>
      <c r="BF198" s="82">
        <f t="shared" si="159"/>
        <v>2.5482921744996367E-5</v>
      </c>
      <c r="BG198" s="82">
        <f t="shared" si="160"/>
        <v>0</v>
      </c>
      <c r="BH198" s="82">
        <f t="shared" si="161"/>
        <v>-2.8003203566488006E-5</v>
      </c>
      <c r="BI198" s="82">
        <f t="shared" si="162"/>
        <v>0</v>
      </c>
      <c r="BJ198" s="420">
        <f t="shared" si="163"/>
        <v>-2.2318553242490942E-5</v>
      </c>
      <c r="BK198" s="139">
        <f t="shared" si="177"/>
        <v>-1.2320417251265785E-4</v>
      </c>
      <c r="BL198" s="80">
        <f t="shared" si="178"/>
        <v>-1.2319892637101203E-4</v>
      </c>
      <c r="BM198" s="80">
        <f t="shared" si="166"/>
        <v>-1.2322332702982981E-4</v>
      </c>
      <c r="BN198" s="80">
        <f t="shared" si="167"/>
        <v>-7.4511213533063646E-5</v>
      </c>
      <c r="BO198" s="80">
        <f t="shared" si="168"/>
        <v>-1.2318372475281968E-4</v>
      </c>
      <c r="BP198" s="80">
        <f t="shared" si="169"/>
        <v>-1.2467924846522679E-4</v>
      </c>
      <c r="BQ198" s="80">
        <f t="shared" si="170"/>
        <v>-1.2200329409160348E-4</v>
      </c>
      <c r="BR198" s="80">
        <f t="shared" si="171"/>
        <v>-1.2200329409299048E-4</v>
      </c>
      <c r="BS198" s="96">
        <f t="shared" si="172"/>
        <v>0</v>
      </c>
    </row>
    <row r="199" spans="1:71" x14ac:dyDescent="0.25">
      <c r="A199" s="118">
        <v>110</v>
      </c>
      <c r="B199" s="1">
        <v>168.52977748617499</v>
      </c>
      <c r="C199" s="1">
        <v>39.293362934480697</v>
      </c>
      <c r="D199" s="372">
        <v>191.98621771937599</v>
      </c>
      <c r="E199" s="211" t="s">
        <v>10</v>
      </c>
      <c r="F199" s="247">
        <v>111.111111111111</v>
      </c>
      <c r="G199" s="211" t="s">
        <v>32</v>
      </c>
      <c r="H199" s="120">
        <v>58019425</v>
      </c>
      <c r="I199" s="1">
        <v>1903524</v>
      </c>
      <c r="J199" s="1">
        <v>22842293</v>
      </c>
      <c r="K199" s="1">
        <v>580194</v>
      </c>
      <c r="L199" s="1">
        <v>360.51600000000002</v>
      </c>
      <c r="M199" s="1">
        <v>580194254</v>
      </c>
      <c r="N199" s="1">
        <v>634508</v>
      </c>
      <c r="O199" s="119">
        <v>580194253788</v>
      </c>
      <c r="P199" s="120">
        <v>1.19169369221125E+16</v>
      </c>
      <c r="Q199" s="59">
        <v>119169369221125</v>
      </c>
      <c r="R199" s="59">
        <v>1191693692211</v>
      </c>
      <c r="S199" s="1">
        <v>11916936922</v>
      </c>
      <c r="T199" s="1">
        <v>18471289171853</v>
      </c>
      <c r="U199" s="1">
        <v>128272841471</v>
      </c>
      <c r="V199" s="1">
        <v>119169369</v>
      </c>
      <c r="W199" s="1">
        <v>1191694</v>
      </c>
      <c r="X199" s="119">
        <v>2944739</v>
      </c>
      <c r="Y199" s="435">
        <v>5</v>
      </c>
      <c r="Z199" s="15">
        <v>110</v>
      </c>
      <c r="AA199" s="2">
        <v>168.52978999999999</v>
      </c>
      <c r="AB199" s="2">
        <v>39.293329999999997</v>
      </c>
      <c r="AC199" s="438">
        <v>191.98618999999999</v>
      </c>
      <c r="AD199" s="35" t="s">
        <v>10</v>
      </c>
      <c r="AE199" s="476">
        <v>111.11111</v>
      </c>
      <c r="AF199" s="19" t="s">
        <v>32</v>
      </c>
      <c r="AG199" s="15">
        <v>58019426</v>
      </c>
      <c r="AH199" s="2">
        <v>1903524</v>
      </c>
      <c r="AI199" s="2">
        <v>22842294</v>
      </c>
      <c r="AJ199" s="2">
        <v>580194</v>
      </c>
      <c r="AK199" s="186">
        <f>AA199+AC199</f>
        <v>360.51598000000001</v>
      </c>
      <c r="AL199" s="2">
        <v>580194262</v>
      </c>
      <c r="AM199" s="2">
        <v>634508</v>
      </c>
      <c r="AN199" s="16">
        <v>580194261504</v>
      </c>
      <c r="AO199" s="28">
        <v>1.1916950678E+16</v>
      </c>
      <c r="AP199" s="29">
        <v>119169506780000</v>
      </c>
      <c r="AQ199" s="29">
        <v>1191695067800</v>
      </c>
      <c r="AR199" s="26">
        <f>(Z199*Z199)/2*(AE191-SIN(AE191))*1609.344*1609.344</f>
        <v>11916950678.237154</v>
      </c>
      <c r="AS199" s="29">
        <v>18471310493521</v>
      </c>
      <c r="AT199" s="29">
        <v>128272989538</v>
      </c>
      <c r="AU199" s="2">
        <v>119169507</v>
      </c>
      <c r="AV199" s="2">
        <v>1191695</v>
      </c>
      <c r="AW199" s="42">
        <v>2944743</v>
      </c>
      <c r="AX199" s="46" t="s">
        <v>10</v>
      </c>
      <c r="AY199" s="217">
        <f t="shared" si="173"/>
        <v>-7.4252896170168007E-6</v>
      </c>
      <c r="AZ199" s="73">
        <f t="shared" si="174"/>
        <v>1.4438213494821725E-5</v>
      </c>
      <c r="BA199" s="230">
        <f t="shared" si="175"/>
        <v>8.3816975298261299E-5</v>
      </c>
      <c r="BB199" s="238" t="s">
        <v>32</v>
      </c>
      <c r="BC199" s="134">
        <f t="shared" si="176"/>
        <v>-1.723560657080613E-6</v>
      </c>
      <c r="BD199" s="82">
        <f t="shared" si="157"/>
        <v>0</v>
      </c>
      <c r="BE199" s="82">
        <f t="shared" si="158"/>
        <v>-4.3778440116391113E-6</v>
      </c>
      <c r="BF199" s="82">
        <f t="shared" si="159"/>
        <v>0</v>
      </c>
      <c r="BG199" s="82">
        <f t="shared" si="160"/>
        <v>5.547604299356792E-6</v>
      </c>
      <c r="BH199" s="82">
        <f t="shared" si="161"/>
        <v>-1.3788485209114323E-6</v>
      </c>
      <c r="BI199" s="82">
        <f t="shared" si="162"/>
        <v>0</v>
      </c>
      <c r="BJ199" s="420">
        <f t="shared" si="163"/>
        <v>-1.3298993995559888E-6</v>
      </c>
      <c r="BK199" s="139">
        <f t="shared" si="177"/>
        <v>-1.1543126989184305E-4</v>
      </c>
      <c r="BL199" s="80">
        <f t="shared" si="178"/>
        <v>-1.1543126989184305E-4</v>
      </c>
      <c r="BM199" s="80">
        <f t="shared" si="166"/>
        <v>-1.1543129087036405E-4</v>
      </c>
      <c r="BN199" s="80">
        <f t="shared" si="167"/>
        <v>-1.1543420397911629E-4</v>
      </c>
      <c r="BO199" s="80">
        <f t="shared" si="168"/>
        <v>-1.1543126843912234E-4</v>
      </c>
      <c r="BP199" s="80">
        <f t="shared" si="169"/>
        <v>-1.1543116016340771E-4</v>
      </c>
      <c r="BQ199" s="80">
        <f t="shared" si="170"/>
        <v>-1.1580143568102535E-4</v>
      </c>
      <c r="BR199" s="80">
        <f t="shared" si="171"/>
        <v>-8.3914088755931678E-5</v>
      </c>
      <c r="BS199" s="96">
        <f t="shared" si="172"/>
        <v>-1.358352834186209E-4</v>
      </c>
    </row>
    <row r="200" spans="1:71" x14ac:dyDescent="0.25">
      <c r="A200" s="118">
        <v>41</v>
      </c>
      <c r="B200" s="1">
        <v>75.481397983100095</v>
      </c>
      <c r="C200" s="1">
        <v>24.980023731939799</v>
      </c>
      <c r="D200" s="119">
        <v>95.888389104568503</v>
      </c>
      <c r="E200" s="211" t="s">
        <v>6</v>
      </c>
      <c r="F200" s="56">
        <v>148.888888888889</v>
      </c>
      <c r="G200" s="211" t="s">
        <v>32</v>
      </c>
      <c r="H200" s="118">
        <v>17.137</v>
      </c>
      <c r="I200" s="1">
        <v>0.56223699999999999</v>
      </c>
      <c r="J200" s="1">
        <v>6.7468399999999997</v>
      </c>
      <c r="K200" s="1">
        <v>0.17136999999999999</v>
      </c>
      <c r="L200" s="77">
        <v>1.0648400000000001E-4</v>
      </c>
      <c r="M200" s="1">
        <v>171.37</v>
      </c>
      <c r="N200" s="1">
        <v>0.187412</v>
      </c>
      <c r="O200" s="119">
        <v>171370</v>
      </c>
      <c r="P200" s="374">
        <v>1361.11</v>
      </c>
      <c r="Q200" s="347">
        <v>13.6111</v>
      </c>
      <c r="R200" s="78">
        <v>0.13611100000000001</v>
      </c>
      <c r="S200" s="326">
        <v>1.36111E-3</v>
      </c>
      <c r="T200" s="78">
        <v>2.1097199999999998</v>
      </c>
      <c r="U200" s="49">
        <v>1.46508E-2</v>
      </c>
      <c r="V200" s="51">
        <v>1.3611068744590201E-5</v>
      </c>
      <c r="W200" s="79">
        <v>1.3611068744590199E-7</v>
      </c>
      <c r="X200" s="128">
        <v>3.3633683343077698E-7</v>
      </c>
      <c r="Y200" s="435">
        <v>6</v>
      </c>
      <c r="Z200" s="15">
        <v>41</v>
      </c>
      <c r="AA200" s="2">
        <v>75.483639999999994</v>
      </c>
      <c r="AB200" s="2">
        <v>24.980869999999999</v>
      </c>
      <c r="AC200" s="16">
        <v>95.891210000000001</v>
      </c>
      <c r="AD200" s="35" t="s">
        <v>6</v>
      </c>
      <c r="AE200" s="34">
        <v>148.88889</v>
      </c>
      <c r="AF200" s="19" t="s">
        <v>32</v>
      </c>
      <c r="AG200" s="15">
        <v>17.137499999999999</v>
      </c>
      <c r="AH200" s="2">
        <v>0.56225400000000003</v>
      </c>
      <c r="AI200" s="2">
        <v>6.7470499999999998</v>
      </c>
      <c r="AJ200" s="2">
        <v>0.171375</v>
      </c>
      <c r="AK200" s="302">
        <v>1.06487E-4</v>
      </c>
      <c r="AL200" s="186">
        <f>AA200+AC200</f>
        <v>171.37484999999998</v>
      </c>
      <c r="AM200" s="2">
        <v>0.187418</v>
      </c>
      <c r="AN200" s="16">
        <v>171375</v>
      </c>
      <c r="AO200" s="15">
        <f>(Z200*Z200)/2*(AE192-SIN(AE192))</f>
        <v>1361.1051685423574</v>
      </c>
      <c r="AP200" s="2">
        <v>13.6111</v>
      </c>
      <c r="AQ200" s="2">
        <v>0.13611100000000001</v>
      </c>
      <c r="AR200" s="309">
        <v>1.36111E-3</v>
      </c>
      <c r="AS200" s="2">
        <v>2.1097199999999998</v>
      </c>
      <c r="AT200" s="342">
        <v>1.46509E-2</v>
      </c>
      <c r="AU200" s="323">
        <v>1.3611099999999999E-5</v>
      </c>
      <c r="AV200" s="360">
        <v>1.3611099999999999E-7</v>
      </c>
      <c r="AW200" s="385">
        <v>3.3633760576877298E-7</v>
      </c>
      <c r="AX200" s="46" t="s">
        <v>6</v>
      </c>
      <c r="AY200" s="217">
        <f t="shared" si="173"/>
        <v>-2.9702024172378453E-3</v>
      </c>
      <c r="AZ200" s="73">
        <f t="shared" si="174"/>
        <v>-2.9417664366709535E-3</v>
      </c>
      <c r="BA200" s="230">
        <f t="shared" si="175"/>
        <v>-3.3876644816646807E-3</v>
      </c>
      <c r="BB200" s="238" t="s">
        <v>32</v>
      </c>
      <c r="BC200" s="134">
        <f t="shared" si="176"/>
        <v>-2.9175784099129669E-3</v>
      </c>
      <c r="BD200" s="82">
        <f t="shared" si="157"/>
        <v>-3.0235445190331693E-3</v>
      </c>
      <c r="BE200" s="82">
        <f t="shared" si="158"/>
        <v>-3.112471376379951E-3</v>
      </c>
      <c r="BF200" s="82">
        <f t="shared" si="159"/>
        <v>-2.9175784099226844E-3</v>
      </c>
      <c r="BG200" s="82">
        <f t="shared" si="160"/>
        <v>-2.8172452975415078E-3</v>
      </c>
      <c r="BH200" s="82">
        <f t="shared" si="161"/>
        <v>-2.83005353467925E-3</v>
      </c>
      <c r="BI200" s="82">
        <f t="shared" si="162"/>
        <v>-3.2014000789710702E-3</v>
      </c>
      <c r="BJ200" s="420">
        <f t="shared" si="163"/>
        <v>-2.9175784099197666E-3</v>
      </c>
      <c r="BK200" s="139">
        <f t="shared" si="177"/>
        <v>3.5496578472634982E-4</v>
      </c>
      <c r="BL200" s="80">
        <f t="shared" si="178"/>
        <v>0</v>
      </c>
      <c r="BM200" s="80">
        <f t="shared" si="166"/>
        <v>0</v>
      </c>
      <c r="BN200" s="80">
        <f t="shared" si="167"/>
        <v>0</v>
      </c>
      <c r="BO200" s="80">
        <f t="shared" si="168"/>
        <v>0</v>
      </c>
      <c r="BP200" s="80">
        <f t="shared" si="169"/>
        <v>-6.8255192513365132E-4</v>
      </c>
      <c r="BQ200" s="80">
        <f t="shared" si="170"/>
        <v>-2.2963176964633508E-4</v>
      </c>
      <c r="BR200" s="80">
        <f t="shared" si="171"/>
        <v>-2.2963176966189284E-4</v>
      </c>
      <c r="BS200" s="96">
        <f t="shared" si="172"/>
        <v>-2.2963176961230587E-4</v>
      </c>
    </row>
    <row r="201" spans="1:71" x14ac:dyDescent="0.25">
      <c r="A201" s="118">
        <v>96.8</v>
      </c>
      <c r="B201" s="1">
        <v>130.17021391935199</v>
      </c>
      <c r="C201" s="1">
        <v>25.146885259274701</v>
      </c>
      <c r="D201" s="119">
        <v>142.760951496128</v>
      </c>
      <c r="E201" s="211" t="s">
        <v>7</v>
      </c>
      <c r="F201" s="56">
        <v>93.888888888888999</v>
      </c>
      <c r="G201" s="211" t="s">
        <v>32</v>
      </c>
      <c r="H201" s="118">
        <v>24956.799999999999</v>
      </c>
      <c r="I201" s="1">
        <v>818.79300000000001</v>
      </c>
      <c r="J201" s="1">
        <v>9825.52</v>
      </c>
      <c r="K201" s="1">
        <v>249.56800000000001</v>
      </c>
      <c r="L201" s="1">
        <v>0.15507499999999999</v>
      </c>
      <c r="M201" s="1">
        <v>249568</v>
      </c>
      <c r="N201" s="1">
        <v>272.93099999999998</v>
      </c>
      <c r="O201" s="119">
        <v>249568258</v>
      </c>
      <c r="P201" s="118">
        <v>1878008452</v>
      </c>
      <c r="Q201" s="1">
        <v>18780085</v>
      </c>
      <c r="R201" s="1">
        <v>187801</v>
      </c>
      <c r="S201" s="1">
        <v>1878.01</v>
      </c>
      <c r="T201" s="1">
        <v>2910919</v>
      </c>
      <c r="U201" s="1">
        <v>20214.7</v>
      </c>
      <c r="V201" s="1">
        <v>18.780100000000001</v>
      </c>
      <c r="W201" s="1">
        <v>0.187801</v>
      </c>
      <c r="X201" s="119">
        <v>0.46406599999999998</v>
      </c>
      <c r="Y201" s="435">
        <v>7</v>
      </c>
      <c r="Z201" s="15">
        <v>96.8</v>
      </c>
      <c r="AA201" s="2">
        <v>130.17639</v>
      </c>
      <c r="AB201" s="2">
        <v>25.149660000000001</v>
      </c>
      <c r="AC201" s="16">
        <v>142.76931999999999</v>
      </c>
      <c r="AD201" s="35" t="s">
        <v>7</v>
      </c>
      <c r="AE201" s="34">
        <v>93.888900000000007</v>
      </c>
      <c r="AF201" s="19" t="s">
        <v>32</v>
      </c>
      <c r="AG201" s="15">
        <v>24958.2</v>
      </c>
      <c r="AH201" s="2">
        <v>818.83799999999997</v>
      </c>
      <c r="AI201" s="2">
        <v>9826.06</v>
      </c>
      <c r="AJ201" s="2">
        <v>249.58199999999999</v>
      </c>
      <c r="AK201" s="2">
        <v>0.155083</v>
      </c>
      <c r="AL201" s="2">
        <v>249582</v>
      </c>
      <c r="AM201" s="186">
        <f>AA201+AC201</f>
        <v>272.94570999999996</v>
      </c>
      <c r="AN201" s="16">
        <v>249581822</v>
      </c>
      <c r="AO201" s="15">
        <v>1878000000</v>
      </c>
      <c r="AP201" s="2">
        <v>18780000</v>
      </c>
      <c r="AQ201" s="2">
        <v>187800</v>
      </c>
      <c r="AR201" s="2">
        <f>(Z201*Z201)/2*(AE193-SIN(AE193))*0.9144*0.9144</f>
        <v>1877.9970544794926</v>
      </c>
      <c r="AS201" s="2">
        <v>2910906</v>
      </c>
      <c r="AT201" s="2">
        <v>20214.599999999999</v>
      </c>
      <c r="AU201" s="396">
        <v>18.78</v>
      </c>
      <c r="AV201" s="2">
        <v>0.18779999999999999</v>
      </c>
      <c r="AW201" s="42">
        <v>0.46406399999999998</v>
      </c>
      <c r="AX201" s="46" t="s">
        <v>7</v>
      </c>
      <c r="AY201" s="217">
        <f t="shared" si="173"/>
        <v>-4.7443938551405447E-3</v>
      </c>
      <c r="AZ201" s="73">
        <f t="shared" si="174"/>
        <v>-5.8615561606597706E-3</v>
      </c>
      <c r="BA201" s="230">
        <f t="shared" si="175"/>
        <v>-1.1032915456114564E-2</v>
      </c>
      <c r="BB201" s="238" t="s">
        <v>32</v>
      </c>
      <c r="BC201" s="134">
        <f t="shared" si="176"/>
        <v>-5.6093788814956811E-3</v>
      </c>
      <c r="BD201" s="82">
        <f t="shared" si="157"/>
        <v>-5.4955925347821028E-3</v>
      </c>
      <c r="BE201" s="82">
        <f t="shared" si="158"/>
        <v>-5.4955902976274737E-3</v>
      </c>
      <c r="BF201" s="82">
        <f t="shared" si="159"/>
        <v>-5.609378881482472E-3</v>
      </c>
      <c r="BG201" s="82">
        <f t="shared" si="160"/>
        <v>-5.1585280140363553E-3</v>
      </c>
      <c r="BH201" s="82">
        <f t="shared" si="161"/>
        <v>-5.6093788814898507E-3</v>
      </c>
      <c r="BI201" s="82">
        <f t="shared" si="162"/>
        <v>-5.3893501385237283E-3</v>
      </c>
      <c r="BJ201" s="420">
        <f t="shared" si="163"/>
        <v>-5.4346906723038504E-3</v>
      </c>
      <c r="BK201" s="139">
        <f t="shared" si="177"/>
        <v>4.5005324813631522E-4</v>
      </c>
      <c r="BL201" s="80">
        <f t="shared" si="178"/>
        <v>4.5260915867944624E-4</v>
      </c>
      <c r="BM201" s="80">
        <f t="shared" si="166"/>
        <v>5.3248136315228972E-4</v>
      </c>
      <c r="BN201" s="80">
        <f t="shared" si="167"/>
        <v>6.8932592181242453E-4</v>
      </c>
      <c r="BO201" s="80">
        <f t="shared" si="168"/>
        <v>4.4659635178875579E-4</v>
      </c>
      <c r="BP201" s="80">
        <f t="shared" si="169"/>
        <v>4.9469195533022076E-4</v>
      </c>
      <c r="BQ201" s="80">
        <f t="shared" si="170"/>
        <v>5.3248136315104863E-4</v>
      </c>
      <c r="BR201" s="80">
        <f t="shared" si="171"/>
        <v>5.3248136315282217E-4</v>
      </c>
      <c r="BS201" s="96">
        <f t="shared" si="172"/>
        <v>4.3097503792623436E-4</v>
      </c>
    </row>
    <row r="202" spans="1:71" ht="15.75" thickBot="1" x14ac:dyDescent="0.3">
      <c r="A202" s="121">
        <v>98</v>
      </c>
      <c r="B202" s="55">
        <v>52.244708630431298</v>
      </c>
      <c r="C202" s="55">
        <v>3.5456586226427902</v>
      </c>
      <c r="D202" s="122">
        <v>52.8840453127643</v>
      </c>
      <c r="E202" s="212" t="s">
        <v>20</v>
      </c>
      <c r="F202" s="61">
        <v>34.354111111111102</v>
      </c>
      <c r="G202" s="212" t="s">
        <v>32</v>
      </c>
      <c r="H202" s="121">
        <v>1.05129E-2</v>
      </c>
      <c r="I202" s="329">
        <v>3.4491099999999999E-4</v>
      </c>
      <c r="J202" s="55">
        <v>4.1389299999999999E-3</v>
      </c>
      <c r="K202" s="329">
        <v>1.05129E-4</v>
      </c>
      <c r="L202" s="67">
        <v>6.5323979176108804E-8</v>
      </c>
      <c r="M202" s="351">
        <v>0.105129</v>
      </c>
      <c r="N202" s="335">
        <v>1.1497000000000001E-4</v>
      </c>
      <c r="O202" s="122">
        <v>105.129</v>
      </c>
      <c r="P202" s="446">
        <v>1.23948E-4</v>
      </c>
      <c r="Q202" s="333">
        <v>1.23948448255792E-6</v>
      </c>
      <c r="R202" s="67">
        <v>1.23948448255792E-8</v>
      </c>
      <c r="S202" s="68">
        <v>1.2394844825579201E-10</v>
      </c>
      <c r="T202" s="353">
        <v>1.9212047903743599E-7</v>
      </c>
      <c r="U202" s="65">
        <v>1.3341699933155199E-9</v>
      </c>
      <c r="V202" s="69">
        <v>1.23948448255792E-12</v>
      </c>
      <c r="W202" s="71">
        <v>1.23948448255792E-14</v>
      </c>
      <c r="X202" s="501">
        <v>3.0628328588510698E-14</v>
      </c>
      <c r="Y202" s="436">
        <v>8</v>
      </c>
      <c r="Z202" s="494">
        <v>98</v>
      </c>
      <c r="AA202" s="495">
        <v>52.244259999999997</v>
      </c>
      <c r="AB202" s="495">
        <v>3.54575</v>
      </c>
      <c r="AC202" s="496">
        <v>52.883800000000001</v>
      </c>
      <c r="AD202" s="286" t="s">
        <v>20</v>
      </c>
      <c r="AE202" s="281">
        <v>34.354109999999999</v>
      </c>
      <c r="AF202" s="20" t="s">
        <v>32</v>
      </c>
      <c r="AG202" s="17">
        <v>1.0512799999999999E-2</v>
      </c>
      <c r="AH202" s="318">
        <v>3.44908E-4</v>
      </c>
      <c r="AI202" s="9">
        <v>4.1389E-3</v>
      </c>
      <c r="AJ202" s="318">
        <v>1.05128E-4</v>
      </c>
      <c r="AK202" s="206">
        <v>6.5323510697526397E-8</v>
      </c>
      <c r="AL202" s="9">
        <v>0.105128</v>
      </c>
      <c r="AM202" s="318">
        <v>1.14969E-4</v>
      </c>
      <c r="AN202" s="467">
        <f>AA202+AC202</f>
        <v>105.12806</v>
      </c>
      <c r="AO202" s="17">
        <v>1.23946E-4</v>
      </c>
      <c r="AP202" s="416">
        <v>1.2394599999999999E-6</v>
      </c>
      <c r="AQ202" s="400">
        <v>1.2394599999999999E-8</v>
      </c>
      <c r="AR202" s="417">
        <v>1.2394599999999999E-10</v>
      </c>
      <c r="AS202" s="320">
        <v>1.92116684233368E-7</v>
      </c>
      <c r="AT202" s="206">
        <v>1.3341436405095E-9</v>
      </c>
      <c r="AU202" s="418">
        <v>1.2394600000000001E-12</v>
      </c>
      <c r="AV202" s="36">
        <v>1.23946E-14</v>
      </c>
      <c r="AW202" s="475">
        <v>3.0627723611329302E-14</v>
      </c>
      <c r="AX202" s="48" t="s">
        <v>20</v>
      </c>
      <c r="AY202" s="218">
        <f t="shared" si="173"/>
        <v>8.5871717065281572E-4</v>
      </c>
      <c r="AZ202" s="97">
        <f t="shared" si="174"/>
        <v>4.6387128818163419E-4</v>
      </c>
      <c r="BA202" s="231">
        <f t="shared" si="175"/>
        <v>-2.5770953172041277E-3</v>
      </c>
      <c r="BB202" s="239" t="s">
        <v>32</v>
      </c>
      <c r="BC202" s="135">
        <f t="shared" si="176"/>
        <v>9.5122136824766807E-4</v>
      </c>
      <c r="BD202" s="98">
        <f t="shared" si="157"/>
        <v>8.6979716329949595E-4</v>
      </c>
      <c r="BE202" s="98">
        <f t="shared" si="158"/>
        <v>7.2483026890772517E-4</v>
      </c>
      <c r="BF202" s="98">
        <f t="shared" si="159"/>
        <v>9.5122136823890186E-4</v>
      </c>
      <c r="BG202" s="98">
        <f t="shared" si="160"/>
        <v>7.1716687821021623E-4</v>
      </c>
      <c r="BH202" s="98">
        <f t="shared" si="161"/>
        <v>9.5122136823776735E-4</v>
      </c>
      <c r="BI202" s="98">
        <f t="shared" si="162"/>
        <v>8.6979968513442119E-4</v>
      </c>
      <c r="BJ202" s="421">
        <f t="shared" si="163"/>
        <v>8.9414757582318251E-4</v>
      </c>
      <c r="BK202" s="140">
        <f t="shared" si="177"/>
        <v>1.6136059251644955E-3</v>
      </c>
      <c r="BL202" s="100">
        <f t="shared" si="178"/>
        <v>1.9752600261519863E-3</v>
      </c>
      <c r="BM202" s="100">
        <f t="shared" si="166"/>
        <v>1.9752600261471812E-3</v>
      </c>
      <c r="BN202" s="100">
        <f t="shared" si="167"/>
        <v>1.9752600261605286E-3</v>
      </c>
      <c r="BO202" s="100">
        <f t="shared" si="168"/>
        <v>1.9752600265492293E-3</v>
      </c>
      <c r="BP202" s="100">
        <f t="shared" si="169"/>
        <v>1.9752600259619435E-3</v>
      </c>
      <c r="BQ202" s="100">
        <f t="shared" si="170"/>
        <v>1.9752600261377178E-3</v>
      </c>
      <c r="BR202" s="100">
        <f t="shared" si="171"/>
        <v>1.9752600261397548E-3</v>
      </c>
      <c r="BS202" s="102">
        <f t="shared" si="172"/>
        <v>1.9752600260876415E-3</v>
      </c>
    </row>
    <row r="204" spans="1:71" x14ac:dyDescent="0.25">
      <c r="A204" s="145" t="s">
        <v>2</v>
      </c>
      <c r="B204" t="s">
        <v>3</v>
      </c>
    </row>
    <row r="205" spans="1:71" x14ac:dyDescent="0.25">
      <c r="A205" s="145" t="s">
        <v>44</v>
      </c>
      <c r="B205" s="507">
        <v>40811</v>
      </c>
    </row>
    <row r="206" spans="1:71" ht="15.75" thickBot="1" x14ac:dyDescent="0.3"/>
    <row r="207" spans="1:71" ht="21.75" thickBot="1" x14ac:dyDescent="0.3">
      <c r="A207" s="894" t="s">
        <v>132</v>
      </c>
      <c r="B207" s="895"/>
      <c r="C207" s="895"/>
      <c r="D207" s="895"/>
      <c r="E207" s="895"/>
      <c r="F207" s="895"/>
      <c r="G207" s="895"/>
      <c r="H207" s="895"/>
      <c r="I207" s="895"/>
      <c r="J207" s="895"/>
      <c r="K207" s="895"/>
      <c r="L207" s="895"/>
      <c r="M207" s="895"/>
      <c r="N207" s="895"/>
      <c r="O207" s="895"/>
      <c r="P207" s="895"/>
      <c r="Q207" s="895"/>
      <c r="R207" s="895"/>
      <c r="S207" s="895"/>
      <c r="T207" s="895"/>
      <c r="U207" s="895"/>
      <c r="V207" s="895"/>
      <c r="W207" s="895"/>
      <c r="X207" s="895"/>
      <c r="Y207" s="896"/>
    </row>
    <row r="208" spans="1:71" x14ac:dyDescent="0.25">
      <c r="A208" t="s">
        <v>133</v>
      </c>
      <c r="I208" t="s">
        <v>118</v>
      </c>
    </row>
    <row r="209" spans="1:1" x14ac:dyDescent="0.25">
      <c r="A209" s="884" t="s">
        <v>119</v>
      </c>
    </row>
    <row r="232" spans="1:1" x14ac:dyDescent="0.25">
      <c r="A232" s="884" t="s">
        <v>120</v>
      </c>
    </row>
    <row r="257" spans="1:1" x14ac:dyDescent="0.25">
      <c r="A257" s="884" t="s">
        <v>121</v>
      </c>
    </row>
    <row r="283" spans="1:1" x14ac:dyDescent="0.25">
      <c r="A283" s="884" t="s">
        <v>122</v>
      </c>
    </row>
    <row r="308" spans="1:1" x14ac:dyDescent="0.25">
      <c r="A308" s="884" t="s">
        <v>123</v>
      </c>
    </row>
    <row r="331" spans="1:1" x14ac:dyDescent="0.25">
      <c r="A331" s="884" t="s">
        <v>124</v>
      </c>
    </row>
    <row r="355" spans="1:1" x14ac:dyDescent="0.25">
      <c r="A355" s="884" t="s">
        <v>125</v>
      </c>
    </row>
    <row r="381" spans="1:1" x14ac:dyDescent="0.25">
      <c r="A381" s="884" t="s">
        <v>126</v>
      </c>
    </row>
    <row r="408" spans="1:1" x14ac:dyDescent="0.25">
      <c r="A408" s="884" t="s">
        <v>127</v>
      </c>
    </row>
    <row r="435" spans="1:1" x14ac:dyDescent="0.25">
      <c r="A435" s="884" t="s">
        <v>128</v>
      </c>
    </row>
    <row r="461" spans="1:2" x14ac:dyDescent="0.25">
      <c r="A461" s="145" t="s">
        <v>2</v>
      </c>
      <c r="B461" t="s">
        <v>135</v>
      </c>
    </row>
    <row r="462" spans="1:2" x14ac:dyDescent="0.25">
      <c r="A462" s="145" t="s">
        <v>44</v>
      </c>
      <c r="B462" s="507">
        <v>41551</v>
      </c>
    </row>
  </sheetData>
  <mergeCells count="120">
    <mergeCell ref="A207:Y207"/>
    <mergeCell ref="AX176:BB176"/>
    <mergeCell ref="BC176:BJ177"/>
    <mergeCell ref="BK176:BS177"/>
    <mergeCell ref="A177:A178"/>
    <mergeCell ref="B177:B178"/>
    <mergeCell ref="C177:C178"/>
    <mergeCell ref="D177:D178"/>
    <mergeCell ref="E177:E178"/>
    <mergeCell ref="F177:F178"/>
    <mergeCell ref="G177:G178"/>
    <mergeCell ref="BB177:BB178"/>
    <mergeCell ref="AE177:AE178"/>
    <mergeCell ref="AF177:AF178"/>
    <mergeCell ref="AX177:AX178"/>
    <mergeCell ref="AY177:AY178"/>
    <mergeCell ref="AZ177:AZ178"/>
    <mergeCell ref="BA177:BA178"/>
    <mergeCell ref="Y177:Y178"/>
    <mergeCell ref="Z177:Z178"/>
    <mergeCell ref="AA177:AA178"/>
    <mergeCell ref="AB177:AB178"/>
    <mergeCell ref="AC177:AC178"/>
    <mergeCell ref="AD177:AD178"/>
    <mergeCell ref="A176:G176"/>
    <mergeCell ref="H176:O177"/>
    <mergeCell ref="P176:X177"/>
    <mergeCell ref="Y176:AF176"/>
    <mergeCell ref="AG176:AN177"/>
    <mergeCell ref="AO176:AW177"/>
    <mergeCell ref="AB125:AB126"/>
    <mergeCell ref="AC125:AC126"/>
    <mergeCell ref="AD125:AD126"/>
    <mergeCell ref="AE125:AE126"/>
    <mergeCell ref="AF125:AF126"/>
    <mergeCell ref="BC124:BJ125"/>
    <mergeCell ref="BK124:BS125"/>
    <mergeCell ref="A125:A126"/>
    <mergeCell ref="B125:B126"/>
    <mergeCell ref="C125:C126"/>
    <mergeCell ref="D125:D126"/>
    <mergeCell ref="E125:E126"/>
    <mergeCell ref="F125:F126"/>
    <mergeCell ref="G125:G126"/>
    <mergeCell ref="Y125:Y126"/>
    <mergeCell ref="AY125:AY126"/>
    <mergeCell ref="AZ125:AZ126"/>
    <mergeCell ref="BA125:BA126"/>
    <mergeCell ref="BB125:BB126"/>
    <mergeCell ref="AX125:AX126"/>
    <mergeCell ref="A124:G124"/>
    <mergeCell ref="H124:O125"/>
    <mergeCell ref="P124:X125"/>
    <mergeCell ref="Y124:AF124"/>
    <mergeCell ref="AG124:AN125"/>
    <mergeCell ref="AO124:AW125"/>
    <mergeCell ref="AX124:BB124"/>
    <mergeCell ref="Z125:Z126"/>
    <mergeCell ref="AA125:AA126"/>
    <mergeCell ref="BC74:BJ75"/>
    <mergeCell ref="BK74:BS75"/>
    <mergeCell ref="A75:A76"/>
    <mergeCell ref="B75:B76"/>
    <mergeCell ref="C75:C76"/>
    <mergeCell ref="D75:D76"/>
    <mergeCell ref="E75:E76"/>
    <mergeCell ref="F75:F76"/>
    <mergeCell ref="G75:G76"/>
    <mergeCell ref="BB75:BB76"/>
    <mergeCell ref="AE75:AE76"/>
    <mergeCell ref="AF75:AF76"/>
    <mergeCell ref="AX75:AX76"/>
    <mergeCell ref="AY75:AY76"/>
    <mergeCell ref="AZ75:AZ76"/>
    <mergeCell ref="BA75:BA76"/>
    <mergeCell ref="Y75:Y76"/>
    <mergeCell ref="Z75:Z76"/>
    <mergeCell ref="AA75:AA76"/>
    <mergeCell ref="AB75:AB76"/>
    <mergeCell ref="AC75:AC76"/>
    <mergeCell ref="AD75:AD76"/>
    <mergeCell ref="A74:G74"/>
    <mergeCell ref="H74:O75"/>
    <mergeCell ref="P74:X75"/>
    <mergeCell ref="Y74:AF74"/>
    <mergeCell ref="AG74:AN75"/>
    <mergeCell ref="AO74:AW75"/>
    <mergeCell ref="AF26:AF27"/>
    <mergeCell ref="AX26:AX27"/>
    <mergeCell ref="AY26:AY27"/>
    <mergeCell ref="Y26:Y27"/>
    <mergeCell ref="Z26:Z27"/>
    <mergeCell ref="AA26:AA27"/>
    <mergeCell ref="AB26:AB27"/>
    <mergeCell ref="AD26:AD27"/>
    <mergeCell ref="AE26:AE27"/>
    <mergeCell ref="AX74:BB74"/>
    <mergeCell ref="A1:X1"/>
    <mergeCell ref="Y1:AW1"/>
    <mergeCell ref="AX1:BS1"/>
    <mergeCell ref="BC25:BJ26"/>
    <mergeCell ref="BK25:BS26"/>
    <mergeCell ref="A26:A27"/>
    <mergeCell ref="B26:B27"/>
    <mergeCell ref="C26:C27"/>
    <mergeCell ref="E26:E27"/>
    <mergeCell ref="F26:F27"/>
    <mergeCell ref="G26:G27"/>
    <mergeCell ref="A25:G25"/>
    <mergeCell ref="H25:O26"/>
    <mergeCell ref="P25:X26"/>
    <mergeCell ref="Y25:AF25"/>
    <mergeCell ref="AG25:AN26"/>
    <mergeCell ref="AO25:AW26"/>
    <mergeCell ref="AX25:BB25"/>
    <mergeCell ref="BA26:BA27"/>
    <mergeCell ref="BB26:BB27"/>
    <mergeCell ref="D26:D27"/>
    <mergeCell ref="AC26:AC27"/>
    <mergeCell ref="AZ26:AZ27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304"/>
  <sheetViews>
    <sheetView workbookViewId="0">
      <pane ySplit="1" topLeftCell="A2" activePane="bottomLeft" state="frozen"/>
      <selection pane="bottomLeft" activeCell="B305" sqref="B305"/>
    </sheetView>
  </sheetViews>
  <sheetFormatPr defaultRowHeight="15" x14ac:dyDescent="0.25"/>
  <cols>
    <col min="1" max="1" width="12.140625" bestFit="1" customWidth="1"/>
    <col min="2" max="2" width="18.85546875" bestFit="1" customWidth="1"/>
    <col min="3" max="3" width="14.42578125" bestFit="1" customWidth="1"/>
    <col min="4" max="4" width="17.85546875" bestFit="1" customWidth="1"/>
    <col min="5" max="5" width="9.85546875" customWidth="1"/>
    <col min="6" max="6" width="10" bestFit="1" customWidth="1"/>
    <col min="7" max="7" width="11.5703125" bestFit="1" customWidth="1"/>
    <col min="8" max="8" width="10" bestFit="1" customWidth="1"/>
    <col min="9" max="9" width="11.5703125" bestFit="1" customWidth="1"/>
    <col min="10" max="10" width="24" bestFit="1" customWidth="1"/>
    <col min="11" max="11" width="11" bestFit="1" customWidth="1"/>
    <col min="12" max="12" width="11.5703125" bestFit="1" customWidth="1"/>
    <col min="13" max="13" width="14.140625" bestFit="1" customWidth="1"/>
    <col min="14" max="14" width="20.28515625" bestFit="1" customWidth="1"/>
    <col min="15" max="15" width="20.85546875" bestFit="1" customWidth="1"/>
    <col min="16" max="16" width="23" bestFit="1" customWidth="1"/>
    <col min="17" max="17" width="25" bestFit="1" customWidth="1"/>
    <col min="18" max="18" width="23" bestFit="1" customWidth="1"/>
    <col min="19" max="19" width="25" bestFit="1" customWidth="1"/>
    <col min="20" max="20" width="27.140625" bestFit="1" customWidth="1"/>
    <col min="21" max="21" width="28.140625" bestFit="1" customWidth="1"/>
    <col min="22" max="22" width="30.28515625" bestFit="1" customWidth="1"/>
    <col min="24" max="24" width="10.140625" bestFit="1" customWidth="1"/>
    <col min="25" max="25" width="22.5703125" customWidth="1"/>
    <col min="26" max="26" width="12.5703125" customWidth="1"/>
    <col min="27" max="27" width="17.85546875" bestFit="1" customWidth="1"/>
    <col min="29" max="29" width="10" bestFit="1" customWidth="1"/>
    <col min="30" max="30" width="10.5703125" bestFit="1" customWidth="1"/>
    <col min="31" max="31" width="9.7109375" customWidth="1"/>
    <col min="32" max="32" width="11.5703125" bestFit="1" customWidth="1"/>
    <col min="33" max="33" width="24" bestFit="1" customWidth="1"/>
    <col min="34" max="35" width="11" bestFit="1" customWidth="1"/>
    <col min="36" max="36" width="14.140625" bestFit="1" customWidth="1"/>
    <col min="37" max="37" width="20.28515625" bestFit="1" customWidth="1"/>
    <col min="38" max="38" width="18.28515625" bestFit="1" customWidth="1"/>
    <col min="39" max="39" width="16.140625" bestFit="1" customWidth="1"/>
    <col min="40" max="40" width="18.85546875" bestFit="1" customWidth="1"/>
    <col min="41" max="41" width="23" bestFit="1" customWidth="1"/>
    <col min="42" max="42" width="25" bestFit="1" customWidth="1"/>
    <col min="43" max="43" width="18.85546875" bestFit="1" customWidth="1"/>
    <col min="44" max="44" width="20.85546875" bestFit="1" customWidth="1"/>
    <col min="45" max="45" width="26.140625" bestFit="1" customWidth="1"/>
    <col min="46" max="46" width="11.42578125" customWidth="1"/>
    <col min="47" max="47" width="23.7109375" bestFit="1" customWidth="1"/>
    <col min="48" max="48" width="13.5703125" bestFit="1" customWidth="1"/>
    <col min="49" max="51" width="23.7109375" bestFit="1" customWidth="1"/>
    <col min="52" max="56" width="23" bestFit="1" customWidth="1"/>
    <col min="57" max="57" width="22.7109375" bestFit="1" customWidth="1"/>
    <col min="58" max="58" width="23" bestFit="1" customWidth="1"/>
    <col min="59" max="64" width="22" bestFit="1" customWidth="1"/>
    <col min="65" max="65" width="22.7109375" bestFit="1" customWidth="1"/>
  </cols>
  <sheetData>
    <row r="1" spans="1:65" ht="21.75" thickBot="1" x14ac:dyDescent="0.3">
      <c r="A1" s="894" t="s">
        <v>33</v>
      </c>
      <c r="B1" s="938"/>
      <c r="C1" s="938"/>
      <c r="D1" s="895"/>
      <c r="E1" s="895"/>
      <c r="F1" s="895"/>
      <c r="G1" s="895"/>
      <c r="H1" s="895"/>
      <c r="I1" s="895"/>
      <c r="J1" s="895"/>
      <c r="K1" s="895"/>
      <c r="L1" s="895"/>
      <c r="M1" s="895"/>
      <c r="N1" s="895"/>
      <c r="O1" s="895"/>
      <c r="P1" s="895"/>
      <c r="Q1" s="895"/>
      <c r="R1" s="895"/>
      <c r="S1" s="895"/>
      <c r="T1" s="895"/>
      <c r="U1" s="895"/>
      <c r="V1" s="896"/>
      <c r="W1" s="894" t="s">
        <v>34</v>
      </c>
      <c r="X1" s="895"/>
      <c r="Y1" s="895"/>
      <c r="Z1" s="895"/>
      <c r="AA1" s="895"/>
      <c r="AB1" s="895"/>
      <c r="AC1" s="895"/>
      <c r="AD1" s="895"/>
      <c r="AE1" s="895"/>
      <c r="AF1" s="895"/>
      <c r="AG1" s="895"/>
      <c r="AH1" s="895"/>
      <c r="AI1" s="895"/>
      <c r="AJ1" s="895"/>
      <c r="AK1" s="895"/>
      <c r="AL1" s="895"/>
      <c r="AM1" s="895"/>
      <c r="AN1" s="895"/>
      <c r="AO1" s="895"/>
      <c r="AP1" s="895"/>
      <c r="AQ1" s="895"/>
      <c r="AR1" s="895"/>
      <c r="AS1" s="896"/>
      <c r="AT1" s="894" t="s">
        <v>35</v>
      </c>
      <c r="AU1" s="895"/>
      <c r="AV1" s="895"/>
      <c r="AW1" s="895"/>
      <c r="AX1" s="895"/>
      <c r="AY1" s="895"/>
      <c r="AZ1" s="895"/>
      <c r="BA1" s="895"/>
      <c r="BB1" s="895"/>
      <c r="BC1" s="895"/>
      <c r="BD1" s="895"/>
      <c r="BE1" s="895"/>
      <c r="BF1" s="895"/>
      <c r="BG1" s="895"/>
      <c r="BH1" s="895"/>
      <c r="BI1" s="895"/>
      <c r="BJ1" s="895"/>
      <c r="BK1" s="895"/>
      <c r="BL1" s="895"/>
      <c r="BM1" s="896"/>
    </row>
    <row r="2" spans="1:65" x14ac:dyDescent="0.25">
      <c r="A2" s="145"/>
      <c r="B2" s="507"/>
    </row>
    <row r="3" spans="1:65" x14ac:dyDescent="0.25">
      <c r="A3" s="636"/>
      <c r="B3" s="656"/>
      <c r="C3" s="625"/>
      <c r="D3" s="625"/>
      <c r="E3" s="625"/>
      <c r="F3" s="625"/>
      <c r="G3" s="625"/>
      <c r="H3" s="625"/>
      <c r="I3" s="625"/>
      <c r="J3" s="625"/>
      <c r="K3" s="625"/>
      <c r="L3" s="625"/>
      <c r="M3" s="625"/>
      <c r="N3" s="625"/>
      <c r="O3" s="625"/>
      <c r="P3" s="625"/>
      <c r="Q3" s="625"/>
      <c r="R3" s="625"/>
      <c r="S3" s="625"/>
      <c r="T3" s="625"/>
      <c r="U3" s="625"/>
      <c r="V3" s="625"/>
      <c r="W3" s="625"/>
      <c r="X3" s="625"/>
      <c r="Y3" s="625"/>
      <c r="Z3" s="625"/>
      <c r="AA3" s="625"/>
      <c r="AB3" s="625"/>
      <c r="AC3" s="625"/>
      <c r="AD3" s="625"/>
      <c r="AE3" s="625"/>
      <c r="AF3" s="625"/>
      <c r="AG3" s="625"/>
      <c r="AH3" s="625"/>
      <c r="AI3" s="625"/>
    </row>
    <row r="4" spans="1:65" ht="18.75" x14ac:dyDescent="0.3">
      <c r="A4" s="625"/>
      <c r="B4" s="625"/>
      <c r="C4" s="633">
        <v>1</v>
      </c>
      <c r="D4" s="625"/>
      <c r="E4" s="625"/>
      <c r="F4" s="625"/>
      <c r="G4" s="625"/>
      <c r="H4" s="625"/>
      <c r="I4" s="633">
        <v>2</v>
      </c>
      <c r="J4" s="625"/>
      <c r="K4" s="625"/>
      <c r="L4" s="625"/>
      <c r="M4" s="625"/>
      <c r="N4" s="633">
        <v>3</v>
      </c>
      <c r="O4" s="633"/>
      <c r="P4" s="625"/>
      <c r="Q4" s="633">
        <v>4</v>
      </c>
      <c r="R4" s="633"/>
      <c r="S4" s="625"/>
      <c r="T4" s="633">
        <v>5</v>
      </c>
      <c r="U4" s="633"/>
      <c r="V4" s="625"/>
      <c r="W4" s="633">
        <v>6</v>
      </c>
      <c r="X4" s="625"/>
      <c r="Y4" s="633"/>
      <c r="Z4" s="625"/>
      <c r="AA4" s="625"/>
      <c r="AB4" s="633">
        <v>7</v>
      </c>
      <c r="AC4" s="625"/>
      <c r="AD4" s="633"/>
      <c r="AE4" s="625"/>
      <c r="AF4" s="625"/>
      <c r="AG4" s="633">
        <v>8</v>
      </c>
      <c r="AH4" s="633"/>
      <c r="AI4" s="625"/>
    </row>
    <row r="5" spans="1:65" ht="18.75" x14ac:dyDescent="0.3">
      <c r="A5" s="625"/>
      <c r="B5" s="625"/>
      <c r="C5" s="633"/>
      <c r="D5" s="625"/>
      <c r="E5" s="625"/>
      <c r="F5" s="625"/>
      <c r="G5" s="625"/>
      <c r="H5" s="625"/>
      <c r="I5" s="633"/>
      <c r="J5" s="625"/>
      <c r="K5" s="625"/>
      <c r="L5" s="625"/>
      <c r="M5" s="625"/>
      <c r="N5" s="625"/>
      <c r="O5" s="633"/>
      <c r="P5" s="625"/>
      <c r="Q5" s="625"/>
      <c r="R5" s="633"/>
      <c r="S5" s="625"/>
      <c r="T5" s="625"/>
      <c r="U5" s="633"/>
      <c r="V5" s="625"/>
      <c r="W5" s="625"/>
      <c r="X5" s="625"/>
      <c r="Y5" s="633"/>
      <c r="Z5" s="625"/>
      <c r="AA5" s="625"/>
      <c r="AB5" s="625"/>
      <c r="AC5" s="625"/>
      <c r="AD5" s="625"/>
      <c r="AE5" s="625"/>
      <c r="AF5" s="625"/>
      <c r="AG5" s="625"/>
      <c r="AH5" s="625"/>
      <c r="AI5" s="625"/>
    </row>
    <row r="6" spans="1:65" ht="18.75" x14ac:dyDescent="0.3">
      <c r="A6" s="625"/>
      <c r="B6" s="625"/>
      <c r="C6" s="625"/>
      <c r="D6" s="625"/>
      <c r="E6" s="625"/>
      <c r="F6" s="625"/>
      <c r="G6" s="625"/>
      <c r="H6" s="625"/>
      <c r="I6" s="625"/>
      <c r="J6" s="625"/>
      <c r="K6" s="625"/>
      <c r="L6" s="625"/>
      <c r="M6" s="625"/>
      <c r="N6" s="625"/>
      <c r="O6" s="625"/>
      <c r="P6" s="625"/>
      <c r="Q6" s="625"/>
      <c r="R6" s="633"/>
      <c r="S6" s="625"/>
      <c r="T6" s="625"/>
      <c r="U6" s="633"/>
      <c r="V6" s="625"/>
      <c r="W6" s="625"/>
      <c r="X6" s="625"/>
      <c r="Y6" s="633"/>
      <c r="Z6" s="625"/>
      <c r="AA6" s="625"/>
      <c r="AB6" s="625"/>
      <c r="AC6" s="625"/>
      <c r="AD6" s="625"/>
      <c r="AE6" s="625"/>
      <c r="AF6" s="625"/>
      <c r="AG6" s="625"/>
      <c r="AH6" s="625"/>
      <c r="AI6" s="625"/>
    </row>
    <row r="7" spans="1:65" x14ac:dyDescent="0.25">
      <c r="A7" s="625"/>
      <c r="B7" s="625"/>
      <c r="C7" s="636"/>
      <c r="D7" s="625"/>
      <c r="E7" s="625"/>
      <c r="F7" s="625"/>
      <c r="G7" s="625"/>
      <c r="H7" s="625"/>
      <c r="I7" s="625"/>
      <c r="J7" s="625"/>
      <c r="K7" s="625"/>
      <c r="L7" s="625"/>
      <c r="M7" s="625"/>
      <c r="N7" s="625"/>
      <c r="O7" s="625"/>
      <c r="P7" s="625"/>
      <c r="Q7" s="625"/>
      <c r="R7" s="625"/>
      <c r="S7" s="625"/>
      <c r="T7" s="625"/>
      <c r="U7" s="625"/>
      <c r="V7" s="625"/>
      <c r="W7" s="625"/>
      <c r="X7" s="625"/>
      <c r="Y7" s="625"/>
      <c r="Z7" s="625"/>
      <c r="AA7" s="625"/>
      <c r="AB7" s="625"/>
      <c r="AC7" s="625"/>
      <c r="AD7" s="625"/>
      <c r="AE7" s="625"/>
      <c r="AF7" s="625"/>
      <c r="AG7" s="625"/>
      <c r="AH7" s="625"/>
      <c r="AI7" s="625"/>
    </row>
    <row r="8" spans="1:65" x14ac:dyDescent="0.25">
      <c r="A8" s="625"/>
      <c r="B8" s="625"/>
      <c r="C8" s="636"/>
      <c r="D8" s="625"/>
      <c r="E8" s="625"/>
      <c r="F8" s="625"/>
      <c r="G8" s="625"/>
      <c r="H8" s="625"/>
      <c r="I8" s="625"/>
      <c r="J8" s="625"/>
      <c r="K8" s="625"/>
      <c r="L8" s="625"/>
      <c r="M8" s="625"/>
      <c r="N8" s="625"/>
      <c r="O8" s="625"/>
      <c r="P8" s="625"/>
      <c r="Q8" s="625"/>
      <c r="R8" s="625"/>
      <c r="S8" s="625"/>
      <c r="T8" s="625"/>
      <c r="U8" s="625"/>
      <c r="V8" s="625"/>
      <c r="W8" s="625"/>
      <c r="X8" s="625"/>
      <c r="Y8" s="625"/>
      <c r="Z8" s="625"/>
      <c r="AA8" s="625"/>
      <c r="AB8" s="625"/>
      <c r="AC8" s="625"/>
      <c r="AD8" s="625"/>
      <c r="AE8" s="625"/>
      <c r="AF8" s="625"/>
      <c r="AG8" s="625"/>
      <c r="AH8" s="625"/>
      <c r="AI8" s="625"/>
    </row>
    <row r="9" spans="1:65" x14ac:dyDescent="0.25">
      <c r="A9" s="625"/>
      <c r="B9" s="625"/>
      <c r="C9" s="636"/>
      <c r="D9" s="625"/>
      <c r="E9" s="625"/>
      <c r="F9" s="625"/>
      <c r="G9" s="625"/>
      <c r="H9" s="625"/>
      <c r="I9" s="625"/>
      <c r="J9" s="625"/>
      <c r="K9" s="625"/>
      <c r="L9" s="625"/>
      <c r="M9" s="625"/>
      <c r="N9" s="625"/>
      <c r="O9" s="625"/>
      <c r="P9" s="625"/>
      <c r="Q9" s="625"/>
      <c r="R9" s="625"/>
      <c r="S9" s="625"/>
      <c r="T9" s="625"/>
      <c r="U9" s="625"/>
      <c r="V9" s="625"/>
      <c r="W9" s="625"/>
      <c r="X9" s="625"/>
      <c r="Y9" s="625"/>
      <c r="Z9" s="625"/>
      <c r="AA9" s="625"/>
      <c r="AB9" s="625"/>
      <c r="AC9" s="625"/>
      <c r="AD9" s="625"/>
      <c r="AE9" s="625"/>
      <c r="AF9" s="625"/>
      <c r="AG9" s="625"/>
      <c r="AH9" s="625"/>
      <c r="AI9" s="625"/>
    </row>
    <row r="10" spans="1:65" x14ac:dyDescent="0.25">
      <c r="A10" s="625"/>
      <c r="B10" s="625"/>
      <c r="C10" s="636"/>
      <c r="D10" s="625"/>
      <c r="E10" s="625"/>
      <c r="F10" s="625"/>
      <c r="G10" s="625"/>
      <c r="H10" s="625"/>
      <c r="I10" s="625"/>
      <c r="J10" s="625"/>
      <c r="K10" s="625"/>
      <c r="L10" s="625"/>
      <c r="M10" s="625"/>
      <c r="N10" s="625"/>
      <c r="O10" s="625"/>
      <c r="P10" s="625"/>
      <c r="Q10" s="625"/>
      <c r="R10" s="625"/>
      <c r="S10" s="625"/>
      <c r="T10" s="625"/>
      <c r="U10" s="625"/>
      <c r="V10" s="625"/>
      <c r="W10" s="625"/>
      <c r="X10" s="625"/>
      <c r="Y10" s="625"/>
      <c r="Z10" s="625"/>
      <c r="AA10" s="625"/>
      <c r="AB10" s="625"/>
      <c r="AC10" s="625"/>
      <c r="AD10" s="625"/>
      <c r="AE10" s="625"/>
      <c r="AF10" s="625"/>
      <c r="AG10" s="625"/>
      <c r="AH10" s="625"/>
      <c r="AI10" s="625"/>
    </row>
    <row r="11" spans="1:65" x14ac:dyDescent="0.25">
      <c r="A11" s="625"/>
      <c r="B11" s="625"/>
      <c r="C11" s="636"/>
      <c r="D11" s="625"/>
      <c r="E11" s="625"/>
      <c r="F11" s="625"/>
      <c r="G11" s="625"/>
      <c r="H11" s="625"/>
      <c r="I11" s="625"/>
      <c r="J11" s="625"/>
      <c r="K11" s="625"/>
      <c r="L11" s="625"/>
      <c r="M11" s="625"/>
      <c r="N11" s="625"/>
      <c r="O11" s="625"/>
      <c r="P11" s="625"/>
      <c r="Q11" s="625"/>
      <c r="R11" s="625"/>
      <c r="S11" s="625"/>
      <c r="T11" s="625"/>
      <c r="U11" s="625"/>
      <c r="V11" s="625"/>
      <c r="W11" s="625"/>
      <c r="X11" s="625"/>
      <c r="Y11" s="625"/>
      <c r="Z11" s="625"/>
      <c r="AA11" s="625"/>
      <c r="AB11" s="625"/>
      <c r="AC11" s="625"/>
      <c r="AD11" s="625"/>
      <c r="AE11" s="625"/>
      <c r="AF11" s="625"/>
      <c r="AG11" s="625"/>
      <c r="AH11" s="625"/>
      <c r="AI11" s="625"/>
    </row>
    <row r="12" spans="1:65" x14ac:dyDescent="0.25">
      <c r="A12" s="625"/>
      <c r="B12" s="625"/>
      <c r="C12" s="636"/>
      <c r="D12" s="625"/>
      <c r="E12" s="625"/>
      <c r="F12" s="625"/>
      <c r="G12" s="625"/>
      <c r="H12" s="625"/>
      <c r="I12" s="625"/>
      <c r="J12" s="625"/>
      <c r="K12" s="625"/>
      <c r="L12" s="625"/>
      <c r="M12" s="625"/>
      <c r="N12" s="625"/>
      <c r="O12" s="625"/>
      <c r="P12" s="625"/>
      <c r="Q12" s="625"/>
      <c r="R12" s="625"/>
      <c r="S12" s="625"/>
      <c r="T12" s="625"/>
      <c r="U12" s="625"/>
      <c r="V12" s="625"/>
      <c r="W12" s="625"/>
      <c r="X12" s="625"/>
      <c r="Y12" s="625"/>
      <c r="Z12" s="625"/>
      <c r="AA12" s="625"/>
      <c r="AB12" s="625"/>
      <c r="AC12" s="625"/>
      <c r="AD12" s="625"/>
      <c r="AE12" s="625"/>
      <c r="AF12" s="625"/>
      <c r="AG12" s="625"/>
      <c r="AH12" s="625"/>
      <c r="AI12" s="625"/>
    </row>
    <row r="13" spans="1:65" x14ac:dyDescent="0.25">
      <c r="A13" s="625"/>
      <c r="B13" s="625"/>
      <c r="C13" s="636"/>
      <c r="D13" s="625"/>
      <c r="E13" s="625"/>
      <c r="F13" s="625"/>
      <c r="G13" s="625"/>
      <c r="H13" s="625"/>
      <c r="I13" s="625"/>
      <c r="J13" s="625"/>
      <c r="K13" s="625"/>
      <c r="L13" s="625"/>
      <c r="M13" s="625"/>
      <c r="N13" s="625"/>
      <c r="O13" s="625"/>
      <c r="P13" s="625"/>
      <c r="Q13" s="625"/>
      <c r="R13" s="625"/>
      <c r="S13" s="625"/>
      <c r="T13" s="625"/>
      <c r="U13" s="625"/>
      <c r="V13" s="625"/>
      <c r="W13" s="625"/>
      <c r="X13" s="625"/>
      <c r="Y13" s="625"/>
      <c r="Z13" s="625"/>
      <c r="AA13" s="625"/>
      <c r="AB13" s="625"/>
      <c r="AC13" s="625"/>
      <c r="AD13" s="625"/>
      <c r="AE13" s="625"/>
      <c r="AF13" s="625"/>
      <c r="AG13" s="625"/>
      <c r="AH13" s="625"/>
      <c r="AI13" s="625"/>
    </row>
    <row r="14" spans="1:65" x14ac:dyDescent="0.25">
      <c r="A14" s="625"/>
      <c r="B14" s="625"/>
      <c r="C14" s="636"/>
      <c r="D14" s="625"/>
      <c r="E14" s="625"/>
      <c r="F14" s="625"/>
      <c r="G14" s="625"/>
      <c r="H14" s="625"/>
      <c r="I14" s="625"/>
      <c r="J14" s="625"/>
      <c r="K14" s="625"/>
      <c r="L14" s="625"/>
      <c r="M14" s="625"/>
      <c r="N14" s="625"/>
      <c r="O14" s="625"/>
      <c r="P14" s="625"/>
      <c r="Q14" s="625"/>
      <c r="R14" s="625"/>
      <c r="S14" s="625"/>
      <c r="T14" s="625"/>
      <c r="U14" s="625"/>
      <c r="V14" s="625"/>
      <c r="W14" s="625"/>
      <c r="X14" s="625"/>
      <c r="Y14" s="625"/>
      <c r="Z14" s="625"/>
      <c r="AA14" s="625"/>
      <c r="AB14" s="625"/>
      <c r="AC14" s="625"/>
      <c r="AD14" s="625"/>
      <c r="AE14" s="625"/>
      <c r="AF14" s="625"/>
      <c r="AG14" s="625"/>
      <c r="AH14" s="625"/>
      <c r="AI14" s="625"/>
    </row>
    <row r="15" spans="1:65" x14ac:dyDescent="0.25">
      <c r="A15" s="625"/>
      <c r="B15" s="625"/>
      <c r="C15" s="636"/>
      <c r="D15" s="625"/>
      <c r="E15" s="625"/>
      <c r="F15" s="625"/>
      <c r="G15" s="625"/>
      <c r="H15" s="625"/>
      <c r="I15" s="625"/>
      <c r="J15" s="625"/>
      <c r="K15" s="625"/>
      <c r="L15" s="625"/>
      <c r="M15" s="625"/>
      <c r="N15" s="625"/>
      <c r="O15" s="625"/>
      <c r="P15" s="625"/>
      <c r="Q15" s="625"/>
      <c r="R15" s="625"/>
      <c r="S15" s="625"/>
      <c r="T15" s="625"/>
      <c r="U15" s="625"/>
      <c r="V15" s="625"/>
      <c r="W15" s="625"/>
      <c r="X15" s="625"/>
      <c r="Y15" s="625"/>
      <c r="Z15" s="625"/>
      <c r="AA15" s="625"/>
      <c r="AB15" s="625"/>
      <c r="AC15" s="625"/>
      <c r="AD15" s="625"/>
      <c r="AE15" s="625"/>
      <c r="AF15" s="625"/>
      <c r="AG15" s="625"/>
      <c r="AH15" s="625"/>
      <c r="AI15" s="625"/>
    </row>
    <row r="16" spans="1:65" x14ac:dyDescent="0.25">
      <c r="A16" s="625"/>
      <c r="B16" s="625"/>
      <c r="C16" s="636"/>
      <c r="D16" s="625"/>
      <c r="E16" s="625"/>
      <c r="F16" s="625"/>
      <c r="G16" s="625"/>
      <c r="H16" s="625"/>
      <c r="I16" s="625"/>
      <c r="J16" s="625"/>
      <c r="K16" s="625"/>
      <c r="L16" s="625"/>
      <c r="M16" s="625"/>
      <c r="N16" s="625"/>
      <c r="O16" s="625"/>
      <c r="P16" s="625"/>
      <c r="Q16" s="625"/>
      <c r="R16" s="625"/>
      <c r="S16" s="625"/>
      <c r="T16" s="625"/>
      <c r="U16" s="625"/>
      <c r="V16" s="625"/>
      <c r="W16" s="625"/>
      <c r="X16" s="625"/>
      <c r="Y16" s="625"/>
      <c r="Z16" s="625"/>
      <c r="AA16" s="625"/>
      <c r="AB16" s="625"/>
      <c r="AC16" s="625"/>
      <c r="AD16" s="625"/>
      <c r="AE16" s="625"/>
      <c r="AF16" s="625"/>
      <c r="AG16" s="625"/>
      <c r="AH16" s="625"/>
      <c r="AI16" s="625"/>
    </row>
    <row r="17" spans="1:65" x14ac:dyDescent="0.25">
      <c r="A17" s="625"/>
      <c r="B17" s="625"/>
      <c r="C17" s="636"/>
      <c r="D17" s="625"/>
      <c r="E17" s="625"/>
      <c r="F17" s="625"/>
      <c r="G17" s="625"/>
      <c r="H17" s="625"/>
      <c r="I17" s="625"/>
      <c r="J17" s="625"/>
      <c r="K17" s="625"/>
      <c r="L17" s="625"/>
      <c r="M17" s="625"/>
      <c r="N17" s="625"/>
      <c r="O17" s="625"/>
      <c r="P17" s="625"/>
      <c r="Q17" s="625"/>
      <c r="R17" s="625"/>
      <c r="S17" s="625"/>
      <c r="T17" s="625"/>
      <c r="U17" s="625"/>
      <c r="V17" s="625"/>
      <c r="W17" s="625"/>
      <c r="X17" s="625"/>
      <c r="Y17" s="625"/>
      <c r="Z17" s="625"/>
      <c r="AA17" s="625"/>
      <c r="AB17" s="625"/>
      <c r="AC17" s="625"/>
      <c r="AD17" s="625"/>
      <c r="AE17" s="625"/>
      <c r="AF17" s="625"/>
      <c r="AG17" s="625"/>
      <c r="AH17" s="625"/>
      <c r="AI17" s="625"/>
    </row>
    <row r="18" spans="1:65" x14ac:dyDescent="0.25">
      <c r="A18" s="625"/>
      <c r="B18" s="625"/>
      <c r="C18" s="636"/>
      <c r="D18" s="625"/>
      <c r="E18" s="625"/>
      <c r="F18" s="625"/>
      <c r="G18" s="625"/>
      <c r="H18" s="625"/>
      <c r="I18" s="625"/>
      <c r="J18" s="625"/>
      <c r="K18" s="625"/>
      <c r="L18" s="625"/>
      <c r="M18" s="625"/>
      <c r="N18" s="625"/>
      <c r="O18" s="625"/>
      <c r="P18" s="625"/>
      <c r="Q18" s="625"/>
      <c r="R18" s="625"/>
      <c r="S18" s="625"/>
      <c r="T18" s="625"/>
      <c r="U18" s="625"/>
      <c r="V18" s="625"/>
      <c r="W18" s="625"/>
      <c r="X18" s="625"/>
      <c r="Y18" s="625"/>
      <c r="Z18" s="625"/>
      <c r="AA18" s="625"/>
      <c r="AB18" s="625"/>
      <c r="AC18" s="625"/>
      <c r="AD18" s="625"/>
      <c r="AE18" s="625"/>
      <c r="AF18" s="625"/>
      <c r="AG18" s="625"/>
      <c r="AH18" s="625"/>
      <c r="AI18" s="625"/>
    </row>
    <row r="19" spans="1:65" x14ac:dyDescent="0.25">
      <c r="A19" s="625"/>
      <c r="B19" s="625"/>
      <c r="C19" s="636"/>
      <c r="D19" s="625"/>
      <c r="E19" s="625"/>
      <c r="F19" s="625"/>
      <c r="G19" s="625"/>
      <c r="H19" s="625"/>
      <c r="I19" s="625"/>
      <c r="J19" s="625"/>
      <c r="K19" s="625"/>
      <c r="L19" s="625"/>
      <c r="M19" s="625"/>
      <c r="N19" s="625"/>
      <c r="O19" s="625"/>
      <c r="P19" s="625"/>
      <c r="Q19" s="625"/>
      <c r="R19" s="625"/>
      <c r="S19" s="625"/>
      <c r="T19" s="625"/>
      <c r="U19" s="625"/>
      <c r="V19" s="625"/>
      <c r="W19" s="625"/>
      <c r="X19" s="625"/>
      <c r="Y19" s="625"/>
      <c r="Z19" s="625"/>
      <c r="AA19" s="625"/>
      <c r="AB19" s="625"/>
      <c r="AC19" s="625"/>
      <c r="AD19" s="625"/>
      <c r="AE19" s="625"/>
      <c r="AF19" s="625"/>
      <c r="AG19" s="625"/>
      <c r="AH19" s="625"/>
      <c r="AI19" s="625"/>
    </row>
    <row r="20" spans="1:65" x14ac:dyDescent="0.25">
      <c r="A20" s="625"/>
      <c r="B20" s="625"/>
      <c r="C20" s="636"/>
      <c r="D20" s="625"/>
      <c r="E20" s="625"/>
      <c r="F20" s="625"/>
      <c r="G20" s="625"/>
      <c r="H20" s="625"/>
      <c r="I20" s="625"/>
      <c r="J20" s="625"/>
      <c r="K20" s="625"/>
      <c r="L20" s="625"/>
      <c r="M20" s="625"/>
      <c r="N20" s="625"/>
      <c r="O20" s="625"/>
      <c r="P20" s="625"/>
      <c r="Q20" s="625"/>
      <c r="R20" s="625"/>
      <c r="S20" s="625"/>
      <c r="T20" s="625"/>
      <c r="U20" s="625"/>
      <c r="V20" s="625"/>
      <c r="W20" s="625"/>
      <c r="X20" s="625"/>
      <c r="Y20" s="625"/>
      <c r="Z20" s="625"/>
      <c r="AA20" s="625"/>
      <c r="AB20" s="625"/>
      <c r="AC20" s="625"/>
      <c r="AD20" s="625"/>
      <c r="AE20" s="625"/>
      <c r="AF20" s="625"/>
      <c r="AG20" s="625"/>
      <c r="AH20" s="625"/>
      <c r="AI20" s="625"/>
    </row>
    <row r="21" spans="1:65" x14ac:dyDescent="0.25">
      <c r="A21" s="625"/>
      <c r="B21" s="625"/>
      <c r="C21" s="636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25"/>
      <c r="S21" s="625"/>
      <c r="T21" s="625"/>
      <c r="U21" s="625"/>
      <c r="V21" s="625"/>
      <c r="W21" s="625"/>
      <c r="X21" s="625"/>
      <c r="Y21" s="625"/>
      <c r="Z21" s="625"/>
      <c r="AA21" s="625"/>
      <c r="AB21" s="625"/>
      <c r="AC21" s="625"/>
      <c r="AD21" s="625"/>
      <c r="AE21" s="625"/>
      <c r="AF21" s="625"/>
      <c r="AG21" s="625"/>
      <c r="AH21" s="625"/>
      <c r="AI21" s="625"/>
    </row>
    <row r="22" spans="1:65" x14ac:dyDescent="0.25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25"/>
      <c r="S22" s="625"/>
      <c r="T22" s="625"/>
      <c r="U22" s="625"/>
      <c r="V22" s="625"/>
      <c r="W22" s="625"/>
      <c r="X22" s="625"/>
      <c r="Y22" s="625"/>
      <c r="Z22" s="625"/>
      <c r="AA22" s="625"/>
      <c r="AB22" s="625"/>
      <c r="AC22" s="625"/>
      <c r="AD22" s="625"/>
      <c r="AE22" s="625"/>
      <c r="AF22" s="625"/>
      <c r="AG22" s="625"/>
      <c r="AH22" s="625"/>
      <c r="AI22" s="625"/>
    </row>
    <row r="23" spans="1:65" ht="15.75" thickBot="1" x14ac:dyDescent="0.3"/>
    <row r="24" spans="1:65" ht="14.25" customHeight="1" thickBot="1" x14ac:dyDescent="0.3">
      <c r="A24" s="915" t="s">
        <v>61</v>
      </c>
      <c r="B24" s="916"/>
      <c r="C24" s="916"/>
      <c r="D24" s="916"/>
      <c r="E24" s="916"/>
      <c r="F24" s="917" t="s">
        <v>1</v>
      </c>
      <c r="G24" s="902"/>
      <c r="H24" s="902"/>
      <c r="I24" s="902"/>
      <c r="J24" s="902"/>
      <c r="K24" s="902"/>
      <c r="L24" s="902"/>
      <c r="M24" s="903"/>
      <c r="N24" s="917" t="s">
        <v>0</v>
      </c>
      <c r="O24" s="902"/>
      <c r="P24" s="902"/>
      <c r="Q24" s="902"/>
      <c r="R24" s="902"/>
      <c r="S24" s="902"/>
      <c r="T24" s="902"/>
      <c r="U24" s="902"/>
      <c r="V24" s="903"/>
      <c r="W24" s="918"/>
      <c r="X24" s="919"/>
      <c r="Y24" s="919"/>
      <c r="Z24" s="919"/>
      <c r="AA24" s="919"/>
      <c r="AB24" s="919"/>
      <c r="AC24" s="888" t="s">
        <v>76</v>
      </c>
      <c r="AD24" s="889"/>
      <c r="AE24" s="889"/>
      <c r="AF24" s="889"/>
      <c r="AG24" s="889"/>
      <c r="AH24" s="889"/>
      <c r="AI24" s="889"/>
      <c r="AJ24" s="890"/>
      <c r="AK24" s="888" t="s">
        <v>77</v>
      </c>
      <c r="AL24" s="902"/>
      <c r="AM24" s="902"/>
      <c r="AN24" s="902"/>
      <c r="AO24" s="902"/>
      <c r="AP24" s="902"/>
      <c r="AQ24" s="902"/>
      <c r="AR24" s="902"/>
      <c r="AS24" s="903"/>
      <c r="AT24" s="900"/>
      <c r="AU24" s="900"/>
      <c r="AV24" s="284"/>
      <c r="AW24" s="901" t="s">
        <v>1</v>
      </c>
      <c r="AX24" s="902"/>
      <c r="AY24" s="902"/>
      <c r="AZ24" s="902"/>
      <c r="BA24" s="902"/>
      <c r="BB24" s="902"/>
      <c r="BC24" s="902"/>
      <c r="BD24" s="903"/>
      <c r="BE24" s="901" t="s">
        <v>0</v>
      </c>
      <c r="BF24" s="902"/>
      <c r="BG24" s="902"/>
      <c r="BH24" s="902"/>
      <c r="BI24" s="902"/>
      <c r="BJ24" s="902"/>
      <c r="BK24" s="902"/>
      <c r="BL24" s="902"/>
      <c r="BM24" s="903"/>
    </row>
    <row r="25" spans="1:65" ht="15" customHeight="1" thickBot="1" x14ac:dyDescent="0.3">
      <c r="A25" s="907" t="s">
        <v>58</v>
      </c>
      <c r="B25" s="907" t="s">
        <v>62</v>
      </c>
      <c r="C25" s="911" t="s">
        <v>15</v>
      </c>
      <c r="D25" s="909" t="s">
        <v>16</v>
      </c>
      <c r="E25" s="911" t="s">
        <v>19</v>
      </c>
      <c r="F25" s="906"/>
      <c r="G25" s="904"/>
      <c r="H25" s="904"/>
      <c r="I25" s="904"/>
      <c r="J25" s="904"/>
      <c r="K25" s="904"/>
      <c r="L25" s="904"/>
      <c r="M25" s="905"/>
      <c r="N25" s="906"/>
      <c r="O25" s="904"/>
      <c r="P25" s="904"/>
      <c r="Q25" s="904"/>
      <c r="R25" s="904"/>
      <c r="S25" s="904"/>
      <c r="T25" s="904"/>
      <c r="U25" s="904"/>
      <c r="V25" s="905"/>
      <c r="W25" s="912" t="s">
        <v>40</v>
      </c>
      <c r="X25" s="914" t="s">
        <v>58</v>
      </c>
      <c r="Y25" s="914" t="s">
        <v>62</v>
      </c>
      <c r="Z25" s="912" t="s">
        <v>41</v>
      </c>
      <c r="AA25" s="914" t="s">
        <v>16</v>
      </c>
      <c r="AB25" s="939" t="s">
        <v>19</v>
      </c>
      <c r="AC25" s="891"/>
      <c r="AD25" s="892"/>
      <c r="AE25" s="892"/>
      <c r="AF25" s="892"/>
      <c r="AG25" s="892"/>
      <c r="AH25" s="892"/>
      <c r="AI25" s="892"/>
      <c r="AJ25" s="893"/>
      <c r="AK25" s="906"/>
      <c r="AL25" s="904"/>
      <c r="AM25" s="904"/>
      <c r="AN25" s="904"/>
      <c r="AO25" s="904"/>
      <c r="AP25" s="904"/>
      <c r="AQ25" s="904"/>
      <c r="AR25" s="904"/>
      <c r="AS25" s="905"/>
      <c r="AT25" s="897" t="s">
        <v>15</v>
      </c>
      <c r="AU25" s="899" t="s">
        <v>62</v>
      </c>
      <c r="AV25" s="897" t="s">
        <v>19</v>
      </c>
      <c r="AW25" s="904"/>
      <c r="AX25" s="904"/>
      <c r="AY25" s="904"/>
      <c r="AZ25" s="904"/>
      <c r="BA25" s="904"/>
      <c r="BB25" s="904"/>
      <c r="BC25" s="904"/>
      <c r="BD25" s="905"/>
      <c r="BE25" s="906"/>
      <c r="BF25" s="904"/>
      <c r="BG25" s="904"/>
      <c r="BH25" s="904"/>
      <c r="BI25" s="904"/>
      <c r="BJ25" s="904"/>
      <c r="BK25" s="904"/>
      <c r="BL25" s="904"/>
      <c r="BM25" s="905"/>
    </row>
    <row r="26" spans="1:65" ht="15.75" thickBot="1" x14ac:dyDescent="0.3">
      <c r="A26" s="908"/>
      <c r="B26" s="908"/>
      <c r="C26" s="910"/>
      <c r="D26" s="910"/>
      <c r="E26" s="910"/>
      <c r="F26" s="103" t="s">
        <v>9</v>
      </c>
      <c r="G26" s="104" t="s">
        <v>5</v>
      </c>
      <c r="H26" s="104" t="s">
        <v>8</v>
      </c>
      <c r="I26" s="104" t="s">
        <v>4</v>
      </c>
      <c r="J26" s="104" t="s">
        <v>10</v>
      </c>
      <c r="K26" s="104" t="s">
        <v>6</v>
      </c>
      <c r="L26" s="104" t="s">
        <v>7</v>
      </c>
      <c r="M26" s="105" t="s">
        <v>20</v>
      </c>
      <c r="N26" s="103" t="s">
        <v>22</v>
      </c>
      <c r="O26" s="104" t="s">
        <v>23</v>
      </c>
      <c r="P26" s="104" t="s">
        <v>24</v>
      </c>
      <c r="Q26" s="104" t="s">
        <v>25</v>
      </c>
      <c r="R26" s="104" t="s">
        <v>26</v>
      </c>
      <c r="S26" s="104" t="s">
        <v>27</v>
      </c>
      <c r="T26" s="104" t="s">
        <v>28</v>
      </c>
      <c r="U26" s="104" t="s">
        <v>29</v>
      </c>
      <c r="V26" s="105" t="s">
        <v>30</v>
      </c>
      <c r="W26" s="913"/>
      <c r="X26" s="913"/>
      <c r="Y26" s="913"/>
      <c r="Z26" s="913"/>
      <c r="AA26" s="913"/>
      <c r="AB26" s="940"/>
      <c r="AC26" s="109" t="s">
        <v>9</v>
      </c>
      <c r="AD26" s="110" t="s">
        <v>5</v>
      </c>
      <c r="AE26" s="110" t="s">
        <v>8</v>
      </c>
      <c r="AF26" s="110" t="s">
        <v>4</v>
      </c>
      <c r="AG26" s="110" t="s">
        <v>10</v>
      </c>
      <c r="AH26" s="110" t="s">
        <v>6</v>
      </c>
      <c r="AI26" s="110" t="s">
        <v>7</v>
      </c>
      <c r="AJ26" s="111" t="s">
        <v>20</v>
      </c>
      <c r="AK26" s="106" t="s">
        <v>22</v>
      </c>
      <c r="AL26" s="107" t="s">
        <v>23</v>
      </c>
      <c r="AM26" s="107" t="s">
        <v>24</v>
      </c>
      <c r="AN26" s="107" t="s">
        <v>25</v>
      </c>
      <c r="AO26" s="107" t="s">
        <v>26</v>
      </c>
      <c r="AP26" s="107" t="s">
        <v>27</v>
      </c>
      <c r="AQ26" s="107" t="s">
        <v>28</v>
      </c>
      <c r="AR26" s="107" t="s">
        <v>29</v>
      </c>
      <c r="AS26" s="108" t="s">
        <v>30</v>
      </c>
      <c r="AT26" s="898"/>
      <c r="AU26" s="920"/>
      <c r="AV26" s="898"/>
      <c r="AW26" s="132" t="s">
        <v>9</v>
      </c>
      <c r="AX26" s="132" t="s">
        <v>5</v>
      </c>
      <c r="AY26" s="132" t="s">
        <v>8</v>
      </c>
      <c r="AZ26" s="132" t="s">
        <v>4</v>
      </c>
      <c r="BA26" s="132" t="s">
        <v>10</v>
      </c>
      <c r="BB26" s="132" t="s">
        <v>6</v>
      </c>
      <c r="BC26" s="132" t="s">
        <v>7</v>
      </c>
      <c r="BD26" s="132" t="s">
        <v>20</v>
      </c>
      <c r="BE26" s="131" t="s">
        <v>22</v>
      </c>
      <c r="BF26" s="131" t="s">
        <v>23</v>
      </c>
      <c r="BG26" s="131" t="s">
        <v>24</v>
      </c>
      <c r="BH26" s="131" t="s">
        <v>25</v>
      </c>
      <c r="BI26" s="131" t="s">
        <v>26</v>
      </c>
      <c r="BJ26" s="131" t="s">
        <v>27</v>
      </c>
      <c r="BK26" s="131" t="s">
        <v>28</v>
      </c>
      <c r="BL26" s="131" t="s">
        <v>29</v>
      </c>
      <c r="BM26" s="132" t="s">
        <v>30</v>
      </c>
    </row>
    <row r="27" spans="1:65" x14ac:dyDescent="0.25">
      <c r="A27" s="310">
        <v>143</v>
      </c>
      <c r="B27" s="369">
        <v>149.74924982111301</v>
      </c>
      <c r="C27" s="210" t="s">
        <v>9</v>
      </c>
      <c r="D27" s="287">
        <v>60</v>
      </c>
      <c r="E27" s="210" t="s">
        <v>21</v>
      </c>
      <c r="F27" s="114">
        <v>435.74900000000002</v>
      </c>
      <c r="G27" s="115">
        <v>14.296200000000001</v>
      </c>
      <c r="H27" s="115">
        <v>171.55500000000001</v>
      </c>
      <c r="I27" s="115">
        <v>4.3574900000000003</v>
      </c>
      <c r="J27" s="311">
        <v>2.70762E-3</v>
      </c>
      <c r="K27" s="115">
        <v>4357.49</v>
      </c>
      <c r="L27" s="115">
        <v>4.7654100000000001</v>
      </c>
      <c r="M27" s="117">
        <v>4357492</v>
      </c>
      <c r="N27" s="114">
        <v>1070707</v>
      </c>
      <c r="O27" s="115">
        <v>10707.1</v>
      </c>
      <c r="P27" s="115">
        <v>107.071</v>
      </c>
      <c r="Q27" s="115">
        <v>1.0707100000000001</v>
      </c>
      <c r="R27" s="115">
        <v>1659.6</v>
      </c>
      <c r="S27" s="115">
        <v>11.525</v>
      </c>
      <c r="T27" s="392">
        <v>1.0707100000000001E-2</v>
      </c>
      <c r="U27" s="345">
        <v>1.0707100000000001E-4</v>
      </c>
      <c r="V27" s="364">
        <v>2.64577E-4</v>
      </c>
      <c r="W27" s="142">
        <v>1</v>
      </c>
      <c r="X27" s="13">
        <v>143</v>
      </c>
      <c r="Y27" s="12">
        <v>149.74924999999999</v>
      </c>
      <c r="Z27" s="18" t="s">
        <v>9</v>
      </c>
      <c r="AA27" s="288">
        <v>60</v>
      </c>
      <c r="AB27" s="282" t="s">
        <v>21</v>
      </c>
      <c r="AC27" s="13">
        <f>2*X27+Y27</f>
        <v>435.74924999999996</v>
      </c>
      <c r="AD27" s="7">
        <v>14.296200000000001</v>
      </c>
      <c r="AE27" s="7">
        <v>171.55500000000001</v>
      </c>
      <c r="AF27" s="7">
        <v>4.3574900000000003</v>
      </c>
      <c r="AG27" s="301">
        <v>2.70762E-3</v>
      </c>
      <c r="AH27" s="7">
        <v>4357.49</v>
      </c>
      <c r="AI27" s="7">
        <v>4.7654100000000001</v>
      </c>
      <c r="AJ27" s="14">
        <v>4357490</v>
      </c>
      <c r="AK27" s="8">
        <v>1070710</v>
      </c>
      <c r="AL27" s="262">
        <f>AA35*(X27*X27)/2</f>
        <v>10707.075951000001</v>
      </c>
      <c r="AM27" s="7">
        <v>107.071</v>
      </c>
      <c r="AN27" s="7">
        <v>1.0707100000000001</v>
      </c>
      <c r="AO27" s="7">
        <v>1659.6</v>
      </c>
      <c r="AP27" s="7">
        <v>11.525</v>
      </c>
      <c r="AQ27" s="321">
        <v>1.0707100000000001E-2</v>
      </c>
      <c r="AR27" s="163">
        <v>1.0707100000000001E-4</v>
      </c>
      <c r="AS27" s="361">
        <v>2.6457800000000001E-4</v>
      </c>
      <c r="AT27" s="269" t="s">
        <v>9</v>
      </c>
      <c r="AU27" s="354">
        <f>(100*(B27-Y27))/Y27</f>
        <v>-1.1945767883272072E-7</v>
      </c>
      <c r="AV27" s="273" t="s">
        <v>21</v>
      </c>
      <c r="AW27" s="216">
        <f>(100*(F27-AC27))/AC27</f>
        <v>-5.7372445262325727E-5</v>
      </c>
      <c r="AX27" s="90">
        <f t="shared" ref="AX27:BD35" si="0">(100*(G27-AD27))/AD27</f>
        <v>0</v>
      </c>
      <c r="AY27" s="90">
        <f t="shared" si="0"/>
        <v>0</v>
      </c>
      <c r="AZ27" s="90">
        <f t="shared" si="0"/>
        <v>0</v>
      </c>
      <c r="BA27" s="90">
        <f t="shared" si="0"/>
        <v>0</v>
      </c>
      <c r="BB27" s="90">
        <f t="shared" si="0"/>
        <v>0</v>
      </c>
      <c r="BC27" s="90">
        <f t="shared" si="0"/>
        <v>0</v>
      </c>
      <c r="BD27" s="233">
        <f t="shared" si="0"/>
        <v>4.5897982554176833E-5</v>
      </c>
      <c r="BE27" s="138">
        <f>(100*(N27-AK27))/AK27</f>
        <v>-2.8018791269344642E-4</v>
      </c>
      <c r="BF27" s="93">
        <f>(100*(O27-AL27))/AL27</f>
        <v>2.2460847489742274E-4</v>
      </c>
      <c r="BG27" s="93">
        <f t="shared" ref="BG27:BM27" si="1">(100*(P27-AM27))/AM27</f>
        <v>0</v>
      </c>
      <c r="BH27" s="93">
        <f t="shared" si="1"/>
        <v>0</v>
      </c>
      <c r="BI27" s="93">
        <f t="shared" si="1"/>
        <v>0</v>
      </c>
      <c r="BJ27" s="93">
        <f t="shared" si="1"/>
        <v>0</v>
      </c>
      <c r="BK27" s="93">
        <f t="shared" si="1"/>
        <v>0</v>
      </c>
      <c r="BL27" s="93">
        <f t="shared" si="1"/>
        <v>0</v>
      </c>
      <c r="BM27" s="95">
        <f t="shared" si="1"/>
        <v>-3.7796037464027442E-4</v>
      </c>
    </row>
    <row r="28" spans="1:65" x14ac:dyDescent="0.25">
      <c r="A28" s="118">
        <v>55</v>
      </c>
      <c r="B28" s="1">
        <v>172.787595947439</v>
      </c>
      <c r="C28" s="211" t="s">
        <v>5</v>
      </c>
      <c r="D28" s="56">
        <v>180</v>
      </c>
      <c r="E28" s="211" t="s">
        <v>21</v>
      </c>
      <c r="F28" s="118">
        <v>8619.3700000000008</v>
      </c>
      <c r="G28" s="1">
        <v>282.78800000000001</v>
      </c>
      <c r="H28" s="1">
        <v>3393.45</v>
      </c>
      <c r="I28" s="1">
        <v>86.193700000000007</v>
      </c>
      <c r="J28" s="1">
        <v>5.3558300000000003E-2</v>
      </c>
      <c r="K28" s="1">
        <v>86193.7</v>
      </c>
      <c r="L28" s="1">
        <v>94.262500000000003</v>
      </c>
      <c r="M28" s="119">
        <v>86193659</v>
      </c>
      <c r="N28" s="118">
        <v>441443556</v>
      </c>
      <c r="O28" s="1">
        <v>4414436</v>
      </c>
      <c r="P28" s="1">
        <v>44144.4</v>
      </c>
      <c r="Q28" s="1">
        <v>441.44400000000002</v>
      </c>
      <c r="R28" s="1">
        <v>684239</v>
      </c>
      <c r="S28" s="1">
        <v>4751.66</v>
      </c>
      <c r="T28" s="1">
        <v>4.4144399999999999</v>
      </c>
      <c r="U28" s="78">
        <v>4.41444E-2</v>
      </c>
      <c r="V28" s="119">
        <v>0.109083</v>
      </c>
      <c r="W28" s="143">
        <v>2</v>
      </c>
      <c r="X28" s="15">
        <v>55</v>
      </c>
      <c r="Y28" s="34">
        <v>172.7876</v>
      </c>
      <c r="Z28" s="19" t="s">
        <v>5</v>
      </c>
      <c r="AA28" s="34">
        <v>180</v>
      </c>
      <c r="AB28" s="19" t="s">
        <v>21</v>
      </c>
      <c r="AC28" s="15">
        <v>8619.3799999999992</v>
      </c>
      <c r="AD28" s="2">
        <f>2*X28+Y28</f>
        <v>282.7876</v>
      </c>
      <c r="AE28" s="2">
        <v>3393.46</v>
      </c>
      <c r="AF28" s="2">
        <v>86.193799999999996</v>
      </c>
      <c r="AG28" s="2">
        <v>5.3558300000000003E-2</v>
      </c>
      <c r="AH28" s="2">
        <v>86193.8</v>
      </c>
      <c r="AI28" s="2">
        <v>94.262699999999995</v>
      </c>
      <c r="AJ28" s="16">
        <v>86193782</v>
      </c>
      <c r="AK28" s="15">
        <v>441443659</v>
      </c>
      <c r="AL28" s="2">
        <v>4414437</v>
      </c>
      <c r="AM28" s="2">
        <v>44144.4</v>
      </c>
      <c r="AN28" s="2">
        <v>441.44400000000002</v>
      </c>
      <c r="AO28" s="2">
        <v>684239</v>
      </c>
      <c r="AP28" s="2">
        <f>AA36*(X28*X28)/2</f>
        <v>4751.6588885545571</v>
      </c>
      <c r="AQ28" s="2">
        <v>4.4144399999999999</v>
      </c>
      <c r="AR28" s="342">
        <v>4.41444E-2</v>
      </c>
      <c r="AS28" s="42">
        <v>0.109083</v>
      </c>
      <c r="AT28" s="270" t="s">
        <v>5</v>
      </c>
      <c r="AU28" s="355">
        <f t="shared" ref="AU28:AU34" si="2">(100*(B28-Y28))/Y28</f>
        <v>-2.3454003621296103E-6</v>
      </c>
      <c r="AV28" s="274" t="s">
        <v>21</v>
      </c>
      <c r="AW28" s="217">
        <f t="shared" ref="AW28:AW34" si="3">(100*(F28-AC28))/AC28</f>
        <v>-1.1601762537907936E-4</v>
      </c>
      <c r="AX28" s="73">
        <f t="shared" si="0"/>
        <v>1.4144891784974965E-4</v>
      </c>
      <c r="AY28" s="73">
        <f t="shared" si="0"/>
        <v>-2.9468448133227674E-4</v>
      </c>
      <c r="AZ28" s="73">
        <f t="shared" si="0"/>
        <v>-1.160176253850147E-4</v>
      </c>
      <c r="BA28" s="73">
        <f t="shared" si="0"/>
        <v>0</v>
      </c>
      <c r="BB28" s="73">
        <f t="shared" si="0"/>
        <v>-1.1601762540440353E-4</v>
      </c>
      <c r="BC28" s="73">
        <f t="shared" si="0"/>
        <v>-2.1217300161403022E-4</v>
      </c>
      <c r="BD28" s="234">
        <f t="shared" si="0"/>
        <v>-1.4270170903975417E-4</v>
      </c>
      <c r="BE28" s="139">
        <f t="shared" ref="BE28:BE50" si="4">(100*(N28-AK28))/AK28</f>
        <v>-2.3332535851421076E-5</v>
      </c>
      <c r="BF28" s="80">
        <f t="shared" ref="BF28:BF34" si="5">(100*(O28-AL28))/AL28</f>
        <v>-2.2652945324624636E-5</v>
      </c>
      <c r="BG28" s="80">
        <f t="shared" ref="BG28:BG50" si="6">(100*(P28-AM28))/AM28</f>
        <v>0</v>
      </c>
      <c r="BH28" s="80">
        <f t="shared" ref="BH28:BH50" si="7">(100*(Q28-AN28))/AN28</f>
        <v>0</v>
      </c>
      <c r="BI28" s="80">
        <f t="shared" ref="BI28:BI34" si="8">(100*(R28-AO28))/AO28</f>
        <v>0</v>
      </c>
      <c r="BJ28" s="80">
        <f t="shared" ref="BJ28:BJ34" si="9">(100*(S28-AP28))/AP28</f>
        <v>2.3390682472592316E-5</v>
      </c>
      <c r="BK28" s="80">
        <f t="shared" ref="BK28:BK34" si="10">(100*(T28-AQ28))/AQ28</f>
        <v>0</v>
      </c>
      <c r="BL28" s="80">
        <f t="shared" ref="BL28:BL34" si="11">(100*(U28-AR28))/AR28</f>
        <v>0</v>
      </c>
      <c r="BM28" s="96">
        <f t="shared" ref="BM28:BM34" si="12">(100*(V28-AS28))/AS28</f>
        <v>0</v>
      </c>
    </row>
    <row r="29" spans="1:65" x14ac:dyDescent="0.25">
      <c r="A29" s="118">
        <v>6.4</v>
      </c>
      <c r="B29" s="1">
        <v>29.357275776585599</v>
      </c>
      <c r="C29" s="211" t="s">
        <v>8</v>
      </c>
      <c r="D29" s="1">
        <v>262.82</v>
      </c>
      <c r="E29" s="211" t="s">
        <v>21</v>
      </c>
      <c r="F29" s="118">
        <v>107.07899999999999</v>
      </c>
      <c r="G29" s="1">
        <v>3.5131100000000002</v>
      </c>
      <c r="H29" s="1">
        <v>42.157299999999999</v>
      </c>
      <c r="I29" s="1">
        <v>1.0707899999999999</v>
      </c>
      <c r="J29" s="1">
        <v>6.6536099999999995E-4</v>
      </c>
      <c r="K29" s="1">
        <v>1070.79</v>
      </c>
      <c r="L29" s="1">
        <v>1.1710400000000001</v>
      </c>
      <c r="M29" s="119">
        <v>1070795</v>
      </c>
      <c r="N29" s="118">
        <v>60608.4</v>
      </c>
      <c r="O29" s="1">
        <v>606.08399999999995</v>
      </c>
      <c r="P29" s="1">
        <v>6.0608399999999998</v>
      </c>
      <c r="Q29" s="1">
        <v>6.06084E-2</v>
      </c>
      <c r="R29" s="1">
        <v>93.943299999999994</v>
      </c>
      <c r="S29" s="1">
        <v>0.65238399999999996</v>
      </c>
      <c r="T29" s="316">
        <v>6.0608400000000001E-4</v>
      </c>
      <c r="U29" s="50">
        <v>6.0608448128070301E-6</v>
      </c>
      <c r="V29" s="398">
        <v>1.49766736948197E-5</v>
      </c>
      <c r="W29" s="143">
        <v>3</v>
      </c>
      <c r="X29" s="15">
        <v>6.4</v>
      </c>
      <c r="Y29" s="34">
        <v>29.357189999999999</v>
      </c>
      <c r="Z29" s="19" t="s">
        <v>8</v>
      </c>
      <c r="AA29" s="2">
        <v>262.82</v>
      </c>
      <c r="AB29" s="19" t="s">
        <v>21</v>
      </c>
      <c r="AC29" s="15">
        <v>107.07899999999999</v>
      </c>
      <c r="AD29" s="2">
        <v>3.5131000000000001</v>
      </c>
      <c r="AE29" s="2">
        <f>2*X29+Y29</f>
        <v>42.15719</v>
      </c>
      <c r="AF29" s="2">
        <v>1.0707899999999999</v>
      </c>
      <c r="AG29" s="2">
        <v>6.6536000000000004E-4</v>
      </c>
      <c r="AH29" s="2">
        <v>1070.79</v>
      </c>
      <c r="AI29" s="2">
        <v>1.17103</v>
      </c>
      <c r="AJ29" s="16">
        <v>1070793</v>
      </c>
      <c r="AK29" s="27">
        <v>60608.5</v>
      </c>
      <c r="AL29" s="26">
        <v>606.08500000000004</v>
      </c>
      <c r="AM29" s="2">
        <v>6.0608500000000003</v>
      </c>
      <c r="AN29" s="2">
        <v>6.0608500000000003E-2</v>
      </c>
      <c r="AO29" s="2">
        <f>AA37*(X29*X29)/2</f>
        <v>93.943282485073937</v>
      </c>
      <c r="AP29" s="2">
        <v>0.65238399999999996</v>
      </c>
      <c r="AQ29" s="302">
        <v>6.0608500000000002E-4</v>
      </c>
      <c r="AR29" s="25">
        <v>6.0608459428000002E-6</v>
      </c>
      <c r="AS29" s="344">
        <v>1.4976676487093201E-5</v>
      </c>
      <c r="AT29" s="270" t="s">
        <v>8</v>
      </c>
      <c r="AU29" s="355">
        <f t="shared" si="2"/>
        <v>2.9218254744312121E-4</v>
      </c>
      <c r="AV29" s="274" t="s">
        <v>21</v>
      </c>
      <c r="AW29" s="217">
        <f t="shared" si="3"/>
        <v>0</v>
      </c>
      <c r="AX29" s="73">
        <f t="shared" si="0"/>
        <v>2.8464888560147765E-4</v>
      </c>
      <c r="AY29" s="73">
        <f t="shared" si="0"/>
        <v>2.6092820702563042E-4</v>
      </c>
      <c r="AZ29" s="73">
        <f t="shared" si="0"/>
        <v>0</v>
      </c>
      <c r="BA29" s="73">
        <f t="shared" si="0"/>
        <v>1.5029457735771988E-4</v>
      </c>
      <c r="BB29" s="73">
        <f t="shared" si="0"/>
        <v>0</v>
      </c>
      <c r="BC29" s="73">
        <f t="shared" si="0"/>
        <v>8.5394908756099438E-4</v>
      </c>
      <c r="BD29" s="234">
        <f t="shared" si="0"/>
        <v>1.8677746305775252E-4</v>
      </c>
      <c r="BE29" s="139">
        <f t="shared" si="4"/>
        <v>-1.6499335901489859E-4</v>
      </c>
      <c r="BF29" s="80">
        <f t="shared" si="5"/>
        <v>-1.6499335903215554E-4</v>
      </c>
      <c r="BG29" s="80">
        <f t="shared" si="6"/>
        <v>-1.6499335902570763E-4</v>
      </c>
      <c r="BH29" s="80">
        <f t="shared" si="7"/>
        <v>-1.6499335902204405E-4</v>
      </c>
      <c r="BI29" s="80">
        <f t="shared" si="8"/>
        <v>1.8644149526969592E-5</v>
      </c>
      <c r="BJ29" s="80">
        <f t="shared" si="9"/>
        <v>0</v>
      </c>
      <c r="BK29" s="80">
        <f t="shared" si="10"/>
        <v>-1.6499335901989741E-4</v>
      </c>
      <c r="BL29" s="80">
        <f t="shared" si="11"/>
        <v>-1.8644146061295193E-5</v>
      </c>
      <c r="BM29" s="96">
        <f t="shared" si="12"/>
        <v>-1.8644146472545945E-5</v>
      </c>
    </row>
    <row r="30" spans="1:65" x14ac:dyDescent="0.25">
      <c r="A30" s="1">
        <v>10.4</v>
      </c>
      <c r="B30" s="1">
        <v>16.128266477097199</v>
      </c>
      <c r="C30" s="211" t="s">
        <v>4</v>
      </c>
      <c r="D30" s="1">
        <v>88.853999999999999</v>
      </c>
      <c r="E30" s="211" t="s">
        <v>21</v>
      </c>
      <c r="F30" s="118">
        <v>3692.83</v>
      </c>
      <c r="G30" s="1">
        <v>121.15600000000001</v>
      </c>
      <c r="H30" s="1">
        <v>1453.87</v>
      </c>
      <c r="I30" s="1">
        <v>36.9283</v>
      </c>
      <c r="J30" s="1">
        <v>2.29462E-2</v>
      </c>
      <c r="K30" s="1">
        <v>36928.300000000003</v>
      </c>
      <c r="L30" s="1">
        <v>40.385199999999998</v>
      </c>
      <c r="M30" s="119">
        <v>36928266</v>
      </c>
      <c r="N30" s="118">
        <v>83866986</v>
      </c>
      <c r="O30" s="1">
        <v>838670</v>
      </c>
      <c r="P30" s="1">
        <v>8386.7000000000007</v>
      </c>
      <c r="Q30" s="1">
        <v>83.867000000000004</v>
      </c>
      <c r="R30" s="1">
        <v>129994</v>
      </c>
      <c r="S30" s="1">
        <v>902.73699999999997</v>
      </c>
      <c r="T30" s="1">
        <v>0.83867000000000003</v>
      </c>
      <c r="U30" s="1">
        <v>8.3867000000000004E-3</v>
      </c>
      <c r="V30" s="119">
        <v>2.0723999999999999E-2</v>
      </c>
      <c r="W30" s="143">
        <v>4</v>
      </c>
      <c r="X30" s="2">
        <v>10.4</v>
      </c>
      <c r="Y30" s="2">
        <v>16.128260000000001</v>
      </c>
      <c r="Z30" s="19" t="s">
        <v>4</v>
      </c>
      <c r="AA30" s="2">
        <v>88.853999999999999</v>
      </c>
      <c r="AB30" s="19" t="s">
        <v>21</v>
      </c>
      <c r="AC30" s="15">
        <v>3692.83</v>
      </c>
      <c r="AD30" s="2">
        <v>121.15600000000001</v>
      </c>
      <c r="AE30" s="2">
        <v>1453.87</v>
      </c>
      <c r="AF30" s="2">
        <f>2*X30+Y30</f>
        <v>36.928260000000002</v>
      </c>
      <c r="AG30" s="2">
        <v>2.29462E-2</v>
      </c>
      <c r="AH30" s="2">
        <v>36928.300000000003</v>
      </c>
      <c r="AI30" s="2">
        <v>40.385300000000001</v>
      </c>
      <c r="AJ30" s="16">
        <v>36928300</v>
      </c>
      <c r="AK30" s="15">
        <v>83867000</v>
      </c>
      <c r="AL30" s="2">
        <v>838670</v>
      </c>
      <c r="AM30" s="2">
        <v>8386.7000000000007</v>
      </c>
      <c r="AN30" s="2">
        <f>AA38*(X30*X30)/2</f>
        <v>83.866985680905529</v>
      </c>
      <c r="AO30" s="2">
        <v>129994</v>
      </c>
      <c r="AP30" s="2">
        <v>902.73699999999997</v>
      </c>
      <c r="AQ30" s="2">
        <v>0.83867000000000003</v>
      </c>
      <c r="AR30" s="2">
        <v>8.3867000000000004E-3</v>
      </c>
      <c r="AS30" s="42">
        <v>2.0723999999999999E-2</v>
      </c>
      <c r="AT30" s="270" t="s">
        <v>4</v>
      </c>
      <c r="AU30" s="355">
        <f t="shared" si="2"/>
        <v>4.0159925485719819E-5</v>
      </c>
      <c r="AV30" s="274" t="s">
        <v>21</v>
      </c>
      <c r="AW30" s="217">
        <f t="shared" si="3"/>
        <v>0</v>
      </c>
      <c r="AX30" s="73">
        <f t="shared" si="0"/>
        <v>0</v>
      </c>
      <c r="AY30" s="73">
        <f t="shared" si="0"/>
        <v>0</v>
      </c>
      <c r="AZ30" s="73">
        <f t="shared" si="0"/>
        <v>1.0831812817198994E-4</v>
      </c>
      <c r="BA30" s="73">
        <f t="shared" si="0"/>
        <v>0</v>
      </c>
      <c r="BB30" s="73">
        <f t="shared" si="0"/>
        <v>0</v>
      </c>
      <c r="BC30" s="73">
        <f t="shared" si="0"/>
        <v>-2.4761484996600161E-4</v>
      </c>
      <c r="BD30" s="234">
        <f t="shared" si="0"/>
        <v>-9.2070309220841469E-5</v>
      </c>
      <c r="BE30" s="139">
        <f t="shared" si="4"/>
        <v>-1.6693097404223353E-5</v>
      </c>
      <c r="BF30" s="80">
        <f t="shared" si="5"/>
        <v>0</v>
      </c>
      <c r="BG30" s="80">
        <f t="shared" si="6"/>
        <v>0</v>
      </c>
      <c r="BH30" s="80">
        <f t="shared" si="7"/>
        <v>1.7073577116445684E-5</v>
      </c>
      <c r="BI30" s="80">
        <f t="shared" si="8"/>
        <v>0</v>
      </c>
      <c r="BJ30" s="80">
        <f t="shared" si="9"/>
        <v>0</v>
      </c>
      <c r="BK30" s="80">
        <f t="shared" si="10"/>
        <v>0</v>
      </c>
      <c r="BL30" s="80">
        <f t="shared" si="11"/>
        <v>0</v>
      </c>
      <c r="BM30" s="96">
        <f t="shared" si="12"/>
        <v>0</v>
      </c>
    </row>
    <row r="31" spans="1:65" x14ac:dyDescent="0.25">
      <c r="A31" s="118">
        <v>720</v>
      </c>
      <c r="B31" s="1">
        <v>1779.6959019768201</v>
      </c>
      <c r="C31" s="211" t="s">
        <v>10</v>
      </c>
      <c r="D31" s="1">
        <v>141.62370000000001</v>
      </c>
      <c r="E31" s="211" t="s">
        <v>21</v>
      </c>
      <c r="F31" s="120">
        <v>518159828</v>
      </c>
      <c r="G31" s="1">
        <v>16999994</v>
      </c>
      <c r="H31" s="1">
        <v>203999932</v>
      </c>
      <c r="I31" s="1">
        <v>5181598</v>
      </c>
      <c r="J31" s="1">
        <v>3219.7</v>
      </c>
      <c r="K31" s="1">
        <v>5181598282</v>
      </c>
      <c r="L31" s="1">
        <v>5666665</v>
      </c>
      <c r="M31" s="164">
        <v>5181598281671</v>
      </c>
      <c r="N31" s="120">
        <v>1.6593808414081101E+18</v>
      </c>
      <c r="O31" s="59">
        <v>1.65938084140811E+16</v>
      </c>
      <c r="P31" s="59">
        <v>165938084140811</v>
      </c>
      <c r="Q31" s="59">
        <v>1659380841408</v>
      </c>
      <c r="R31" s="59">
        <v>2572045448273460</v>
      </c>
      <c r="S31" s="59">
        <v>17861426724121</v>
      </c>
      <c r="T31" s="1">
        <v>16593808414</v>
      </c>
      <c r="U31" s="1">
        <v>165938084</v>
      </c>
      <c r="V31" s="119">
        <v>410041936</v>
      </c>
      <c r="W31" s="143">
        <v>5</v>
      </c>
      <c r="X31" s="15">
        <v>720</v>
      </c>
      <c r="Y31" s="34">
        <v>1779.69615</v>
      </c>
      <c r="Z31" s="19" t="s">
        <v>10</v>
      </c>
      <c r="AA31" s="2">
        <v>141.62370000000001</v>
      </c>
      <c r="AB31" s="19" t="s">
        <v>21</v>
      </c>
      <c r="AC31" s="15">
        <v>518160488</v>
      </c>
      <c r="AD31" s="2">
        <v>17000016</v>
      </c>
      <c r="AE31" s="2">
        <v>204000192</v>
      </c>
      <c r="AF31" s="2">
        <v>5181605</v>
      </c>
      <c r="AG31" s="2">
        <f>2*X31+Y31</f>
        <v>3219.6961499999998</v>
      </c>
      <c r="AH31" s="2">
        <v>5181604877</v>
      </c>
      <c r="AI31" s="2">
        <v>5666672</v>
      </c>
      <c r="AJ31" s="185">
        <v>5181604876800</v>
      </c>
      <c r="AK31" s="28">
        <v>1.659380841408E+18</v>
      </c>
      <c r="AL31" s="29">
        <v>1.659380841408E+16</v>
      </c>
      <c r="AM31" s="29">
        <v>165938084140800</v>
      </c>
      <c r="AN31" s="396">
        <f>AA39*(X31*X31)/2*1609.344*1609.344</f>
        <v>1659380841408.1172</v>
      </c>
      <c r="AO31" s="29">
        <v>2572045448273300</v>
      </c>
      <c r="AP31" s="29">
        <v>17861426724120</v>
      </c>
      <c r="AQ31" s="2">
        <v>16593808414</v>
      </c>
      <c r="AR31" s="2">
        <v>165938084</v>
      </c>
      <c r="AS31" s="42">
        <v>410041936</v>
      </c>
      <c r="AT31" s="270" t="s">
        <v>10</v>
      </c>
      <c r="AU31" s="355">
        <f t="shared" si="2"/>
        <v>-1.3936265462657654E-5</v>
      </c>
      <c r="AV31" s="274" t="s">
        <v>21</v>
      </c>
      <c r="AW31" s="217">
        <f t="shared" si="3"/>
        <v>-1.2737366419957518E-4</v>
      </c>
      <c r="AX31" s="73">
        <f t="shared" si="0"/>
        <v>-1.2941164290668902E-4</v>
      </c>
      <c r="AY31" s="73">
        <f t="shared" si="0"/>
        <v>-1.2745086043840586E-4</v>
      </c>
      <c r="AZ31" s="73">
        <f t="shared" si="0"/>
        <v>-1.3509327708306597E-4</v>
      </c>
      <c r="BA31" s="73">
        <f t="shared" si="0"/>
        <v>1.1957650103276834E-4</v>
      </c>
      <c r="BB31" s="73">
        <f t="shared" si="0"/>
        <v>-1.2727716907311379E-4</v>
      </c>
      <c r="BC31" s="73">
        <f t="shared" si="0"/>
        <v>-1.2352929550183954E-4</v>
      </c>
      <c r="BD31" s="234">
        <f t="shared" si="0"/>
        <v>-1.272796586541919E-4</v>
      </c>
      <c r="BE31" s="139">
        <f t="shared" si="4"/>
        <v>6.6337996229121283E-12</v>
      </c>
      <c r="BF31" s="80">
        <f t="shared" si="5"/>
        <v>6.6289785476047788E-12</v>
      </c>
      <c r="BG31" s="80">
        <f t="shared" si="6"/>
        <v>6.6289785476047788E-12</v>
      </c>
      <c r="BH31" s="80">
        <f t="shared" si="7"/>
        <v>-7.0621220322489106E-12</v>
      </c>
      <c r="BI31" s="80">
        <f t="shared" si="8"/>
        <v>6.2207298905784631E-12</v>
      </c>
      <c r="BJ31" s="80">
        <f t="shared" si="9"/>
        <v>5.5986569015206606E-12</v>
      </c>
      <c r="BK31" s="80">
        <f t="shared" si="10"/>
        <v>0</v>
      </c>
      <c r="BL31" s="80">
        <f t="shared" si="11"/>
        <v>0</v>
      </c>
      <c r="BM31" s="96">
        <f t="shared" si="12"/>
        <v>0</v>
      </c>
    </row>
    <row r="32" spans="1:65" x14ac:dyDescent="0.25">
      <c r="A32" s="118">
        <v>41</v>
      </c>
      <c r="B32" s="1">
        <v>100.15907190318801</v>
      </c>
      <c r="C32" s="211" t="s">
        <v>6</v>
      </c>
      <c r="D32" s="1">
        <v>139.96809999999999</v>
      </c>
      <c r="E32" s="211" t="s">
        <v>21</v>
      </c>
      <c r="F32" s="118">
        <v>18.215900000000001</v>
      </c>
      <c r="G32" s="1">
        <v>0.59763500000000003</v>
      </c>
      <c r="H32" s="1">
        <v>7.1716199999999999</v>
      </c>
      <c r="I32" s="1">
        <v>0.18215899999999999</v>
      </c>
      <c r="J32" s="316">
        <v>1.13188E-4</v>
      </c>
      <c r="K32" s="1">
        <v>182.15899999999999</v>
      </c>
      <c r="L32" s="1">
        <v>0.199212</v>
      </c>
      <c r="M32" s="119">
        <v>182159</v>
      </c>
      <c r="N32" s="374">
        <v>2053.2600000000002</v>
      </c>
      <c r="O32" s="347">
        <v>20.532599999999999</v>
      </c>
      <c r="P32" s="315">
        <v>0.20532600000000001</v>
      </c>
      <c r="Q32" s="326">
        <v>2.0532599999999999E-3</v>
      </c>
      <c r="R32" s="348">
        <v>3.1825600000000001</v>
      </c>
      <c r="S32" s="78">
        <v>2.2101099999999999E-2</v>
      </c>
      <c r="T32" s="49">
        <v>2.0532609740153498E-5</v>
      </c>
      <c r="U32" s="58">
        <v>2.0532609740153499E-7</v>
      </c>
      <c r="V32" s="388">
        <v>5.0737183623570599E-7</v>
      </c>
      <c r="W32" s="143">
        <v>6</v>
      </c>
      <c r="X32" s="15">
        <v>41</v>
      </c>
      <c r="Y32" s="34">
        <v>100.16095</v>
      </c>
      <c r="Z32" s="19" t="s">
        <v>6</v>
      </c>
      <c r="AA32" s="2">
        <v>139.96809999999999</v>
      </c>
      <c r="AB32" s="19" t="s">
        <v>21</v>
      </c>
      <c r="AC32" s="15">
        <v>18.216100000000001</v>
      </c>
      <c r="AD32" s="2">
        <v>0.59764099999999998</v>
      </c>
      <c r="AE32" s="2">
        <v>7.1716899999999999</v>
      </c>
      <c r="AF32" s="2">
        <v>0.18216099999999999</v>
      </c>
      <c r="AG32" s="309">
        <v>1.1319000000000001E-4</v>
      </c>
      <c r="AH32" s="2">
        <f>2*X32+Y32</f>
        <v>182.16095000000001</v>
      </c>
      <c r="AI32" s="2">
        <v>0.199214</v>
      </c>
      <c r="AJ32" s="16">
        <v>182161</v>
      </c>
      <c r="AK32" s="15">
        <f>AA40*(X32*X32)/2</f>
        <v>2053.260974015343</v>
      </c>
      <c r="AL32" s="2">
        <v>20.532599999999999</v>
      </c>
      <c r="AM32" s="2">
        <v>0.20532600000000001</v>
      </c>
      <c r="AN32" s="23">
        <v>2.0532599999999999E-3</v>
      </c>
      <c r="AO32" s="2">
        <v>3.1825600000000001</v>
      </c>
      <c r="AP32" s="342">
        <v>2.2101099999999999E-2</v>
      </c>
      <c r="AQ32" s="323">
        <v>2.0532600000000001E-5</v>
      </c>
      <c r="AR32" s="360">
        <v>2.05326E-7</v>
      </c>
      <c r="AS32" s="385">
        <v>5.07371595551272E-7</v>
      </c>
      <c r="AT32" s="270" t="s">
        <v>6</v>
      </c>
      <c r="AU32" s="355">
        <f t="shared" si="2"/>
        <v>-1.8750788725473261E-3</v>
      </c>
      <c r="AV32" s="274" t="s">
        <v>21</v>
      </c>
      <c r="AW32" s="217">
        <f t="shared" si="3"/>
        <v>-1.0979298532591162E-3</v>
      </c>
      <c r="AX32" s="73">
        <f t="shared" si="0"/>
        <v>-1.0039471856767674E-3</v>
      </c>
      <c r="AY32" s="73">
        <f t="shared" si="0"/>
        <v>-9.7606003605864864E-4</v>
      </c>
      <c r="AZ32" s="73">
        <f t="shared" si="0"/>
        <v>-1.0979298532627732E-3</v>
      </c>
      <c r="BA32" s="73">
        <f t="shared" si="0"/>
        <v>-1.7669405424546208E-3</v>
      </c>
      <c r="BB32" s="73">
        <f t="shared" si="0"/>
        <v>-1.0704819007707747E-3</v>
      </c>
      <c r="BC32" s="73">
        <f t="shared" si="0"/>
        <v>-1.0039455058389471E-3</v>
      </c>
      <c r="BD32" s="234">
        <f t="shared" si="0"/>
        <v>-1.0979298532616752E-3</v>
      </c>
      <c r="BE32" s="139">
        <f t="shared" si="4"/>
        <v>-4.7437483841038029E-5</v>
      </c>
      <c r="BF32" s="80">
        <f t="shared" si="5"/>
        <v>0</v>
      </c>
      <c r="BG32" s="80">
        <f t="shared" si="6"/>
        <v>0</v>
      </c>
      <c r="BH32" s="80">
        <f t="shared" si="7"/>
        <v>0</v>
      </c>
      <c r="BI32" s="80">
        <f t="shared" si="8"/>
        <v>0</v>
      </c>
      <c r="BJ32" s="80">
        <f t="shared" si="9"/>
        <v>0</v>
      </c>
      <c r="BK32" s="80">
        <f t="shared" si="10"/>
        <v>4.7437506685936297E-5</v>
      </c>
      <c r="BL32" s="80">
        <f t="shared" si="11"/>
        <v>4.7437506695218247E-5</v>
      </c>
      <c r="BM32" s="96">
        <f t="shared" si="12"/>
        <v>4.7437506572210923E-5</v>
      </c>
    </row>
    <row r="33" spans="1:65" x14ac:dyDescent="0.25">
      <c r="A33" s="118">
        <v>621.6</v>
      </c>
      <c r="B33" s="1">
        <v>3745.18153454923</v>
      </c>
      <c r="C33" s="211" t="s">
        <v>7</v>
      </c>
      <c r="D33" s="1">
        <v>345.21089999999998</v>
      </c>
      <c r="E33" s="211" t="s">
        <v>21</v>
      </c>
      <c r="F33" s="118">
        <v>456138</v>
      </c>
      <c r="G33" s="1">
        <v>14965.1</v>
      </c>
      <c r="H33" s="1">
        <v>179582</v>
      </c>
      <c r="I33" s="1">
        <v>4561.38</v>
      </c>
      <c r="J33" s="1">
        <v>2.8343099999999999</v>
      </c>
      <c r="K33" s="1">
        <v>4561376</v>
      </c>
      <c r="L33" s="1">
        <v>4988.38</v>
      </c>
      <c r="M33" s="119">
        <v>4561376075</v>
      </c>
      <c r="N33" s="120">
        <v>973254271252</v>
      </c>
      <c r="O33" s="1">
        <v>9732542713</v>
      </c>
      <c r="P33" s="1">
        <v>97325427</v>
      </c>
      <c r="Q33" s="1">
        <v>973254</v>
      </c>
      <c r="R33" s="1">
        <v>1508547138</v>
      </c>
      <c r="S33" s="1">
        <v>10476022</v>
      </c>
      <c r="T33" s="1">
        <v>9732.5400000000009</v>
      </c>
      <c r="U33" s="1">
        <v>97.325400000000002</v>
      </c>
      <c r="V33" s="119">
        <v>240.49600000000001</v>
      </c>
      <c r="W33" s="143">
        <v>7</v>
      </c>
      <c r="X33" s="15">
        <v>621.6</v>
      </c>
      <c r="Y33" s="34">
        <v>3745.1816100000001</v>
      </c>
      <c r="Z33" s="19" t="s">
        <v>7</v>
      </c>
      <c r="AA33" s="2">
        <v>345.21089999999998</v>
      </c>
      <c r="AB33" s="19" t="s">
        <v>21</v>
      </c>
      <c r="AC33" s="15">
        <v>456137</v>
      </c>
      <c r="AD33" s="2">
        <v>14965.1</v>
      </c>
      <c r="AE33" s="2">
        <v>179582</v>
      </c>
      <c r="AF33" s="2">
        <v>4561.37</v>
      </c>
      <c r="AG33" s="2">
        <v>2.8343099999999999</v>
      </c>
      <c r="AH33" s="2">
        <v>4561375</v>
      </c>
      <c r="AI33" s="2">
        <f>2*X33+Y33</f>
        <v>4988.3816100000004</v>
      </c>
      <c r="AJ33" s="16">
        <v>4561374672</v>
      </c>
      <c r="AK33" s="28">
        <v>973254000000</v>
      </c>
      <c r="AL33" s="2">
        <v>9732540000</v>
      </c>
      <c r="AM33" s="2">
        <v>97325400</v>
      </c>
      <c r="AN33" s="2">
        <f>AA41*(X33*X33)/2*0.9144*0.9144</f>
        <v>973254.27125241538</v>
      </c>
      <c r="AO33" s="2">
        <v>1508546717</v>
      </c>
      <c r="AP33" s="2">
        <v>10476019</v>
      </c>
      <c r="AQ33" s="2">
        <v>9732.5400000000009</v>
      </c>
      <c r="AR33" s="2">
        <v>97.325400000000002</v>
      </c>
      <c r="AS33" s="42">
        <v>240.49600000000001</v>
      </c>
      <c r="AT33" s="270" t="s">
        <v>7</v>
      </c>
      <c r="AU33" s="355">
        <f t="shared" si="2"/>
        <v>-2.0146091141061019E-6</v>
      </c>
      <c r="AV33" s="274" t="s">
        <v>21</v>
      </c>
      <c r="AW33" s="217">
        <f t="shared" si="3"/>
        <v>2.192323797455589E-4</v>
      </c>
      <c r="AX33" s="73">
        <f t="shared" si="0"/>
        <v>0</v>
      </c>
      <c r="AY33" s="73">
        <f t="shared" si="0"/>
        <v>0</v>
      </c>
      <c r="AZ33" s="73">
        <f t="shared" si="0"/>
        <v>2.1923237975034429E-4</v>
      </c>
      <c r="BA33" s="73">
        <f t="shared" si="0"/>
        <v>0</v>
      </c>
      <c r="BB33" s="73">
        <f t="shared" si="0"/>
        <v>2.1923213943164068E-5</v>
      </c>
      <c r="BC33" s="73">
        <f t="shared" si="0"/>
        <v>-3.2274996704898055E-5</v>
      </c>
      <c r="BD33" s="234">
        <f t="shared" si="0"/>
        <v>3.0758271374029326E-5</v>
      </c>
      <c r="BE33" s="139">
        <f t="shared" si="4"/>
        <v>2.7870627811444906E-5</v>
      </c>
      <c r="BF33" s="80">
        <f t="shared" si="5"/>
        <v>2.7875559720278572E-5</v>
      </c>
      <c r="BG33" s="80">
        <f t="shared" si="6"/>
        <v>2.7741987189366803E-5</v>
      </c>
      <c r="BH33" s="80">
        <f t="shared" si="7"/>
        <v>-2.7870662722777222E-5</v>
      </c>
      <c r="BI33" s="80">
        <f t="shared" si="8"/>
        <v>2.7907654118742152E-5</v>
      </c>
      <c r="BJ33" s="80">
        <f t="shared" si="9"/>
        <v>2.8636832369242554E-5</v>
      </c>
      <c r="BK33" s="80">
        <f t="shared" si="10"/>
        <v>0</v>
      </c>
      <c r="BL33" s="80">
        <f t="shared" si="11"/>
        <v>0</v>
      </c>
      <c r="BM33" s="96">
        <f t="shared" si="12"/>
        <v>0</v>
      </c>
    </row>
    <row r="34" spans="1:65" ht="15.75" thickBot="1" x14ac:dyDescent="0.3">
      <c r="A34" s="121">
        <v>98.56</v>
      </c>
      <c r="B34" s="55">
        <v>53.186239857408701</v>
      </c>
      <c r="C34" s="212" t="s">
        <v>20</v>
      </c>
      <c r="D34" s="55">
        <v>30.918700000000001</v>
      </c>
      <c r="E34" s="212" t="s">
        <v>21</v>
      </c>
      <c r="F34" s="121">
        <v>2.50306E-2</v>
      </c>
      <c r="G34" s="329">
        <v>8.2121500000000003E-4</v>
      </c>
      <c r="H34" s="55">
        <v>9.8545799999999999E-3</v>
      </c>
      <c r="I34" s="329">
        <v>2.50306E-4</v>
      </c>
      <c r="J34" s="353">
        <v>1.55533086684642E-7</v>
      </c>
      <c r="K34" s="351">
        <v>0.25030599999999997</v>
      </c>
      <c r="L34" s="329">
        <v>2.7373799999999999E-4</v>
      </c>
      <c r="M34" s="122">
        <v>250.30600000000001</v>
      </c>
      <c r="N34" s="352">
        <v>2.6210199999999999E-3</v>
      </c>
      <c r="O34" s="376">
        <v>2.6210179001731001E-5</v>
      </c>
      <c r="P34" s="333">
        <v>2.6210179001731E-7</v>
      </c>
      <c r="Q34" s="67">
        <v>2.6210179001730998E-9</v>
      </c>
      <c r="R34" s="333">
        <v>4.0625858704400502E-6</v>
      </c>
      <c r="S34" s="67">
        <v>2.82124018780559E-8</v>
      </c>
      <c r="T34" s="68">
        <v>2.6210179001731001E-11</v>
      </c>
      <c r="U34" s="71">
        <v>2.6210179001731001E-13</v>
      </c>
      <c r="V34" s="377">
        <v>6.4766762805454298E-13</v>
      </c>
      <c r="W34" s="144">
        <v>8</v>
      </c>
      <c r="X34" s="17">
        <v>98.56</v>
      </c>
      <c r="Y34" s="281">
        <v>53.187980000000003</v>
      </c>
      <c r="Z34" s="20" t="s">
        <v>20</v>
      </c>
      <c r="AA34" s="9">
        <v>30.918700000000001</v>
      </c>
      <c r="AB34" s="20" t="s">
        <v>21</v>
      </c>
      <c r="AC34" s="17">
        <v>2.5030799999999999E-2</v>
      </c>
      <c r="AD34" s="357">
        <v>8.2122E-4</v>
      </c>
      <c r="AE34" s="9">
        <v>9.8546499999999995E-3</v>
      </c>
      <c r="AF34" s="318">
        <v>2.5030799999999998E-4</v>
      </c>
      <c r="AG34" s="320">
        <v>1.55534180386543E-7</v>
      </c>
      <c r="AH34" s="9">
        <v>0.25030799999999997</v>
      </c>
      <c r="AI34" s="357">
        <v>2.7374000000000002E-4</v>
      </c>
      <c r="AJ34" s="10">
        <f>2*X34+Y34</f>
        <v>250.30798000000001</v>
      </c>
      <c r="AK34" s="17">
        <f>AA42*(X34*X34)/2/1000/1000</f>
        <v>2.6210179001731021E-3</v>
      </c>
      <c r="AL34" s="37">
        <v>2.6210199999999999E-5</v>
      </c>
      <c r="AM34" s="189">
        <v>2.62102E-7</v>
      </c>
      <c r="AN34" s="190">
        <v>2.6210200000000001E-9</v>
      </c>
      <c r="AO34" s="203">
        <v>4.0625891251782497E-6</v>
      </c>
      <c r="AP34" s="206">
        <v>2.8212424480404501E-8</v>
      </c>
      <c r="AQ34" s="191">
        <v>2.6210200000000002E-11</v>
      </c>
      <c r="AR34" s="192">
        <v>2.6210200000000001E-13</v>
      </c>
      <c r="AS34" s="397">
        <v>6.4766814693307E-13</v>
      </c>
      <c r="AT34" s="271" t="s">
        <v>20</v>
      </c>
      <c r="AU34" s="356">
        <f t="shared" si="2"/>
        <v>-3.2716839242666741E-3</v>
      </c>
      <c r="AV34" s="275" t="s">
        <v>21</v>
      </c>
      <c r="AW34" s="218">
        <f t="shared" si="3"/>
        <v>-7.990156127603283E-4</v>
      </c>
      <c r="AX34" s="97">
        <f t="shared" si="0"/>
        <v>-6.0885024718958453E-4</v>
      </c>
      <c r="AY34" s="97">
        <f t="shared" si="0"/>
        <v>-7.1032456758570101E-4</v>
      </c>
      <c r="AZ34" s="97">
        <f t="shared" si="0"/>
        <v>-7.990156127559968E-4</v>
      </c>
      <c r="BA34" s="97">
        <f t="shared" si="0"/>
        <v>-7.0319070591096566E-4</v>
      </c>
      <c r="BB34" s="97">
        <f t="shared" si="0"/>
        <v>-7.9901561276587258E-4</v>
      </c>
      <c r="BC34" s="97">
        <f t="shared" si="0"/>
        <v>-7.3062029664334419E-4</v>
      </c>
      <c r="BD34" s="235">
        <f t="shared" si="0"/>
        <v>-7.9102551984287566E-4</v>
      </c>
      <c r="BE34" s="140">
        <f t="shared" si="4"/>
        <v>8.0114939227463286E-5</v>
      </c>
      <c r="BF34" s="100">
        <f t="shared" si="5"/>
        <v>-8.0114875115352673E-5</v>
      </c>
      <c r="BG34" s="100">
        <f t="shared" si="6"/>
        <v>-8.0114875125855665E-5</v>
      </c>
      <c r="BH34" s="100">
        <f t="shared" si="7"/>
        <v>-8.0114875136585892E-5</v>
      </c>
      <c r="BI34" s="100">
        <f t="shared" si="8"/>
        <v>-8.0114875003321547E-5</v>
      </c>
      <c r="BJ34" s="100">
        <f t="shared" si="9"/>
        <v>-8.0114874979865796E-5</v>
      </c>
      <c r="BK34" s="100">
        <f t="shared" si="10"/>
        <v>-8.0114875128696017E-5</v>
      </c>
      <c r="BL34" s="100">
        <f t="shared" si="11"/>
        <v>-8.0114875122532056E-5</v>
      </c>
      <c r="BM34" s="102">
        <f t="shared" si="12"/>
        <v>-8.0114875106687851E-5</v>
      </c>
    </row>
    <row r="35" spans="1:65" x14ac:dyDescent="0.25">
      <c r="A35" s="310">
        <v>143</v>
      </c>
      <c r="B35" s="369">
        <v>149.74924982111301</v>
      </c>
      <c r="C35" s="210" t="s">
        <v>9</v>
      </c>
      <c r="D35" s="390">
        <v>1.0471980000000001</v>
      </c>
      <c r="E35" s="245" t="s">
        <v>31</v>
      </c>
      <c r="F35" s="114">
        <v>435.74900000000002</v>
      </c>
      <c r="G35" s="115">
        <v>14.296200000000001</v>
      </c>
      <c r="H35" s="115">
        <v>171.55500000000001</v>
      </c>
      <c r="I35" s="115">
        <v>4.3574900000000003</v>
      </c>
      <c r="J35" s="311">
        <v>2.70762E-3</v>
      </c>
      <c r="K35" s="115">
        <v>4357.49</v>
      </c>
      <c r="L35" s="115">
        <v>4.7654100000000001</v>
      </c>
      <c r="M35" s="117">
        <v>4357492</v>
      </c>
      <c r="N35" s="114">
        <v>1070707</v>
      </c>
      <c r="O35" s="115">
        <v>10707.1</v>
      </c>
      <c r="P35" s="115">
        <v>107.071</v>
      </c>
      <c r="Q35" s="115">
        <v>1.0707100000000001</v>
      </c>
      <c r="R35" s="115">
        <v>1659.6</v>
      </c>
      <c r="S35" s="115">
        <v>11.525</v>
      </c>
      <c r="T35" s="392">
        <v>1.0707100000000001E-2</v>
      </c>
      <c r="U35" s="345">
        <v>1.0707100000000001E-4</v>
      </c>
      <c r="V35" s="364">
        <v>2.64577E-4</v>
      </c>
      <c r="W35" s="142">
        <v>1</v>
      </c>
      <c r="X35" s="13">
        <v>143</v>
      </c>
      <c r="Y35" s="12">
        <v>149.74924999999999</v>
      </c>
      <c r="Z35" s="18" t="s">
        <v>9</v>
      </c>
      <c r="AA35" s="305">
        <v>1.0471980000000001</v>
      </c>
      <c r="AB35" s="18" t="s">
        <v>31</v>
      </c>
      <c r="AC35" s="13">
        <f>2*X35+Y35</f>
        <v>435.74924999999996</v>
      </c>
      <c r="AD35" s="7">
        <v>14.296200000000001</v>
      </c>
      <c r="AE35" s="7">
        <v>171.55500000000001</v>
      </c>
      <c r="AF35" s="7">
        <v>4.3574900000000003</v>
      </c>
      <c r="AG35" s="301">
        <v>2.70762E-3</v>
      </c>
      <c r="AH35" s="7">
        <v>4357.49</v>
      </c>
      <c r="AI35" s="7">
        <v>4.7654100000000001</v>
      </c>
      <c r="AJ35" s="14">
        <v>4357490</v>
      </c>
      <c r="AK35" s="8">
        <v>1070710</v>
      </c>
      <c r="AL35" s="262">
        <f>AA35*(X35*X35)/2</f>
        <v>10707.075951000001</v>
      </c>
      <c r="AM35" s="7">
        <v>107.071</v>
      </c>
      <c r="AN35" s="7">
        <v>1.0707100000000001</v>
      </c>
      <c r="AO35" s="7">
        <v>1659.6</v>
      </c>
      <c r="AP35" s="7">
        <v>11.525</v>
      </c>
      <c r="AQ35" s="321">
        <v>1.0707100000000001E-2</v>
      </c>
      <c r="AR35" s="163">
        <v>1.0707100000000001E-4</v>
      </c>
      <c r="AS35" s="361">
        <v>2.6457800000000001E-4</v>
      </c>
      <c r="AT35" s="269" t="s">
        <v>9</v>
      </c>
      <c r="AU35" s="354">
        <f>(100*(B35-Y35))/Y35</f>
        <v>-1.1945767883272072E-7</v>
      </c>
      <c r="AV35" s="276" t="s">
        <v>31</v>
      </c>
      <c r="AW35" s="216">
        <f>(100*(F35-AC35))/AC35</f>
        <v>-5.7372445262325727E-5</v>
      </c>
      <c r="AX35" s="90">
        <f t="shared" si="0"/>
        <v>0</v>
      </c>
      <c r="AY35" s="90">
        <f t="shared" si="0"/>
        <v>0</v>
      </c>
      <c r="AZ35" s="90">
        <f t="shared" si="0"/>
        <v>0</v>
      </c>
      <c r="BA35" s="90">
        <f t="shared" si="0"/>
        <v>0</v>
      </c>
      <c r="BB35" s="90">
        <f t="shared" si="0"/>
        <v>0</v>
      </c>
      <c r="BC35" s="90">
        <f t="shared" si="0"/>
        <v>0</v>
      </c>
      <c r="BD35" s="233">
        <f t="shared" si="0"/>
        <v>4.5897982554176833E-5</v>
      </c>
      <c r="BE35" s="138">
        <f t="shared" si="4"/>
        <v>-2.8018791269344642E-4</v>
      </c>
      <c r="BF35" s="93">
        <f>(100*(O35-AL35))/AL35</f>
        <v>2.2460847489742274E-4</v>
      </c>
      <c r="BG35" s="93">
        <f t="shared" si="6"/>
        <v>0</v>
      </c>
      <c r="BH35" s="93">
        <f t="shared" si="7"/>
        <v>0</v>
      </c>
      <c r="BI35" s="93">
        <f t="shared" ref="BI35:BI50" si="13">(100*(R35-AO35))/AO35</f>
        <v>0</v>
      </c>
      <c r="BJ35" s="93">
        <f t="shared" ref="BJ35:BJ50" si="14">(100*(S35-AP35))/AP35</f>
        <v>0</v>
      </c>
      <c r="BK35" s="93">
        <f t="shared" ref="BK35:BK50" si="15">(100*(T35-AQ35))/AQ35</f>
        <v>0</v>
      </c>
      <c r="BL35" s="93">
        <f t="shared" ref="BL35:BL50" si="16">(100*(U35-AR35))/AR35</f>
        <v>0</v>
      </c>
      <c r="BM35" s="95">
        <f t="shared" ref="BM35:BM50" si="17">(100*(V35-AS35))/AS35</f>
        <v>-3.7796037464027442E-4</v>
      </c>
    </row>
    <row r="36" spans="1:65" x14ac:dyDescent="0.25">
      <c r="A36" s="118">
        <v>55</v>
      </c>
      <c r="B36" s="1">
        <v>172.787595947439</v>
      </c>
      <c r="C36" s="211" t="s">
        <v>5</v>
      </c>
      <c r="D36" s="56">
        <v>3.14159265358979</v>
      </c>
      <c r="E36" s="211" t="s">
        <v>31</v>
      </c>
      <c r="F36" s="118">
        <v>8619.3700000000008</v>
      </c>
      <c r="G36" s="1">
        <v>282.78800000000001</v>
      </c>
      <c r="H36" s="1">
        <v>3393.45</v>
      </c>
      <c r="I36" s="1">
        <v>86.193700000000007</v>
      </c>
      <c r="J36" s="1">
        <v>5.3558300000000003E-2</v>
      </c>
      <c r="K36" s="1">
        <v>86193.7</v>
      </c>
      <c r="L36" s="1">
        <v>94.262500000000003</v>
      </c>
      <c r="M36" s="119">
        <v>86193659</v>
      </c>
      <c r="N36" s="118">
        <v>441443556</v>
      </c>
      <c r="O36" s="1">
        <v>4414436</v>
      </c>
      <c r="P36" s="1">
        <v>44144.4</v>
      </c>
      <c r="Q36" s="1">
        <v>441.44400000000002</v>
      </c>
      <c r="R36" s="1">
        <v>684239</v>
      </c>
      <c r="S36" s="1">
        <v>4751.66</v>
      </c>
      <c r="T36" s="1">
        <v>4.4144399999999999</v>
      </c>
      <c r="U36" s="78">
        <v>4.41444E-2</v>
      </c>
      <c r="V36" s="119">
        <v>0.109083</v>
      </c>
      <c r="W36" s="143">
        <v>2</v>
      </c>
      <c r="X36" s="15">
        <v>55</v>
      </c>
      <c r="Y36" s="34">
        <v>172.7876</v>
      </c>
      <c r="Z36" s="19" t="s">
        <v>5</v>
      </c>
      <c r="AA36" s="34">
        <v>3.14159265358979</v>
      </c>
      <c r="AB36" s="19" t="s">
        <v>31</v>
      </c>
      <c r="AC36" s="15">
        <v>8619.3799999999992</v>
      </c>
      <c r="AD36" s="2">
        <f>2*X36+Y36</f>
        <v>282.7876</v>
      </c>
      <c r="AE36" s="2">
        <v>3393.46</v>
      </c>
      <c r="AF36" s="2">
        <v>86.193799999999996</v>
      </c>
      <c r="AG36" s="2">
        <v>5.3558300000000003E-2</v>
      </c>
      <c r="AH36" s="2">
        <v>86193.8</v>
      </c>
      <c r="AI36" s="2">
        <v>94.262699999999995</v>
      </c>
      <c r="AJ36" s="16">
        <v>86193782</v>
      </c>
      <c r="AK36" s="15">
        <v>441443659</v>
      </c>
      <c r="AL36" s="2">
        <v>4414437</v>
      </c>
      <c r="AM36" s="2">
        <v>44144.4</v>
      </c>
      <c r="AN36" s="2">
        <v>441.44400000000002</v>
      </c>
      <c r="AO36" s="2">
        <v>684239</v>
      </c>
      <c r="AP36" s="2">
        <f>AA36*(X36*X36)/2</f>
        <v>4751.6588885545571</v>
      </c>
      <c r="AQ36" s="2">
        <v>4.4144399999999999</v>
      </c>
      <c r="AR36" s="342">
        <v>4.41444E-2</v>
      </c>
      <c r="AS36" s="42">
        <v>0.109083</v>
      </c>
      <c r="AT36" s="270" t="s">
        <v>5</v>
      </c>
      <c r="AU36" s="355">
        <f t="shared" ref="AU36:AU42" si="18">(100*(B36-Y36))/Y36</f>
        <v>-2.3454003621296103E-6</v>
      </c>
      <c r="AV36" s="274" t="s">
        <v>31</v>
      </c>
      <c r="AW36" s="217">
        <f t="shared" ref="AW36:AW50" si="19">(100*(F36-AC36))/AC36</f>
        <v>-1.1601762537907936E-4</v>
      </c>
      <c r="AX36" s="73">
        <f t="shared" ref="AX36:AX50" si="20">(100*(G36-AD36))/AD36</f>
        <v>1.4144891784974965E-4</v>
      </c>
      <c r="AY36" s="73">
        <f t="shared" ref="AY36:AY50" si="21">(100*(H36-AE36))/AE36</f>
        <v>-2.9468448133227674E-4</v>
      </c>
      <c r="AZ36" s="73">
        <f t="shared" ref="AZ36:AZ50" si="22">(100*(I36-AF36))/AF36</f>
        <v>-1.160176253850147E-4</v>
      </c>
      <c r="BA36" s="73">
        <f t="shared" ref="BA36:BA50" si="23">(100*(J36-AG36))/AG36</f>
        <v>0</v>
      </c>
      <c r="BB36" s="73">
        <f t="shared" ref="BB36:BB50" si="24">(100*(K36-AH36))/AH36</f>
        <v>-1.1601762540440353E-4</v>
      </c>
      <c r="BC36" s="73">
        <f t="shared" ref="BC36:BC50" si="25">(100*(L36-AI36))/AI36</f>
        <v>-2.1217300161403022E-4</v>
      </c>
      <c r="BD36" s="234">
        <f t="shared" ref="BD36:BD50" si="26">(100*(M36-AJ36))/AJ36</f>
        <v>-1.4270170903975417E-4</v>
      </c>
      <c r="BE36" s="139">
        <f t="shared" si="4"/>
        <v>-2.3332535851421076E-5</v>
      </c>
      <c r="BF36" s="80">
        <f t="shared" ref="BF36:BF50" si="27">(100*(O36-AL36))/AL36</f>
        <v>-2.2652945324624636E-5</v>
      </c>
      <c r="BG36" s="80">
        <f t="shared" si="6"/>
        <v>0</v>
      </c>
      <c r="BH36" s="80">
        <f t="shared" si="7"/>
        <v>0</v>
      </c>
      <c r="BI36" s="80">
        <f t="shared" si="13"/>
        <v>0</v>
      </c>
      <c r="BJ36" s="80">
        <f t="shared" si="14"/>
        <v>2.3390682472592316E-5</v>
      </c>
      <c r="BK36" s="80">
        <f t="shared" si="15"/>
        <v>0</v>
      </c>
      <c r="BL36" s="80">
        <f t="shared" si="16"/>
        <v>0</v>
      </c>
      <c r="BM36" s="96">
        <f t="shared" si="17"/>
        <v>0</v>
      </c>
    </row>
    <row r="37" spans="1:65" x14ac:dyDescent="0.25">
      <c r="A37" s="118">
        <v>6.4</v>
      </c>
      <c r="B37" s="1">
        <v>29.357275776585599</v>
      </c>
      <c r="C37" s="211" t="s">
        <v>8</v>
      </c>
      <c r="D37" s="1">
        <v>4.5870743400915002</v>
      </c>
      <c r="E37" s="211" t="s">
        <v>31</v>
      </c>
      <c r="F37" s="118">
        <v>107.07899999999999</v>
      </c>
      <c r="G37" s="1">
        <v>3.5131100000000002</v>
      </c>
      <c r="H37" s="1">
        <v>42.157299999999999</v>
      </c>
      <c r="I37" s="1">
        <v>1.0707899999999999</v>
      </c>
      <c r="J37" s="1">
        <v>6.6536099999999995E-4</v>
      </c>
      <c r="K37" s="1">
        <v>1070.79</v>
      </c>
      <c r="L37" s="1">
        <v>1.1710400000000001</v>
      </c>
      <c r="M37" s="119">
        <v>1070795</v>
      </c>
      <c r="N37" s="118">
        <v>60608.4</v>
      </c>
      <c r="O37" s="1">
        <v>606.08399999999995</v>
      </c>
      <c r="P37" s="1">
        <v>6.0608399999999998</v>
      </c>
      <c r="Q37" s="1">
        <v>6.06084E-2</v>
      </c>
      <c r="R37" s="1">
        <v>93.943299999999994</v>
      </c>
      <c r="S37" s="1">
        <v>0.65238399999999996</v>
      </c>
      <c r="T37" s="316">
        <v>6.0608400000000001E-4</v>
      </c>
      <c r="U37" s="50">
        <v>6.0608448128070301E-6</v>
      </c>
      <c r="V37" s="398">
        <v>1.49766736948197E-5</v>
      </c>
      <c r="W37" s="143">
        <v>3</v>
      </c>
      <c r="X37" s="15">
        <v>6.4</v>
      </c>
      <c r="Y37" s="34">
        <v>29.357189999999999</v>
      </c>
      <c r="Z37" s="19" t="s">
        <v>8</v>
      </c>
      <c r="AA37" s="2">
        <v>4.5870743400915002</v>
      </c>
      <c r="AB37" s="19" t="s">
        <v>31</v>
      </c>
      <c r="AC37" s="15">
        <v>107.07899999999999</v>
      </c>
      <c r="AD37" s="2">
        <v>3.5131000000000001</v>
      </c>
      <c r="AE37" s="2">
        <f>2*X37+Y37</f>
        <v>42.15719</v>
      </c>
      <c r="AF37" s="2">
        <v>1.0707899999999999</v>
      </c>
      <c r="AG37" s="2">
        <v>6.6536000000000004E-4</v>
      </c>
      <c r="AH37" s="2">
        <v>1070.79</v>
      </c>
      <c r="AI37" s="2">
        <v>1.17103</v>
      </c>
      <c r="AJ37" s="16">
        <v>1070793</v>
      </c>
      <c r="AK37" s="27">
        <v>60608.5</v>
      </c>
      <c r="AL37" s="26">
        <v>606.08500000000004</v>
      </c>
      <c r="AM37" s="2">
        <v>6.0608500000000003</v>
      </c>
      <c r="AN37" s="2">
        <v>6.0608500000000003E-2</v>
      </c>
      <c r="AO37" s="2">
        <f>AA37*(X37*X37)/2</f>
        <v>93.943282485073937</v>
      </c>
      <c r="AP37" s="2">
        <v>0.65238399999999996</v>
      </c>
      <c r="AQ37" s="302">
        <v>6.0608500000000002E-4</v>
      </c>
      <c r="AR37" s="25">
        <v>6.0608459428000002E-6</v>
      </c>
      <c r="AS37" s="344">
        <v>1.4976676487093201E-5</v>
      </c>
      <c r="AT37" s="270" t="s">
        <v>8</v>
      </c>
      <c r="AU37" s="355">
        <f t="shared" si="18"/>
        <v>2.9218254744312121E-4</v>
      </c>
      <c r="AV37" s="274" t="s">
        <v>31</v>
      </c>
      <c r="AW37" s="217">
        <f t="shared" si="19"/>
        <v>0</v>
      </c>
      <c r="AX37" s="73">
        <f t="shared" si="20"/>
        <v>2.8464888560147765E-4</v>
      </c>
      <c r="AY37" s="73">
        <f t="shared" si="21"/>
        <v>2.6092820702563042E-4</v>
      </c>
      <c r="AZ37" s="73">
        <f t="shared" si="22"/>
        <v>0</v>
      </c>
      <c r="BA37" s="73">
        <f t="shared" si="23"/>
        <v>1.5029457735771988E-4</v>
      </c>
      <c r="BB37" s="73">
        <f t="shared" si="24"/>
        <v>0</v>
      </c>
      <c r="BC37" s="73">
        <f t="shared" si="25"/>
        <v>8.5394908756099438E-4</v>
      </c>
      <c r="BD37" s="234">
        <f t="shared" si="26"/>
        <v>1.8677746305775252E-4</v>
      </c>
      <c r="BE37" s="139">
        <f t="shared" si="4"/>
        <v>-1.6499335901489859E-4</v>
      </c>
      <c r="BF37" s="80">
        <f t="shared" si="27"/>
        <v>-1.6499335903215554E-4</v>
      </c>
      <c r="BG37" s="80">
        <f t="shared" si="6"/>
        <v>-1.6499335902570763E-4</v>
      </c>
      <c r="BH37" s="80">
        <f t="shared" si="7"/>
        <v>-1.6499335902204405E-4</v>
      </c>
      <c r="BI37" s="80">
        <f t="shared" si="13"/>
        <v>1.8644149526969592E-5</v>
      </c>
      <c r="BJ37" s="80">
        <f t="shared" si="14"/>
        <v>0</v>
      </c>
      <c r="BK37" s="80">
        <f t="shared" si="15"/>
        <v>-1.6499335901989741E-4</v>
      </c>
      <c r="BL37" s="80">
        <f t="shared" si="16"/>
        <v>-1.8644146061295193E-5</v>
      </c>
      <c r="BM37" s="96">
        <f t="shared" si="17"/>
        <v>-1.8644146472545945E-5</v>
      </c>
    </row>
    <row r="38" spans="1:65" x14ac:dyDescent="0.25">
      <c r="A38" s="1">
        <v>10.4</v>
      </c>
      <c r="B38" s="1">
        <v>16.128266477097199</v>
      </c>
      <c r="C38" s="211" t="s">
        <v>4</v>
      </c>
      <c r="D38" s="1">
        <v>1.5507948535670399</v>
      </c>
      <c r="E38" s="211" t="s">
        <v>31</v>
      </c>
      <c r="F38" s="118">
        <v>3692.83</v>
      </c>
      <c r="G38" s="1">
        <v>121.15600000000001</v>
      </c>
      <c r="H38" s="1">
        <v>1453.87</v>
      </c>
      <c r="I38" s="1">
        <v>36.9283</v>
      </c>
      <c r="J38" s="1">
        <v>2.29462E-2</v>
      </c>
      <c r="K38" s="1">
        <v>36928.300000000003</v>
      </c>
      <c r="L38" s="1">
        <v>40.385199999999998</v>
      </c>
      <c r="M38" s="119">
        <v>36928266</v>
      </c>
      <c r="N38" s="118">
        <v>83866986</v>
      </c>
      <c r="O38" s="1">
        <v>838670</v>
      </c>
      <c r="P38" s="1">
        <v>8386.7000000000007</v>
      </c>
      <c r="Q38" s="1">
        <v>83.867000000000004</v>
      </c>
      <c r="R38" s="1">
        <v>129994</v>
      </c>
      <c r="S38" s="1">
        <v>902.73699999999997</v>
      </c>
      <c r="T38" s="1">
        <v>0.83867000000000003</v>
      </c>
      <c r="U38" s="1">
        <v>8.3867000000000004E-3</v>
      </c>
      <c r="V38" s="119">
        <v>2.0723999999999999E-2</v>
      </c>
      <c r="W38" s="143">
        <v>4</v>
      </c>
      <c r="X38" s="2">
        <v>10.4</v>
      </c>
      <c r="Y38" s="2">
        <v>16.128260000000001</v>
      </c>
      <c r="Z38" s="19" t="s">
        <v>4</v>
      </c>
      <c r="AA38" s="2">
        <v>1.5507948535670399</v>
      </c>
      <c r="AB38" s="19" t="s">
        <v>31</v>
      </c>
      <c r="AC38" s="15">
        <v>3692.83</v>
      </c>
      <c r="AD38" s="2">
        <v>121.15600000000001</v>
      </c>
      <c r="AE38" s="2">
        <v>1453.87</v>
      </c>
      <c r="AF38" s="2">
        <f>2*X38+Y38</f>
        <v>36.928260000000002</v>
      </c>
      <c r="AG38" s="2">
        <v>2.29462E-2</v>
      </c>
      <c r="AH38" s="2">
        <v>36928.300000000003</v>
      </c>
      <c r="AI38" s="2">
        <v>40.385300000000001</v>
      </c>
      <c r="AJ38" s="16">
        <v>36928300</v>
      </c>
      <c r="AK38" s="15">
        <v>83867000</v>
      </c>
      <c r="AL38" s="2">
        <v>838670</v>
      </c>
      <c r="AM38" s="2">
        <v>8386.7000000000007</v>
      </c>
      <c r="AN38" s="2">
        <f>AA38*(X38*X38)/2</f>
        <v>83.866985680905529</v>
      </c>
      <c r="AO38" s="2">
        <v>129994</v>
      </c>
      <c r="AP38" s="2">
        <v>902.73699999999997</v>
      </c>
      <c r="AQ38" s="2">
        <v>0.83867000000000003</v>
      </c>
      <c r="AR38" s="2">
        <v>8.3867000000000004E-3</v>
      </c>
      <c r="AS38" s="42">
        <v>2.0723999999999999E-2</v>
      </c>
      <c r="AT38" s="270" t="s">
        <v>4</v>
      </c>
      <c r="AU38" s="355">
        <f t="shared" si="18"/>
        <v>4.0159925485719819E-5</v>
      </c>
      <c r="AV38" s="274" t="s">
        <v>31</v>
      </c>
      <c r="AW38" s="217">
        <f t="shared" si="19"/>
        <v>0</v>
      </c>
      <c r="AX38" s="73">
        <f t="shared" si="20"/>
        <v>0</v>
      </c>
      <c r="AY38" s="73">
        <f t="shared" si="21"/>
        <v>0</v>
      </c>
      <c r="AZ38" s="73">
        <f t="shared" si="22"/>
        <v>1.0831812817198994E-4</v>
      </c>
      <c r="BA38" s="73">
        <f t="shared" si="23"/>
        <v>0</v>
      </c>
      <c r="BB38" s="73">
        <f t="shared" si="24"/>
        <v>0</v>
      </c>
      <c r="BC38" s="73">
        <f t="shared" si="25"/>
        <v>-2.4761484996600161E-4</v>
      </c>
      <c r="BD38" s="234">
        <f t="shared" si="26"/>
        <v>-9.2070309220841469E-5</v>
      </c>
      <c r="BE38" s="139">
        <f t="shared" si="4"/>
        <v>-1.6693097404223353E-5</v>
      </c>
      <c r="BF38" s="80">
        <f t="shared" si="27"/>
        <v>0</v>
      </c>
      <c r="BG38" s="80">
        <f t="shared" si="6"/>
        <v>0</v>
      </c>
      <c r="BH38" s="80">
        <f t="shared" si="7"/>
        <v>1.7073577116445684E-5</v>
      </c>
      <c r="BI38" s="80">
        <f t="shared" si="13"/>
        <v>0</v>
      </c>
      <c r="BJ38" s="80">
        <f t="shared" si="14"/>
        <v>0</v>
      </c>
      <c r="BK38" s="80">
        <f t="shared" si="15"/>
        <v>0</v>
      </c>
      <c r="BL38" s="80">
        <f t="shared" si="16"/>
        <v>0</v>
      </c>
      <c r="BM38" s="96">
        <f t="shared" si="17"/>
        <v>0</v>
      </c>
    </row>
    <row r="39" spans="1:65" x14ac:dyDescent="0.25">
      <c r="A39" s="118">
        <v>720</v>
      </c>
      <c r="B39" s="1">
        <v>1779.6959019768201</v>
      </c>
      <c r="C39" s="211" t="s">
        <v>10</v>
      </c>
      <c r="D39" s="1">
        <v>2.47179986385669</v>
      </c>
      <c r="E39" s="211" t="s">
        <v>31</v>
      </c>
      <c r="F39" s="120">
        <v>518159828</v>
      </c>
      <c r="G39" s="1">
        <v>16999994</v>
      </c>
      <c r="H39" s="1">
        <v>203999932</v>
      </c>
      <c r="I39" s="1">
        <v>5181598</v>
      </c>
      <c r="J39" s="1">
        <v>3219.7</v>
      </c>
      <c r="K39" s="1">
        <v>5181598282</v>
      </c>
      <c r="L39" s="1">
        <v>5666665</v>
      </c>
      <c r="M39" s="164">
        <v>5181598281671</v>
      </c>
      <c r="N39" s="120">
        <v>1.6593808414081101E+18</v>
      </c>
      <c r="O39" s="59">
        <v>1.65938084140811E+16</v>
      </c>
      <c r="P39" s="59">
        <v>165938084140811</v>
      </c>
      <c r="Q39" s="59">
        <v>1659380841408</v>
      </c>
      <c r="R39" s="59">
        <v>2572045448273460</v>
      </c>
      <c r="S39" s="59">
        <v>17861426724121</v>
      </c>
      <c r="T39" s="1">
        <v>16593808414</v>
      </c>
      <c r="U39" s="1">
        <v>165938084</v>
      </c>
      <c r="V39" s="119">
        <v>410041936</v>
      </c>
      <c r="W39" s="143">
        <v>5</v>
      </c>
      <c r="X39" s="15">
        <v>720</v>
      </c>
      <c r="Y39" s="34">
        <v>1779.69615</v>
      </c>
      <c r="Z39" s="19" t="s">
        <v>10</v>
      </c>
      <c r="AA39" s="2">
        <v>2.47179986385669</v>
      </c>
      <c r="AB39" s="19" t="s">
        <v>31</v>
      </c>
      <c r="AC39" s="15">
        <v>518160488</v>
      </c>
      <c r="AD39" s="2">
        <v>17000016</v>
      </c>
      <c r="AE39" s="2">
        <v>204000192</v>
      </c>
      <c r="AF39" s="2">
        <v>5181605</v>
      </c>
      <c r="AG39" s="2">
        <f>2*X39+Y39</f>
        <v>3219.6961499999998</v>
      </c>
      <c r="AH39" s="2">
        <v>5181604877</v>
      </c>
      <c r="AI39" s="2">
        <v>5666672</v>
      </c>
      <c r="AJ39" s="185">
        <v>5181604876800</v>
      </c>
      <c r="AK39" s="28">
        <v>1.659380841408E+18</v>
      </c>
      <c r="AL39" s="29">
        <v>1.659380841408E+16</v>
      </c>
      <c r="AM39" s="29">
        <v>165938084140800</v>
      </c>
      <c r="AN39" s="396">
        <f>AA39*(X39*X39)/2*1609.344*1609.344</f>
        <v>1659380841408.1172</v>
      </c>
      <c r="AO39" s="29">
        <v>2572045448273300</v>
      </c>
      <c r="AP39" s="29">
        <v>17861426724120</v>
      </c>
      <c r="AQ39" s="2">
        <v>16593808414</v>
      </c>
      <c r="AR39" s="2">
        <v>165938084</v>
      </c>
      <c r="AS39" s="42">
        <v>410041936</v>
      </c>
      <c r="AT39" s="270" t="s">
        <v>10</v>
      </c>
      <c r="AU39" s="355">
        <f t="shared" si="18"/>
        <v>-1.3936265462657654E-5</v>
      </c>
      <c r="AV39" s="274" t="s">
        <v>31</v>
      </c>
      <c r="AW39" s="217">
        <f t="shared" si="19"/>
        <v>-1.2737366419957518E-4</v>
      </c>
      <c r="AX39" s="73">
        <f t="shared" si="20"/>
        <v>-1.2941164290668902E-4</v>
      </c>
      <c r="AY39" s="73">
        <f t="shared" si="21"/>
        <v>-1.2745086043840586E-4</v>
      </c>
      <c r="AZ39" s="73">
        <f t="shared" si="22"/>
        <v>-1.3509327708306597E-4</v>
      </c>
      <c r="BA39" s="73">
        <f t="shared" si="23"/>
        <v>1.1957650103276834E-4</v>
      </c>
      <c r="BB39" s="73">
        <f t="shared" si="24"/>
        <v>-1.2727716907311379E-4</v>
      </c>
      <c r="BC39" s="73">
        <f t="shared" si="25"/>
        <v>-1.2352929550183954E-4</v>
      </c>
      <c r="BD39" s="234">
        <f t="shared" si="26"/>
        <v>-1.272796586541919E-4</v>
      </c>
      <c r="BE39" s="139">
        <f t="shared" si="4"/>
        <v>6.6337996229121283E-12</v>
      </c>
      <c r="BF39" s="80">
        <f t="shared" si="27"/>
        <v>6.6289785476047788E-12</v>
      </c>
      <c r="BG39" s="80">
        <f t="shared" si="6"/>
        <v>6.6289785476047788E-12</v>
      </c>
      <c r="BH39" s="80">
        <f t="shared" si="7"/>
        <v>-7.0621220322489106E-12</v>
      </c>
      <c r="BI39" s="80">
        <f t="shared" si="13"/>
        <v>6.2207298905784631E-12</v>
      </c>
      <c r="BJ39" s="80">
        <f t="shared" si="14"/>
        <v>5.5986569015206606E-12</v>
      </c>
      <c r="BK39" s="80">
        <f t="shared" si="15"/>
        <v>0</v>
      </c>
      <c r="BL39" s="80">
        <f t="shared" si="16"/>
        <v>0</v>
      </c>
      <c r="BM39" s="96">
        <f t="shared" si="17"/>
        <v>0</v>
      </c>
    </row>
    <row r="40" spans="1:65" x14ac:dyDescent="0.25">
      <c r="A40" s="118">
        <v>41</v>
      </c>
      <c r="B40" s="1">
        <v>100.15907190318801</v>
      </c>
      <c r="C40" s="211" t="s">
        <v>6</v>
      </c>
      <c r="D40" s="1">
        <v>2.4429041927606701</v>
      </c>
      <c r="E40" s="211" t="s">
        <v>31</v>
      </c>
      <c r="F40" s="118">
        <v>18.215900000000001</v>
      </c>
      <c r="G40" s="1">
        <v>0.59763500000000003</v>
      </c>
      <c r="H40" s="1">
        <v>7.1716199999999999</v>
      </c>
      <c r="I40" s="1">
        <v>0.18215899999999999</v>
      </c>
      <c r="J40" s="316">
        <v>1.13188E-4</v>
      </c>
      <c r="K40" s="1">
        <v>182.15899999999999</v>
      </c>
      <c r="L40" s="1">
        <v>0.199212</v>
      </c>
      <c r="M40" s="119">
        <v>182159</v>
      </c>
      <c r="N40" s="374">
        <v>2053.2600000000002</v>
      </c>
      <c r="O40" s="347">
        <v>20.532599999999999</v>
      </c>
      <c r="P40" s="315">
        <v>0.20532600000000001</v>
      </c>
      <c r="Q40" s="326">
        <v>2.0532599999999999E-3</v>
      </c>
      <c r="R40" s="348">
        <v>3.1825600000000001</v>
      </c>
      <c r="S40" s="78">
        <v>2.2101099999999999E-2</v>
      </c>
      <c r="T40" s="49">
        <v>2.0532609740153498E-5</v>
      </c>
      <c r="U40" s="58">
        <v>2.0532609740153499E-7</v>
      </c>
      <c r="V40" s="388">
        <v>5.0737183623570599E-7</v>
      </c>
      <c r="W40" s="143">
        <v>6</v>
      </c>
      <c r="X40" s="15">
        <v>41</v>
      </c>
      <c r="Y40" s="34">
        <v>100.16095</v>
      </c>
      <c r="Z40" s="19" t="s">
        <v>6</v>
      </c>
      <c r="AA40" s="2">
        <v>2.4429041927606701</v>
      </c>
      <c r="AB40" s="19" t="s">
        <v>31</v>
      </c>
      <c r="AC40" s="15">
        <v>18.216100000000001</v>
      </c>
      <c r="AD40" s="2">
        <v>0.59764099999999998</v>
      </c>
      <c r="AE40" s="2">
        <v>7.1716899999999999</v>
      </c>
      <c r="AF40" s="2">
        <v>0.18216099999999999</v>
      </c>
      <c r="AG40" s="309">
        <v>1.1319000000000001E-4</v>
      </c>
      <c r="AH40" s="2">
        <f>2*X40+Y40</f>
        <v>182.16095000000001</v>
      </c>
      <c r="AI40" s="2">
        <v>0.199214</v>
      </c>
      <c r="AJ40" s="16">
        <v>182161</v>
      </c>
      <c r="AK40" s="15">
        <f>AA40*(X40*X40)/2</f>
        <v>2053.260974015343</v>
      </c>
      <c r="AL40" s="2">
        <v>20.532599999999999</v>
      </c>
      <c r="AM40" s="2">
        <v>0.20532600000000001</v>
      </c>
      <c r="AN40" s="23">
        <v>2.0532599999999999E-3</v>
      </c>
      <c r="AO40" s="2">
        <v>3.1825600000000001</v>
      </c>
      <c r="AP40" s="342">
        <v>2.2101099999999999E-2</v>
      </c>
      <c r="AQ40" s="323">
        <v>2.0532600000000001E-5</v>
      </c>
      <c r="AR40" s="360">
        <v>2.05326E-7</v>
      </c>
      <c r="AS40" s="385">
        <v>5.07371595551272E-7</v>
      </c>
      <c r="AT40" s="270" t="s">
        <v>6</v>
      </c>
      <c r="AU40" s="355">
        <f t="shared" si="18"/>
        <v>-1.8750788725473261E-3</v>
      </c>
      <c r="AV40" s="274" t="s">
        <v>31</v>
      </c>
      <c r="AW40" s="217">
        <f t="shared" si="19"/>
        <v>-1.0979298532591162E-3</v>
      </c>
      <c r="AX40" s="73">
        <f t="shared" si="20"/>
        <v>-1.0039471856767674E-3</v>
      </c>
      <c r="AY40" s="73">
        <f t="shared" si="21"/>
        <v>-9.7606003605864864E-4</v>
      </c>
      <c r="AZ40" s="73">
        <f t="shared" si="22"/>
        <v>-1.0979298532627732E-3</v>
      </c>
      <c r="BA40" s="73">
        <f t="shared" si="23"/>
        <v>-1.7669405424546208E-3</v>
      </c>
      <c r="BB40" s="73">
        <f t="shared" si="24"/>
        <v>-1.0704819007707747E-3</v>
      </c>
      <c r="BC40" s="73">
        <f t="shared" si="25"/>
        <v>-1.0039455058389471E-3</v>
      </c>
      <c r="BD40" s="234">
        <f t="shared" si="26"/>
        <v>-1.0979298532616752E-3</v>
      </c>
      <c r="BE40" s="139">
        <f t="shared" si="4"/>
        <v>-4.7437483841038029E-5</v>
      </c>
      <c r="BF40" s="80">
        <f t="shared" si="27"/>
        <v>0</v>
      </c>
      <c r="BG40" s="80">
        <f t="shared" si="6"/>
        <v>0</v>
      </c>
      <c r="BH40" s="80">
        <f t="shared" si="7"/>
        <v>0</v>
      </c>
      <c r="BI40" s="80">
        <f t="shared" si="13"/>
        <v>0</v>
      </c>
      <c r="BJ40" s="80">
        <f t="shared" si="14"/>
        <v>0</v>
      </c>
      <c r="BK40" s="80">
        <f t="shared" si="15"/>
        <v>4.7437506685936297E-5</v>
      </c>
      <c r="BL40" s="80">
        <f t="shared" si="16"/>
        <v>4.7437506695218247E-5</v>
      </c>
      <c r="BM40" s="96">
        <f t="shared" si="17"/>
        <v>4.7437506572210923E-5</v>
      </c>
    </row>
    <row r="41" spans="1:65" x14ac:dyDescent="0.25">
      <c r="A41" s="118">
        <v>621.6</v>
      </c>
      <c r="B41" s="1">
        <v>3745.18153454923</v>
      </c>
      <c r="C41" s="211" t="s">
        <v>7</v>
      </c>
      <c r="D41" s="1">
        <v>6.0250668187728902</v>
      </c>
      <c r="E41" s="211" t="s">
        <v>31</v>
      </c>
      <c r="F41" s="118">
        <v>456138</v>
      </c>
      <c r="G41" s="1">
        <v>14965.1</v>
      </c>
      <c r="H41" s="1">
        <v>179582</v>
      </c>
      <c r="I41" s="1">
        <v>4561.38</v>
      </c>
      <c r="J41" s="1">
        <v>2.8343099999999999</v>
      </c>
      <c r="K41" s="1">
        <v>4561376</v>
      </c>
      <c r="L41" s="1">
        <v>4988.38</v>
      </c>
      <c r="M41" s="119">
        <v>4561376075</v>
      </c>
      <c r="N41" s="120">
        <v>973254271252</v>
      </c>
      <c r="O41" s="1">
        <v>9732542713</v>
      </c>
      <c r="P41" s="1">
        <v>97325427</v>
      </c>
      <c r="Q41" s="1">
        <v>973254</v>
      </c>
      <c r="R41" s="1">
        <v>1508547138</v>
      </c>
      <c r="S41" s="1">
        <v>10476022</v>
      </c>
      <c r="T41" s="1">
        <v>9732.5400000000009</v>
      </c>
      <c r="U41" s="1">
        <v>97.325400000000002</v>
      </c>
      <c r="V41" s="119">
        <v>240.49600000000001</v>
      </c>
      <c r="W41" s="143">
        <v>7</v>
      </c>
      <c r="X41" s="15">
        <v>621.6</v>
      </c>
      <c r="Y41" s="34">
        <v>3745.1816100000001</v>
      </c>
      <c r="Z41" s="19" t="s">
        <v>7</v>
      </c>
      <c r="AA41" s="2">
        <v>6.0250668187728902</v>
      </c>
      <c r="AB41" s="19" t="s">
        <v>31</v>
      </c>
      <c r="AC41" s="15">
        <v>456137</v>
      </c>
      <c r="AD41" s="2">
        <v>14965.1</v>
      </c>
      <c r="AE41" s="2">
        <v>179582</v>
      </c>
      <c r="AF41" s="2">
        <v>4561.37</v>
      </c>
      <c r="AG41" s="2">
        <v>2.8343099999999999</v>
      </c>
      <c r="AH41" s="2">
        <v>4561375</v>
      </c>
      <c r="AI41" s="2">
        <f>2*X41+Y41</f>
        <v>4988.3816100000004</v>
      </c>
      <c r="AJ41" s="16">
        <v>4561374672</v>
      </c>
      <c r="AK41" s="28">
        <v>973254000000</v>
      </c>
      <c r="AL41" s="2">
        <v>9732540000</v>
      </c>
      <c r="AM41" s="2">
        <v>97325400</v>
      </c>
      <c r="AN41" s="2">
        <f>AA41*(X41*X41)/2*0.9144*0.9144</f>
        <v>973254.27125241538</v>
      </c>
      <c r="AO41" s="2">
        <v>1508546717</v>
      </c>
      <c r="AP41" s="2">
        <v>10476019</v>
      </c>
      <c r="AQ41" s="2">
        <v>9732.5400000000009</v>
      </c>
      <c r="AR41" s="2">
        <v>97.325400000000002</v>
      </c>
      <c r="AS41" s="42">
        <v>240.49600000000001</v>
      </c>
      <c r="AT41" s="270" t="s">
        <v>7</v>
      </c>
      <c r="AU41" s="355">
        <f t="shared" si="18"/>
        <v>-2.0146091141061019E-6</v>
      </c>
      <c r="AV41" s="274" t="s">
        <v>31</v>
      </c>
      <c r="AW41" s="217">
        <f t="shared" si="19"/>
        <v>2.192323797455589E-4</v>
      </c>
      <c r="AX41" s="73">
        <f t="shared" si="20"/>
        <v>0</v>
      </c>
      <c r="AY41" s="73">
        <f t="shared" si="21"/>
        <v>0</v>
      </c>
      <c r="AZ41" s="73">
        <f t="shared" si="22"/>
        <v>2.1923237975034429E-4</v>
      </c>
      <c r="BA41" s="73">
        <f t="shared" si="23"/>
        <v>0</v>
      </c>
      <c r="BB41" s="73">
        <f t="shared" si="24"/>
        <v>2.1923213943164068E-5</v>
      </c>
      <c r="BC41" s="73">
        <f t="shared" si="25"/>
        <v>-3.2274996704898055E-5</v>
      </c>
      <c r="BD41" s="234">
        <f t="shared" si="26"/>
        <v>3.0758271374029326E-5</v>
      </c>
      <c r="BE41" s="139">
        <f t="shared" si="4"/>
        <v>2.7870627811444906E-5</v>
      </c>
      <c r="BF41" s="80">
        <f t="shared" si="27"/>
        <v>2.7875559720278572E-5</v>
      </c>
      <c r="BG41" s="80">
        <f t="shared" si="6"/>
        <v>2.7741987189366803E-5</v>
      </c>
      <c r="BH41" s="80">
        <f t="shared" si="7"/>
        <v>-2.7870662722777222E-5</v>
      </c>
      <c r="BI41" s="80">
        <f t="shared" si="13"/>
        <v>2.7907654118742152E-5</v>
      </c>
      <c r="BJ41" s="80">
        <f t="shared" si="14"/>
        <v>2.8636832369242554E-5</v>
      </c>
      <c r="BK41" s="80">
        <f t="shared" si="15"/>
        <v>0</v>
      </c>
      <c r="BL41" s="80">
        <f t="shared" si="16"/>
        <v>0</v>
      </c>
      <c r="BM41" s="96">
        <f t="shared" si="17"/>
        <v>0</v>
      </c>
    </row>
    <row r="42" spans="1:65" ht="15.75" thickBot="1" x14ac:dyDescent="0.3">
      <c r="A42" s="121">
        <v>98.56</v>
      </c>
      <c r="B42" s="55">
        <v>53.186239857408701</v>
      </c>
      <c r="C42" s="212" t="s">
        <v>20</v>
      </c>
      <c r="D42" s="55">
        <v>0.53963311543637105</v>
      </c>
      <c r="E42" s="212" t="s">
        <v>31</v>
      </c>
      <c r="F42" s="121">
        <v>2.50306E-2</v>
      </c>
      <c r="G42" s="329">
        <v>8.2121500000000003E-4</v>
      </c>
      <c r="H42" s="55">
        <v>9.8545799999999999E-3</v>
      </c>
      <c r="I42" s="329">
        <v>2.50306E-4</v>
      </c>
      <c r="J42" s="353">
        <v>1.55533086684642E-7</v>
      </c>
      <c r="K42" s="351">
        <v>0.25030599999999997</v>
      </c>
      <c r="L42" s="329">
        <v>2.7373799999999999E-4</v>
      </c>
      <c r="M42" s="122">
        <v>250.30600000000001</v>
      </c>
      <c r="N42" s="352">
        <v>2.6210199999999999E-3</v>
      </c>
      <c r="O42" s="376">
        <v>2.6210179001731001E-5</v>
      </c>
      <c r="P42" s="333">
        <v>2.6210179001731E-7</v>
      </c>
      <c r="Q42" s="67">
        <v>2.6210179001730998E-9</v>
      </c>
      <c r="R42" s="333">
        <v>4.0625858704400502E-6</v>
      </c>
      <c r="S42" s="67">
        <v>2.82124018780559E-8</v>
      </c>
      <c r="T42" s="68">
        <v>2.6210179001731001E-11</v>
      </c>
      <c r="U42" s="71">
        <v>2.6210179001731001E-13</v>
      </c>
      <c r="V42" s="377">
        <v>6.4766762805454298E-13</v>
      </c>
      <c r="W42" s="144">
        <v>8</v>
      </c>
      <c r="X42" s="17">
        <v>98.56</v>
      </c>
      <c r="Y42" s="281">
        <v>53.187980000000003</v>
      </c>
      <c r="Z42" s="20" t="s">
        <v>20</v>
      </c>
      <c r="AA42" s="9">
        <v>0.53963311543637105</v>
      </c>
      <c r="AB42" s="20" t="s">
        <v>31</v>
      </c>
      <c r="AC42" s="17">
        <v>2.5030799999999999E-2</v>
      </c>
      <c r="AD42" s="357">
        <v>8.2122E-4</v>
      </c>
      <c r="AE42" s="9">
        <v>9.8546499999999995E-3</v>
      </c>
      <c r="AF42" s="318">
        <v>2.5030799999999998E-4</v>
      </c>
      <c r="AG42" s="320">
        <v>1.55534180386543E-7</v>
      </c>
      <c r="AH42" s="9">
        <v>0.25030799999999997</v>
      </c>
      <c r="AI42" s="357">
        <v>2.7374000000000002E-4</v>
      </c>
      <c r="AJ42" s="10">
        <f>2*X42+Y42</f>
        <v>250.30798000000001</v>
      </c>
      <c r="AK42" s="17">
        <f>AA42*(X42*X42)/2/1000/1000</f>
        <v>2.6210179001731021E-3</v>
      </c>
      <c r="AL42" s="37">
        <v>2.6210199999999999E-5</v>
      </c>
      <c r="AM42" s="189">
        <v>2.62102E-7</v>
      </c>
      <c r="AN42" s="190">
        <v>2.6210200000000001E-9</v>
      </c>
      <c r="AO42" s="203">
        <v>4.0625891251782497E-6</v>
      </c>
      <c r="AP42" s="206">
        <v>2.8212424480404501E-8</v>
      </c>
      <c r="AQ42" s="191">
        <v>2.6210200000000002E-11</v>
      </c>
      <c r="AR42" s="192">
        <v>2.6210200000000001E-13</v>
      </c>
      <c r="AS42" s="397">
        <v>6.4766814693307E-13</v>
      </c>
      <c r="AT42" s="271" t="s">
        <v>20</v>
      </c>
      <c r="AU42" s="356">
        <f t="shared" si="18"/>
        <v>-3.2716839242666741E-3</v>
      </c>
      <c r="AV42" s="275" t="s">
        <v>31</v>
      </c>
      <c r="AW42" s="218">
        <f t="shared" si="19"/>
        <v>-7.990156127603283E-4</v>
      </c>
      <c r="AX42" s="97">
        <f t="shared" si="20"/>
        <v>-6.0885024718958453E-4</v>
      </c>
      <c r="AY42" s="97">
        <f t="shared" si="21"/>
        <v>-7.1032456758570101E-4</v>
      </c>
      <c r="AZ42" s="97">
        <f t="shared" si="22"/>
        <v>-7.990156127559968E-4</v>
      </c>
      <c r="BA42" s="97">
        <f t="shared" si="23"/>
        <v>-7.0319070591096566E-4</v>
      </c>
      <c r="BB42" s="97">
        <f t="shared" si="24"/>
        <v>-7.9901561276587258E-4</v>
      </c>
      <c r="BC42" s="97">
        <f t="shared" si="25"/>
        <v>-7.3062029664334419E-4</v>
      </c>
      <c r="BD42" s="235">
        <f t="shared" si="26"/>
        <v>-7.9102551984287566E-4</v>
      </c>
      <c r="BE42" s="140">
        <f t="shared" si="4"/>
        <v>8.0114939227463286E-5</v>
      </c>
      <c r="BF42" s="100">
        <f t="shared" si="27"/>
        <v>-8.0114875115352673E-5</v>
      </c>
      <c r="BG42" s="100">
        <f t="shared" si="6"/>
        <v>-8.0114875125855665E-5</v>
      </c>
      <c r="BH42" s="100">
        <f t="shared" si="7"/>
        <v>-8.0114875136585892E-5</v>
      </c>
      <c r="BI42" s="100">
        <f t="shared" si="13"/>
        <v>-8.0114875003321547E-5</v>
      </c>
      <c r="BJ42" s="100">
        <f t="shared" si="14"/>
        <v>-8.0114874979865796E-5</v>
      </c>
      <c r="BK42" s="100">
        <f t="shared" si="15"/>
        <v>-8.0114875128696017E-5</v>
      </c>
      <c r="BL42" s="100">
        <f t="shared" si="16"/>
        <v>-8.0114875122532056E-5</v>
      </c>
      <c r="BM42" s="102">
        <f t="shared" si="17"/>
        <v>-8.0114875106687851E-5</v>
      </c>
    </row>
    <row r="43" spans="1:65" x14ac:dyDescent="0.25">
      <c r="A43" s="310">
        <v>143</v>
      </c>
      <c r="B43" s="369">
        <v>149.74924982111301</v>
      </c>
      <c r="C43" s="210" t="s">
        <v>9</v>
      </c>
      <c r="D43" s="280">
        <v>66.666666666666799</v>
      </c>
      <c r="E43" s="245" t="s">
        <v>32</v>
      </c>
      <c r="F43" s="114">
        <v>435.74900000000002</v>
      </c>
      <c r="G43" s="115">
        <v>14.296200000000001</v>
      </c>
      <c r="H43" s="115">
        <v>171.55500000000001</v>
      </c>
      <c r="I43" s="115">
        <v>4.3574900000000003</v>
      </c>
      <c r="J43" s="311">
        <v>2.70762E-3</v>
      </c>
      <c r="K43" s="115">
        <v>4357.49</v>
      </c>
      <c r="L43" s="115">
        <v>4.7654100000000001</v>
      </c>
      <c r="M43" s="117">
        <v>4357492</v>
      </c>
      <c r="N43" s="114">
        <v>1070707</v>
      </c>
      <c r="O43" s="115">
        <v>10707.1</v>
      </c>
      <c r="P43" s="115">
        <v>107.071</v>
      </c>
      <c r="Q43" s="115">
        <v>1.0707100000000001</v>
      </c>
      <c r="R43" s="115">
        <v>1659.6</v>
      </c>
      <c r="S43" s="115">
        <v>11.525</v>
      </c>
      <c r="T43" s="392">
        <v>1.0707100000000001E-2</v>
      </c>
      <c r="U43" s="345">
        <v>1.0707100000000001E-4</v>
      </c>
      <c r="V43" s="364">
        <v>2.64577E-4</v>
      </c>
      <c r="W43" s="142">
        <v>1</v>
      </c>
      <c r="X43" s="13">
        <v>143</v>
      </c>
      <c r="Y43" s="12">
        <v>149.74924999999999</v>
      </c>
      <c r="Z43" s="18" t="s">
        <v>9</v>
      </c>
      <c r="AA43" s="279">
        <v>66.666668000000001</v>
      </c>
      <c r="AB43" s="18" t="s">
        <v>32</v>
      </c>
      <c r="AC43" s="13">
        <f>2*X43+Y43</f>
        <v>435.74924999999996</v>
      </c>
      <c r="AD43" s="7">
        <v>14.296200000000001</v>
      </c>
      <c r="AE43" s="7">
        <v>171.55500000000001</v>
      </c>
      <c r="AF43" s="7">
        <v>4.3574900000000003</v>
      </c>
      <c r="AG43" s="301">
        <v>2.70762E-3</v>
      </c>
      <c r="AH43" s="7">
        <v>4357.49</v>
      </c>
      <c r="AI43" s="7">
        <v>4.7654100000000001</v>
      </c>
      <c r="AJ43" s="14">
        <v>4357490</v>
      </c>
      <c r="AK43" s="8">
        <v>1070710</v>
      </c>
      <c r="AL43" s="262">
        <f>AA35*(X43*X43)/2</f>
        <v>10707.075951000001</v>
      </c>
      <c r="AM43" s="7">
        <v>107.071</v>
      </c>
      <c r="AN43" s="7">
        <v>1.0707100000000001</v>
      </c>
      <c r="AO43" s="7">
        <v>1659.6</v>
      </c>
      <c r="AP43" s="7">
        <v>11.525</v>
      </c>
      <c r="AQ43" s="321">
        <v>1.0707100000000001E-2</v>
      </c>
      <c r="AR43" s="163">
        <v>1.0707100000000001E-4</v>
      </c>
      <c r="AS43" s="361">
        <v>2.6457800000000001E-4</v>
      </c>
      <c r="AT43" s="269" t="s">
        <v>9</v>
      </c>
      <c r="AU43" s="354">
        <f>(100*(B43-Y43))/Y43</f>
        <v>-1.1945767883272072E-7</v>
      </c>
      <c r="AV43" s="276" t="s">
        <v>32</v>
      </c>
      <c r="AW43" s="216">
        <f t="shared" si="19"/>
        <v>-5.7372445262325727E-5</v>
      </c>
      <c r="AX43" s="90">
        <f t="shared" si="20"/>
        <v>0</v>
      </c>
      <c r="AY43" s="90">
        <f t="shared" si="21"/>
        <v>0</v>
      </c>
      <c r="AZ43" s="90">
        <f t="shared" si="22"/>
        <v>0</v>
      </c>
      <c r="BA43" s="90">
        <f t="shared" si="23"/>
        <v>0</v>
      </c>
      <c r="BB43" s="90">
        <f t="shared" si="24"/>
        <v>0</v>
      </c>
      <c r="BC43" s="90">
        <f t="shared" si="25"/>
        <v>0</v>
      </c>
      <c r="BD43" s="233">
        <f t="shared" si="26"/>
        <v>4.5897982554176833E-5</v>
      </c>
      <c r="BE43" s="138">
        <f t="shared" si="4"/>
        <v>-2.8018791269344642E-4</v>
      </c>
      <c r="BF43" s="93">
        <f t="shared" si="27"/>
        <v>2.2460847489742274E-4</v>
      </c>
      <c r="BG43" s="93">
        <f t="shared" si="6"/>
        <v>0</v>
      </c>
      <c r="BH43" s="93">
        <f t="shared" si="7"/>
        <v>0</v>
      </c>
      <c r="BI43" s="93">
        <f t="shared" si="13"/>
        <v>0</v>
      </c>
      <c r="BJ43" s="93">
        <f t="shared" si="14"/>
        <v>0</v>
      </c>
      <c r="BK43" s="93">
        <f t="shared" si="15"/>
        <v>0</v>
      </c>
      <c r="BL43" s="93">
        <f t="shared" si="16"/>
        <v>0</v>
      </c>
      <c r="BM43" s="95">
        <f t="shared" si="17"/>
        <v>-3.7796037464027442E-4</v>
      </c>
    </row>
    <row r="44" spans="1:65" x14ac:dyDescent="0.25">
      <c r="A44" s="118">
        <v>55</v>
      </c>
      <c r="B44" s="1">
        <v>172.787595947439</v>
      </c>
      <c r="C44" s="211" t="s">
        <v>5</v>
      </c>
      <c r="D44" s="1">
        <v>200</v>
      </c>
      <c r="E44" s="211" t="s">
        <v>32</v>
      </c>
      <c r="F44" s="118">
        <v>8619.3700000000008</v>
      </c>
      <c r="G44" s="1">
        <v>282.78800000000001</v>
      </c>
      <c r="H44" s="1">
        <v>3393.45</v>
      </c>
      <c r="I44" s="1">
        <v>86.193700000000007</v>
      </c>
      <c r="J44" s="1">
        <v>5.3558300000000003E-2</v>
      </c>
      <c r="K44" s="1">
        <v>86193.7</v>
      </c>
      <c r="L44" s="1">
        <v>94.262500000000003</v>
      </c>
      <c r="M44" s="119">
        <v>86193659</v>
      </c>
      <c r="N44" s="118">
        <v>441443556</v>
      </c>
      <c r="O44" s="1">
        <v>4414436</v>
      </c>
      <c r="P44" s="1">
        <v>44144.4</v>
      </c>
      <c r="Q44" s="1">
        <v>441.44400000000002</v>
      </c>
      <c r="R44" s="1">
        <v>684239</v>
      </c>
      <c r="S44" s="1">
        <v>4751.66</v>
      </c>
      <c r="T44" s="1">
        <v>4.4144399999999999</v>
      </c>
      <c r="U44" s="78">
        <v>4.41444E-2</v>
      </c>
      <c r="V44" s="119">
        <v>0.109083</v>
      </c>
      <c r="W44" s="143">
        <v>2</v>
      </c>
      <c r="X44" s="15">
        <v>55</v>
      </c>
      <c r="Y44" s="34">
        <v>172.7876</v>
      </c>
      <c r="Z44" s="19" t="s">
        <v>5</v>
      </c>
      <c r="AA44" s="34">
        <v>200</v>
      </c>
      <c r="AB44" s="19" t="s">
        <v>32</v>
      </c>
      <c r="AC44" s="15">
        <v>8619.3799999999992</v>
      </c>
      <c r="AD44" s="2">
        <f>2*X44+Y44</f>
        <v>282.7876</v>
      </c>
      <c r="AE44" s="2">
        <v>3393.46</v>
      </c>
      <c r="AF44" s="2">
        <v>86.193799999999996</v>
      </c>
      <c r="AG44" s="2">
        <v>5.3558300000000003E-2</v>
      </c>
      <c r="AH44" s="2">
        <v>86193.8</v>
      </c>
      <c r="AI44" s="2">
        <v>94.262699999999995</v>
      </c>
      <c r="AJ44" s="16">
        <v>86193782</v>
      </c>
      <c r="AK44" s="15">
        <v>441443659</v>
      </c>
      <c r="AL44" s="2">
        <v>4414437</v>
      </c>
      <c r="AM44" s="2">
        <v>44144.4</v>
      </c>
      <c r="AN44" s="2">
        <v>441.44400000000002</v>
      </c>
      <c r="AO44" s="2">
        <v>684239</v>
      </c>
      <c r="AP44" s="2">
        <f>AA36*(X44*X44)/2</f>
        <v>4751.6588885545571</v>
      </c>
      <c r="AQ44" s="2">
        <v>4.4144399999999999</v>
      </c>
      <c r="AR44" s="342">
        <v>4.41444E-2</v>
      </c>
      <c r="AS44" s="42">
        <v>0.109083</v>
      </c>
      <c r="AT44" s="270" t="s">
        <v>5</v>
      </c>
      <c r="AU44" s="355">
        <f t="shared" ref="AU44:AU50" si="28">(100*(B44-Y44))/Y44</f>
        <v>-2.3454003621296103E-6</v>
      </c>
      <c r="AV44" s="274" t="s">
        <v>32</v>
      </c>
      <c r="AW44" s="217">
        <f t="shared" si="19"/>
        <v>-1.1601762537907936E-4</v>
      </c>
      <c r="AX44" s="73">
        <f t="shared" si="20"/>
        <v>1.4144891784974965E-4</v>
      </c>
      <c r="AY44" s="73">
        <f t="shared" si="21"/>
        <v>-2.9468448133227674E-4</v>
      </c>
      <c r="AZ44" s="73">
        <f t="shared" si="22"/>
        <v>-1.160176253850147E-4</v>
      </c>
      <c r="BA44" s="73">
        <f t="shared" si="23"/>
        <v>0</v>
      </c>
      <c r="BB44" s="73">
        <f t="shared" si="24"/>
        <v>-1.1601762540440353E-4</v>
      </c>
      <c r="BC44" s="73">
        <f t="shared" si="25"/>
        <v>-2.1217300161403022E-4</v>
      </c>
      <c r="BD44" s="234">
        <f t="shared" si="26"/>
        <v>-1.4270170903975417E-4</v>
      </c>
      <c r="BE44" s="139">
        <f t="shared" si="4"/>
        <v>-2.3332535851421076E-5</v>
      </c>
      <c r="BF44" s="80">
        <f t="shared" si="27"/>
        <v>-2.2652945324624636E-5</v>
      </c>
      <c r="BG44" s="80">
        <f t="shared" si="6"/>
        <v>0</v>
      </c>
      <c r="BH44" s="80">
        <f t="shared" si="7"/>
        <v>0</v>
      </c>
      <c r="BI44" s="80">
        <f t="shared" si="13"/>
        <v>0</v>
      </c>
      <c r="BJ44" s="80">
        <f t="shared" si="14"/>
        <v>2.3390682472592316E-5</v>
      </c>
      <c r="BK44" s="80">
        <f t="shared" si="15"/>
        <v>0</v>
      </c>
      <c r="BL44" s="80">
        <f t="shared" si="16"/>
        <v>0</v>
      </c>
      <c r="BM44" s="96">
        <f t="shared" si="17"/>
        <v>0</v>
      </c>
    </row>
    <row r="45" spans="1:65" x14ac:dyDescent="0.25">
      <c r="A45" s="118">
        <v>6.4</v>
      </c>
      <c r="B45" s="1">
        <v>29.357275776585599</v>
      </c>
      <c r="C45" s="211" t="s">
        <v>8</v>
      </c>
      <c r="D45" s="1">
        <v>292.02222222222201</v>
      </c>
      <c r="E45" s="211" t="s">
        <v>32</v>
      </c>
      <c r="F45" s="118">
        <v>107.07899999999999</v>
      </c>
      <c r="G45" s="1">
        <v>3.5131100000000002</v>
      </c>
      <c r="H45" s="1">
        <v>42.157299999999999</v>
      </c>
      <c r="I45" s="1">
        <v>1.0707899999999999</v>
      </c>
      <c r="J45" s="1">
        <v>6.6536099999999995E-4</v>
      </c>
      <c r="K45" s="1">
        <v>1070.79</v>
      </c>
      <c r="L45" s="1">
        <v>1.1710400000000001</v>
      </c>
      <c r="M45" s="119">
        <v>1070795</v>
      </c>
      <c r="N45" s="118">
        <v>60608.4</v>
      </c>
      <c r="O45" s="1">
        <v>606.08399999999995</v>
      </c>
      <c r="P45" s="1">
        <v>6.0608399999999998</v>
      </c>
      <c r="Q45" s="1">
        <v>6.06084E-2</v>
      </c>
      <c r="R45" s="1">
        <v>93.943299999999994</v>
      </c>
      <c r="S45" s="1">
        <v>0.65238399999999996</v>
      </c>
      <c r="T45" s="316">
        <v>6.0608400000000001E-4</v>
      </c>
      <c r="U45" s="50">
        <v>6.0608448128070301E-6</v>
      </c>
      <c r="V45" s="398">
        <v>1.49766736948197E-5</v>
      </c>
      <c r="W45" s="143">
        <v>3</v>
      </c>
      <c r="X45" s="15">
        <v>6.4</v>
      </c>
      <c r="Y45" s="34">
        <v>29.357189999999999</v>
      </c>
      <c r="Z45" s="19" t="s">
        <v>8</v>
      </c>
      <c r="AA45" s="2">
        <v>292.02222222222201</v>
      </c>
      <c r="AB45" s="19" t="s">
        <v>32</v>
      </c>
      <c r="AC45" s="15">
        <v>107.07899999999999</v>
      </c>
      <c r="AD45" s="2">
        <v>3.5131000000000001</v>
      </c>
      <c r="AE45" s="2">
        <f>2*X45+Y45</f>
        <v>42.15719</v>
      </c>
      <c r="AF45" s="2">
        <v>1.0707899999999999</v>
      </c>
      <c r="AG45" s="2">
        <v>6.6536000000000004E-4</v>
      </c>
      <c r="AH45" s="2">
        <v>1070.79</v>
      </c>
      <c r="AI45" s="2">
        <v>1.17103</v>
      </c>
      <c r="AJ45" s="16">
        <v>1070793</v>
      </c>
      <c r="AK45" s="27">
        <v>60608.5</v>
      </c>
      <c r="AL45" s="26">
        <v>606.08500000000004</v>
      </c>
      <c r="AM45" s="2">
        <v>6.0608500000000003</v>
      </c>
      <c r="AN45" s="2">
        <v>6.0608500000000003E-2</v>
      </c>
      <c r="AO45" s="2">
        <f>AA37*(X45*X45)/2</f>
        <v>93.943282485073937</v>
      </c>
      <c r="AP45" s="2">
        <v>0.65238399999999996</v>
      </c>
      <c r="AQ45" s="302">
        <v>6.0608500000000002E-4</v>
      </c>
      <c r="AR45" s="25">
        <v>6.0608459428000002E-6</v>
      </c>
      <c r="AS45" s="344">
        <v>1.4976676487093201E-5</v>
      </c>
      <c r="AT45" s="270" t="s">
        <v>8</v>
      </c>
      <c r="AU45" s="355">
        <f t="shared" si="28"/>
        <v>2.9218254744312121E-4</v>
      </c>
      <c r="AV45" s="274" t="s">
        <v>32</v>
      </c>
      <c r="AW45" s="217">
        <f t="shared" si="19"/>
        <v>0</v>
      </c>
      <c r="AX45" s="73">
        <f t="shared" si="20"/>
        <v>2.8464888560147765E-4</v>
      </c>
      <c r="AY45" s="73">
        <f t="shared" si="21"/>
        <v>2.6092820702563042E-4</v>
      </c>
      <c r="AZ45" s="73">
        <f t="shared" si="22"/>
        <v>0</v>
      </c>
      <c r="BA45" s="73">
        <f t="shared" si="23"/>
        <v>1.5029457735771988E-4</v>
      </c>
      <c r="BB45" s="73">
        <f t="shared" si="24"/>
        <v>0</v>
      </c>
      <c r="BC45" s="73">
        <f t="shared" si="25"/>
        <v>8.5394908756099438E-4</v>
      </c>
      <c r="BD45" s="234">
        <f t="shared" si="26"/>
        <v>1.8677746305775252E-4</v>
      </c>
      <c r="BE45" s="139">
        <f t="shared" si="4"/>
        <v>-1.6499335901489859E-4</v>
      </c>
      <c r="BF45" s="80">
        <f t="shared" si="27"/>
        <v>-1.6499335903215554E-4</v>
      </c>
      <c r="BG45" s="80">
        <f t="shared" si="6"/>
        <v>-1.6499335902570763E-4</v>
      </c>
      <c r="BH45" s="80">
        <f t="shared" si="7"/>
        <v>-1.6499335902204405E-4</v>
      </c>
      <c r="BI45" s="80">
        <f t="shared" si="13"/>
        <v>1.8644149526969592E-5</v>
      </c>
      <c r="BJ45" s="80">
        <f t="shared" si="14"/>
        <v>0</v>
      </c>
      <c r="BK45" s="80">
        <f t="shared" si="15"/>
        <v>-1.6499335901989741E-4</v>
      </c>
      <c r="BL45" s="80">
        <f t="shared" si="16"/>
        <v>-1.8644146061295193E-5</v>
      </c>
      <c r="BM45" s="96">
        <f t="shared" si="17"/>
        <v>-1.8644146472545945E-5</v>
      </c>
    </row>
    <row r="46" spans="1:65" x14ac:dyDescent="0.25">
      <c r="A46" s="1">
        <v>10.4</v>
      </c>
      <c r="B46" s="1">
        <v>16.128266477097199</v>
      </c>
      <c r="C46" s="211" t="s">
        <v>4</v>
      </c>
      <c r="D46" s="1">
        <v>98.726666666666503</v>
      </c>
      <c r="E46" s="211" t="s">
        <v>32</v>
      </c>
      <c r="F46" s="118">
        <v>3692.83</v>
      </c>
      <c r="G46" s="1">
        <v>121.15600000000001</v>
      </c>
      <c r="H46" s="1">
        <v>1453.87</v>
      </c>
      <c r="I46" s="1">
        <v>36.9283</v>
      </c>
      <c r="J46" s="1">
        <v>2.29462E-2</v>
      </c>
      <c r="K46" s="1">
        <v>36928.300000000003</v>
      </c>
      <c r="L46" s="1">
        <v>40.385199999999998</v>
      </c>
      <c r="M46" s="119">
        <v>36928266</v>
      </c>
      <c r="N46" s="118">
        <v>83866986</v>
      </c>
      <c r="O46" s="1">
        <v>838670</v>
      </c>
      <c r="P46" s="1">
        <v>8386.7000000000007</v>
      </c>
      <c r="Q46" s="1">
        <v>83.867000000000004</v>
      </c>
      <c r="R46" s="1">
        <v>129994</v>
      </c>
      <c r="S46" s="1">
        <v>902.73699999999997</v>
      </c>
      <c r="T46" s="1">
        <v>0.83867000000000003</v>
      </c>
      <c r="U46" s="1">
        <v>8.3867000000000004E-3</v>
      </c>
      <c r="V46" s="119">
        <v>2.0723999999999999E-2</v>
      </c>
      <c r="W46" s="143">
        <v>4</v>
      </c>
      <c r="X46" s="2">
        <v>10.4</v>
      </c>
      <c r="Y46" s="2">
        <v>16.128260000000001</v>
      </c>
      <c r="Z46" s="19" t="s">
        <v>4</v>
      </c>
      <c r="AA46" s="2">
        <v>98.726680000000002</v>
      </c>
      <c r="AB46" s="19" t="s">
        <v>32</v>
      </c>
      <c r="AC46" s="15">
        <v>3692.83</v>
      </c>
      <c r="AD46" s="2">
        <v>121.15600000000001</v>
      </c>
      <c r="AE46" s="2">
        <v>1453.87</v>
      </c>
      <c r="AF46" s="2">
        <f>2*X46+Y46</f>
        <v>36.928260000000002</v>
      </c>
      <c r="AG46" s="2">
        <v>2.29462E-2</v>
      </c>
      <c r="AH46" s="2">
        <v>36928.300000000003</v>
      </c>
      <c r="AI46" s="2">
        <v>40.385300000000001</v>
      </c>
      <c r="AJ46" s="16">
        <v>36928300</v>
      </c>
      <c r="AK46" s="15">
        <v>83867000</v>
      </c>
      <c r="AL46" s="2">
        <v>838670</v>
      </c>
      <c r="AM46" s="2">
        <v>8386.7000000000007</v>
      </c>
      <c r="AN46" s="2">
        <f>AA38*(X46*X46)/2</f>
        <v>83.866985680905529</v>
      </c>
      <c r="AO46" s="2">
        <v>129994</v>
      </c>
      <c r="AP46" s="2">
        <v>902.73699999999997</v>
      </c>
      <c r="AQ46" s="2">
        <v>0.83867000000000003</v>
      </c>
      <c r="AR46" s="2">
        <v>8.3867000000000004E-3</v>
      </c>
      <c r="AS46" s="42">
        <v>2.0723999999999999E-2</v>
      </c>
      <c r="AT46" s="270" t="s">
        <v>4</v>
      </c>
      <c r="AU46" s="355">
        <f t="shared" si="28"/>
        <v>4.0159925485719819E-5</v>
      </c>
      <c r="AV46" s="274" t="s">
        <v>32</v>
      </c>
      <c r="AW46" s="217">
        <f t="shared" si="19"/>
        <v>0</v>
      </c>
      <c r="AX46" s="73">
        <f t="shared" si="20"/>
        <v>0</v>
      </c>
      <c r="AY46" s="73">
        <f t="shared" si="21"/>
        <v>0</v>
      </c>
      <c r="AZ46" s="73">
        <f t="shared" si="22"/>
        <v>1.0831812817198994E-4</v>
      </c>
      <c r="BA46" s="73">
        <f t="shared" si="23"/>
        <v>0</v>
      </c>
      <c r="BB46" s="73">
        <f t="shared" si="24"/>
        <v>0</v>
      </c>
      <c r="BC46" s="73">
        <f t="shared" si="25"/>
        <v>-2.4761484996600161E-4</v>
      </c>
      <c r="BD46" s="234">
        <f t="shared" si="26"/>
        <v>-9.2070309220841469E-5</v>
      </c>
      <c r="BE46" s="139">
        <f t="shared" si="4"/>
        <v>-1.6693097404223353E-5</v>
      </c>
      <c r="BF46" s="80">
        <f t="shared" si="27"/>
        <v>0</v>
      </c>
      <c r="BG46" s="80">
        <f t="shared" si="6"/>
        <v>0</v>
      </c>
      <c r="BH46" s="80">
        <f t="shared" si="7"/>
        <v>1.7073577116445684E-5</v>
      </c>
      <c r="BI46" s="80">
        <f t="shared" si="13"/>
        <v>0</v>
      </c>
      <c r="BJ46" s="80">
        <f t="shared" si="14"/>
        <v>0</v>
      </c>
      <c r="BK46" s="80">
        <f t="shared" si="15"/>
        <v>0</v>
      </c>
      <c r="BL46" s="80">
        <f t="shared" si="16"/>
        <v>0</v>
      </c>
      <c r="BM46" s="96">
        <f t="shared" si="17"/>
        <v>0</v>
      </c>
    </row>
    <row r="47" spans="1:65" x14ac:dyDescent="0.25">
      <c r="A47" s="118">
        <v>720</v>
      </c>
      <c r="B47" s="1">
        <v>1779.6959019768201</v>
      </c>
      <c r="C47" s="211" t="s">
        <v>10</v>
      </c>
      <c r="D47" s="1">
        <v>157.35966666666599</v>
      </c>
      <c r="E47" s="211" t="s">
        <v>32</v>
      </c>
      <c r="F47" s="120">
        <v>518159828</v>
      </c>
      <c r="G47" s="1">
        <v>16999994</v>
      </c>
      <c r="H47" s="1">
        <v>203999932</v>
      </c>
      <c r="I47" s="1">
        <v>5181598</v>
      </c>
      <c r="J47" s="1">
        <v>3219.7</v>
      </c>
      <c r="K47" s="1">
        <v>5181598282</v>
      </c>
      <c r="L47" s="1">
        <v>5666665</v>
      </c>
      <c r="M47" s="164">
        <v>5181598281671</v>
      </c>
      <c r="N47" s="120">
        <v>1.6593808414081101E+18</v>
      </c>
      <c r="O47" s="59">
        <v>1.65938084140811E+16</v>
      </c>
      <c r="P47" s="59">
        <v>165938084140811</v>
      </c>
      <c r="Q47" s="59">
        <v>1659380841408</v>
      </c>
      <c r="R47" s="59">
        <v>2572045448273460</v>
      </c>
      <c r="S47" s="59">
        <v>17861426724121</v>
      </c>
      <c r="T47" s="1">
        <v>16593808414</v>
      </c>
      <c r="U47" s="1">
        <v>165938084</v>
      </c>
      <c r="V47" s="119">
        <v>410041936</v>
      </c>
      <c r="W47" s="143">
        <v>5</v>
      </c>
      <c r="X47" s="15">
        <v>720</v>
      </c>
      <c r="Y47" s="34">
        <v>1779.69615</v>
      </c>
      <c r="Z47" s="19" t="s">
        <v>10</v>
      </c>
      <c r="AA47" s="2">
        <v>157.3597</v>
      </c>
      <c r="AB47" s="19" t="s">
        <v>32</v>
      </c>
      <c r="AC47" s="15">
        <v>518160488</v>
      </c>
      <c r="AD47" s="2">
        <v>17000016</v>
      </c>
      <c r="AE47" s="2">
        <v>204000192</v>
      </c>
      <c r="AF47" s="2">
        <v>5181605</v>
      </c>
      <c r="AG47" s="2">
        <f>2*X47+Y47</f>
        <v>3219.6961499999998</v>
      </c>
      <c r="AH47" s="2">
        <v>5181604877</v>
      </c>
      <c r="AI47" s="2">
        <v>5666672</v>
      </c>
      <c r="AJ47" s="185">
        <v>5181604876800</v>
      </c>
      <c r="AK47" s="28">
        <v>1.659380841408E+18</v>
      </c>
      <c r="AL47" s="29">
        <v>1.659380841408E+16</v>
      </c>
      <c r="AM47" s="29">
        <v>165938084140800</v>
      </c>
      <c r="AN47" s="396">
        <f>AA39*(X47*X47)/2*1609.344*1609.344</f>
        <v>1659380841408.1172</v>
      </c>
      <c r="AO47" s="29">
        <v>2572045448273300</v>
      </c>
      <c r="AP47" s="29">
        <v>17861426724120</v>
      </c>
      <c r="AQ47" s="2">
        <v>16593808414</v>
      </c>
      <c r="AR47" s="2">
        <v>165938084</v>
      </c>
      <c r="AS47" s="42">
        <v>410041936</v>
      </c>
      <c r="AT47" s="270" t="s">
        <v>10</v>
      </c>
      <c r="AU47" s="355">
        <f t="shared" si="28"/>
        <v>-1.3936265462657654E-5</v>
      </c>
      <c r="AV47" s="274" t="s">
        <v>32</v>
      </c>
      <c r="AW47" s="217">
        <f t="shared" si="19"/>
        <v>-1.2737366419957518E-4</v>
      </c>
      <c r="AX47" s="73">
        <f t="shared" si="20"/>
        <v>-1.2941164290668902E-4</v>
      </c>
      <c r="AY47" s="73">
        <f t="shared" si="21"/>
        <v>-1.2745086043840586E-4</v>
      </c>
      <c r="AZ47" s="73">
        <f t="shared" si="22"/>
        <v>-1.3509327708306597E-4</v>
      </c>
      <c r="BA47" s="73">
        <f t="shared" si="23"/>
        <v>1.1957650103276834E-4</v>
      </c>
      <c r="BB47" s="73">
        <f t="shared" si="24"/>
        <v>-1.2727716907311379E-4</v>
      </c>
      <c r="BC47" s="73">
        <f t="shared" si="25"/>
        <v>-1.2352929550183954E-4</v>
      </c>
      <c r="BD47" s="234">
        <f t="shared" si="26"/>
        <v>-1.272796586541919E-4</v>
      </c>
      <c r="BE47" s="139">
        <f t="shared" si="4"/>
        <v>6.6337996229121283E-12</v>
      </c>
      <c r="BF47" s="80">
        <f t="shared" si="27"/>
        <v>6.6289785476047788E-12</v>
      </c>
      <c r="BG47" s="80">
        <f t="shared" si="6"/>
        <v>6.6289785476047788E-12</v>
      </c>
      <c r="BH47" s="80">
        <f t="shared" si="7"/>
        <v>-7.0621220322489106E-12</v>
      </c>
      <c r="BI47" s="80">
        <f t="shared" si="13"/>
        <v>6.2207298905784631E-12</v>
      </c>
      <c r="BJ47" s="80">
        <f t="shared" si="14"/>
        <v>5.5986569015206606E-12</v>
      </c>
      <c r="BK47" s="80">
        <f t="shared" si="15"/>
        <v>0</v>
      </c>
      <c r="BL47" s="80">
        <f t="shared" si="16"/>
        <v>0</v>
      </c>
      <c r="BM47" s="96">
        <f t="shared" si="17"/>
        <v>0</v>
      </c>
    </row>
    <row r="48" spans="1:65" x14ac:dyDescent="0.25">
      <c r="A48" s="118">
        <v>41</v>
      </c>
      <c r="B48" s="1">
        <v>100.15907190318801</v>
      </c>
      <c r="C48" s="211" t="s">
        <v>6</v>
      </c>
      <c r="D48" s="1">
        <v>155.52011111111099</v>
      </c>
      <c r="E48" s="211" t="s">
        <v>32</v>
      </c>
      <c r="F48" s="118">
        <v>18.215900000000001</v>
      </c>
      <c r="G48" s="1">
        <v>0.59763500000000003</v>
      </c>
      <c r="H48" s="1">
        <v>7.1716199999999999</v>
      </c>
      <c r="I48" s="1">
        <v>0.18215899999999999</v>
      </c>
      <c r="J48" s="316">
        <v>1.13188E-4</v>
      </c>
      <c r="K48" s="1">
        <v>182.15899999999999</v>
      </c>
      <c r="L48" s="1">
        <v>0.199212</v>
      </c>
      <c r="M48" s="119">
        <v>182159</v>
      </c>
      <c r="N48" s="374">
        <v>2053.2600000000002</v>
      </c>
      <c r="O48" s="347">
        <v>20.532599999999999</v>
      </c>
      <c r="P48" s="315">
        <v>0.20532600000000001</v>
      </c>
      <c r="Q48" s="326">
        <v>2.0532599999999999E-3</v>
      </c>
      <c r="R48" s="348">
        <v>3.1825600000000001</v>
      </c>
      <c r="S48" s="78">
        <v>2.2101099999999999E-2</v>
      </c>
      <c r="T48" s="49">
        <v>2.0532609740153498E-5</v>
      </c>
      <c r="U48" s="58">
        <v>2.0532609740153499E-7</v>
      </c>
      <c r="V48" s="388">
        <v>5.0737183623570599E-7</v>
      </c>
      <c r="W48" s="143">
        <v>6</v>
      </c>
      <c r="X48" s="15">
        <v>41</v>
      </c>
      <c r="Y48" s="34">
        <v>100.16095</v>
      </c>
      <c r="Z48" s="19" t="s">
        <v>6</v>
      </c>
      <c r="AA48" s="2">
        <v>155.52009000000001</v>
      </c>
      <c r="AB48" s="19" t="s">
        <v>32</v>
      </c>
      <c r="AC48" s="15">
        <v>18.216100000000001</v>
      </c>
      <c r="AD48" s="2">
        <v>0.59764099999999998</v>
      </c>
      <c r="AE48" s="2">
        <v>7.1716899999999999</v>
      </c>
      <c r="AF48" s="2">
        <v>0.18216099999999999</v>
      </c>
      <c r="AG48" s="309">
        <v>1.1319000000000001E-4</v>
      </c>
      <c r="AH48" s="2">
        <f>2*X48+Y48</f>
        <v>182.16095000000001</v>
      </c>
      <c r="AI48" s="2">
        <v>0.199214</v>
      </c>
      <c r="AJ48" s="16">
        <v>182161</v>
      </c>
      <c r="AK48" s="15">
        <f>AA40*(X48*X48)/2</f>
        <v>2053.260974015343</v>
      </c>
      <c r="AL48" s="2">
        <v>20.532599999999999</v>
      </c>
      <c r="AM48" s="2">
        <v>0.20532600000000001</v>
      </c>
      <c r="AN48" s="23">
        <v>2.0532599999999999E-3</v>
      </c>
      <c r="AO48" s="2">
        <v>3.1825600000000001</v>
      </c>
      <c r="AP48" s="342">
        <v>2.2101099999999999E-2</v>
      </c>
      <c r="AQ48" s="323">
        <v>2.0532600000000001E-5</v>
      </c>
      <c r="AR48" s="360">
        <v>2.05326E-7</v>
      </c>
      <c r="AS48" s="385">
        <v>5.07371595551272E-7</v>
      </c>
      <c r="AT48" s="270" t="s">
        <v>6</v>
      </c>
      <c r="AU48" s="355">
        <f t="shared" si="28"/>
        <v>-1.8750788725473261E-3</v>
      </c>
      <c r="AV48" s="274" t="s">
        <v>32</v>
      </c>
      <c r="AW48" s="217">
        <f t="shared" si="19"/>
        <v>-1.0979298532591162E-3</v>
      </c>
      <c r="AX48" s="73">
        <f t="shared" si="20"/>
        <v>-1.0039471856767674E-3</v>
      </c>
      <c r="AY48" s="73">
        <f t="shared" si="21"/>
        <v>-9.7606003605864864E-4</v>
      </c>
      <c r="AZ48" s="73">
        <f t="shared" si="22"/>
        <v>-1.0979298532627732E-3</v>
      </c>
      <c r="BA48" s="73">
        <f t="shared" si="23"/>
        <v>-1.7669405424546208E-3</v>
      </c>
      <c r="BB48" s="73">
        <f t="shared" si="24"/>
        <v>-1.0704819007707747E-3</v>
      </c>
      <c r="BC48" s="73">
        <f t="shared" si="25"/>
        <v>-1.0039455058389471E-3</v>
      </c>
      <c r="BD48" s="234">
        <f t="shared" si="26"/>
        <v>-1.0979298532616752E-3</v>
      </c>
      <c r="BE48" s="139">
        <f t="shared" si="4"/>
        <v>-4.7437483841038029E-5</v>
      </c>
      <c r="BF48" s="80">
        <f t="shared" si="27"/>
        <v>0</v>
      </c>
      <c r="BG48" s="80">
        <f t="shared" si="6"/>
        <v>0</v>
      </c>
      <c r="BH48" s="80">
        <f t="shared" si="7"/>
        <v>0</v>
      </c>
      <c r="BI48" s="80">
        <f t="shared" si="13"/>
        <v>0</v>
      </c>
      <c r="BJ48" s="80">
        <f t="shared" si="14"/>
        <v>0</v>
      </c>
      <c r="BK48" s="80">
        <f t="shared" si="15"/>
        <v>4.7437506685936297E-5</v>
      </c>
      <c r="BL48" s="80">
        <f t="shared" si="16"/>
        <v>4.7437506695218247E-5</v>
      </c>
      <c r="BM48" s="96">
        <f t="shared" si="17"/>
        <v>4.7437506572210923E-5</v>
      </c>
    </row>
    <row r="49" spans="1:65" x14ac:dyDescent="0.25">
      <c r="A49" s="118">
        <v>621.6</v>
      </c>
      <c r="B49" s="1">
        <v>3745.18153454923</v>
      </c>
      <c r="C49" s="211" t="s">
        <v>7</v>
      </c>
      <c r="D49" s="1">
        <v>383.56766666666601</v>
      </c>
      <c r="E49" s="211" t="s">
        <v>32</v>
      </c>
      <c r="F49" s="118">
        <v>456138</v>
      </c>
      <c r="G49" s="1">
        <v>14965.1</v>
      </c>
      <c r="H49" s="1">
        <v>179582</v>
      </c>
      <c r="I49" s="1">
        <v>4561.38</v>
      </c>
      <c r="J49" s="1">
        <v>2.8343099999999999</v>
      </c>
      <c r="K49" s="1">
        <v>4561376</v>
      </c>
      <c r="L49" s="1">
        <v>4988.38</v>
      </c>
      <c r="M49" s="119">
        <v>4561376075</v>
      </c>
      <c r="N49" s="120">
        <v>973254271252</v>
      </c>
      <c r="O49" s="1">
        <v>9732542713</v>
      </c>
      <c r="P49" s="1">
        <v>97325427</v>
      </c>
      <c r="Q49" s="1">
        <v>973254</v>
      </c>
      <c r="R49" s="1">
        <v>1508547138</v>
      </c>
      <c r="S49" s="1">
        <v>10476022</v>
      </c>
      <c r="T49" s="1">
        <v>9732.5400000000009</v>
      </c>
      <c r="U49" s="1">
        <v>97.325400000000002</v>
      </c>
      <c r="V49" s="119">
        <v>240.49600000000001</v>
      </c>
      <c r="W49" s="143">
        <v>7</v>
      </c>
      <c r="X49" s="15">
        <v>621.6</v>
      </c>
      <c r="Y49" s="34">
        <v>3745.1816100000001</v>
      </c>
      <c r="Z49" s="19" t="s">
        <v>7</v>
      </c>
      <c r="AA49" s="2">
        <v>383.56766666666601</v>
      </c>
      <c r="AB49" s="19" t="s">
        <v>32</v>
      </c>
      <c r="AC49" s="15">
        <v>456137</v>
      </c>
      <c r="AD49" s="2">
        <v>14965.1</v>
      </c>
      <c r="AE49" s="2">
        <v>179582</v>
      </c>
      <c r="AF49" s="2">
        <v>4561.37</v>
      </c>
      <c r="AG49" s="2">
        <v>2.8343099999999999</v>
      </c>
      <c r="AH49" s="2">
        <v>4561375</v>
      </c>
      <c r="AI49" s="2">
        <f>2*X49+Y49</f>
        <v>4988.3816100000004</v>
      </c>
      <c r="AJ49" s="16">
        <v>4561374672</v>
      </c>
      <c r="AK49" s="28">
        <v>973254000000</v>
      </c>
      <c r="AL49" s="2">
        <v>9732540000</v>
      </c>
      <c r="AM49" s="2">
        <v>97325400</v>
      </c>
      <c r="AN49" s="2">
        <f>AA41*(X49*X49)/2*0.9144*0.9144</f>
        <v>973254.27125241538</v>
      </c>
      <c r="AO49" s="2">
        <v>1508546717</v>
      </c>
      <c r="AP49" s="2">
        <v>10476019</v>
      </c>
      <c r="AQ49" s="2">
        <v>9732.5400000000009</v>
      </c>
      <c r="AR49" s="2">
        <v>97.325400000000002</v>
      </c>
      <c r="AS49" s="42">
        <v>240.49600000000001</v>
      </c>
      <c r="AT49" s="270" t="s">
        <v>7</v>
      </c>
      <c r="AU49" s="355">
        <f t="shared" si="28"/>
        <v>-2.0146091141061019E-6</v>
      </c>
      <c r="AV49" s="274" t="s">
        <v>32</v>
      </c>
      <c r="AW49" s="217">
        <f t="shared" si="19"/>
        <v>2.192323797455589E-4</v>
      </c>
      <c r="AX49" s="73">
        <f t="shared" si="20"/>
        <v>0</v>
      </c>
      <c r="AY49" s="73">
        <f t="shared" si="21"/>
        <v>0</v>
      </c>
      <c r="AZ49" s="73">
        <f t="shared" si="22"/>
        <v>2.1923237975034429E-4</v>
      </c>
      <c r="BA49" s="73">
        <f t="shared" si="23"/>
        <v>0</v>
      </c>
      <c r="BB49" s="73">
        <f t="shared" si="24"/>
        <v>2.1923213943164068E-5</v>
      </c>
      <c r="BC49" s="73">
        <f t="shared" si="25"/>
        <v>-3.2274996704898055E-5</v>
      </c>
      <c r="BD49" s="234">
        <f t="shared" si="26"/>
        <v>3.0758271374029326E-5</v>
      </c>
      <c r="BE49" s="139">
        <f t="shared" si="4"/>
        <v>2.7870627811444906E-5</v>
      </c>
      <c r="BF49" s="80">
        <f t="shared" si="27"/>
        <v>2.7875559720278572E-5</v>
      </c>
      <c r="BG49" s="80">
        <f t="shared" si="6"/>
        <v>2.7741987189366803E-5</v>
      </c>
      <c r="BH49" s="80">
        <f t="shared" si="7"/>
        <v>-2.7870662722777222E-5</v>
      </c>
      <c r="BI49" s="80">
        <f t="shared" si="13"/>
        <v>2.7907654118742152E-5</v>
      </c>
      <c r="BJ49" s="80">
        <f t="shared" si="14"/>
        <v>2.8636832369242554E-5</v>
      </c>
      <c r="BK49" s="80">
        <f t="shared" si="15"/>
        <v>0</v>
      </c>
      <c r="BL49" s="80">
        <f t="shared" si="16"/>
        <v>0</v>
      </c>
      <c r="BM49" s="96">
        <f t="shared" si="17"/>
        <v>0</v>
      </c>
    </row>
    <row r="50" spans="1:65" ht="15.75" thickBot="1" x14ac:dyDescent="0.3">
      <c r="A50" s="121">
        <v>98.56</v>
      </c>
      <c r="B50" s="55">
        <v>53.186239857408701</v>
      </c>
      <c r="C50" s="212" t="s">
        <v>20</v>
      </c>
      <c r="D50" s="55">
        <v>34.354111111111102</v>
      </c>
      <c r="E50" s="212" t="s">
        <v>32</v>
      </c>
      <c r="F50" s="121">
        <v>2.50306E-2</v>
      </c>
      <c r="G50" s="329">
        <v>8.2121500000000003E-4</v>
      </c>
      <c r="H50" s="55">
        <v>9.8545799999999999E-3</v>
      </c>
      <c r="I50" s="329">
        <v>2.50306E-4</v>
      </c>
      <c r="J50" s="353">
        <v>1.55533086684642E-7</v>
      </c>
      <c r="K50" s="351">
        <v>0.25030599999999997</v>
      </c>
      <c r="L50" s="329">
        <v>2.7373799999999999E-4</v>
      </c>
      <c r="M50" s="122">
        <v>250.30600000000001</v>
      </c>
      <c r="N50" s="352">
        <v>2.6210199999999999E-3</v>
      </c>
      <c r="O50" s="376">
        <v>2.6210179001731001E-5</v>
      </c>
      <c r="P50" s="333">
        <v>2.6210179001731E-7</v>
      </c>
      <c r="Q50" s="67">
        <v>2.6210179001730998E-9</v>
      </c>
      <c r="R50" s="333">
        <v>4.0625858704400502E-6</v>
      </c>
      <c r="S50" s="67">
        <v>2.82124018780559E-8</v>
      </c>
      <c r="T50" s="68">
        <v>2.6210179001731001E-11</v>
      </c>
      <c r="U50" s="71">
        <v>2.6210179001731001E-13</v>
      </c>
      <c r="V50" s="377">
        <v>6.4766762805454298E-13</v>
      </c>
      <c r="W50" s="144">
        <v>8</v>
      </c>
      <c r="X50" s="17">
        <v>98.56</v>
      </c>
      <c r="Y50" s="281">
        <v>53.187980000000003</v>
      </c>
      <c r="Z50" s="20" t="s">
        <v>20</v>
      </c>
      <c r="AA50" s="9">
        <v>34.354109999999999</v>
      </c>
      <c r="AB50" s="20" t="s">
        <v>32</v>
      </c>
      <c r="AC50" s="17">
        <v>2.5030799999999999E-2</v>
      </c>
      <c r="AD50" s="357">
        <v>8.2122E-4</v>
      </c>
      <c r="AE50" s="9">
        <v>9.8546499999999995E-3</v>
      </c>
      <c r="AF50" s="318">
        <v>2.5030799999999998E-4</v>
      </c>
      <c r="AG50" s="320">
        <v>1.55534180386543E-7</v>
      </c>
      <c r="AH50" s="9">
        <v>0.25030799999999997</v>
      </c>
      <c r="AI50" s="357">
        <v>2.7374000000000002E-4</v>
      </c>
      <c r="AJ50" s="10">
        <f>2*X50+Y50</f>
        <v>250.30798000000001</v>
      </c>
      <c r="AK50" s="17">
        <f>AA42*(X50*X50)/2/1000/1000</f>
        <v>2.6210179001731021E-3</v>
      </c>
      <c r="AL50" s="37">
        <v>2.6210199999999999E-5</v>
      </c>
      <c r="AM50" s="189">
        <v>2.62102E-7</v>
      </c>
      <c r="AN50" s="190">
        <v>2.6210200000000001E-9</v>
      </c>
      <c r="AO50" s="203">
        <v>4.0625891251782497E-6</v>
      </c>
      <c r="AP50" s="206">
        <v>2.8212424480404501E-8</v>
      </c>
      <c r="AQ50" s="191">
        <v>2.6210200000000002E-11</v>
      </c>
      <c r="AR50" s="192">
        <v>2.6210200000000001E-13</v>
      </c>
      <c r="AS50" s="397">
        <v>6.4766814693307E-13</v>
      </c>
      <c r="AT50" s="271" t="s">
        <v>20</v>
      </c>
      <c r="AU50" s="356">
        <f t="shared" si="28"/>
        <v>-3.2716839242666741E-3</v>
      </c>
      <c r="AV50" s="275" t="s">
        <v>32</v>
      </c>
      <c r="AW50" s="218">
        <f t="shared" si="19"/>
        <v>-7.990156127603283E-4</v>
      </c>
      <c r="AX50" s="97">
        <f t="shared" si="20"/>
        <v>-6.0885024718958453E-4</v>
      </c>
      <c r="AY50" s="97">
        <f t="shared" si="21"/>
        <v>-7.1032456758570101E-4</v>
      </c>
      <c r="AZ50" s="97">
        <f t="shared" si="22"/>
        <v>-7.990156127559968E-4</v>
      </c>
      <c r="BA50" s="97">
        <f t="shared" si="23"/>
        <v>-7.0319070591096566E-4</v>
      </c>
      <c r="BB50" s="97">
        <f t="shared" si="24"/>
        <v>-7.9901561276587258E-4</v>
      </c>
      <c r="BC50" s="97">
        <f t="shared" si="25"/>
        <v>-7.3062029664334419E-4</v>
      </c>
      <c r="BD50" s="235">
        <f t="shared" si="26"/>
        <v>-7.9102551984287566E-4</v>
      </c>
      <c r="BE50" s="140">
        <f t="shared" si="4"/>
        <v>8.0114939227463286E-5</v>
      </c>
      <c r="BF50" s="100">
        <f t="shared" si="27"/>
        <v>-8.0114875115352673E-5</v>
      </c>
      <c r="BG50" s="100">
        <f t="shared" si="6"/>
        <v>-8.0114875125855665E-5</v>
      </c>
      <c r="BH50" s="100">
        <f t="shared" si="7"/>
        <v>-8.0114875136585892E-5</v>
      </c>
      <c r="BI50" s="100">
        <f t="shared" si="13"/>
        <v>-8.0114875003321547E-5</v>
      </c>
      <c r="BJ50" s="100">
        <f t="shared" si="14"/>
        <v>-8.0114874979865796E-5</v>
      </c>
      <c r="BK50" s="100">
        <f t="shared" si="15"/>
        <v>-8.0114875128696017E-5</v>
      </c>
      <c r="BL50" s="100">
        <f t="shared" si="16"/>
        <v>-8.0114875122532056E-5</v>
      </c>
      <c r="BM50" s="102">
        <f t="shared" si="17"/>
        <v>-8.0114875106687851E-5</v>
      </c>
    </row>
    <row r="51" spans="1:65" s="4" customFormat="1" x14ac:dyDescent="0.25">
      <c r="A51" s="3"/>
      <c r="B51" s="3"/>
      <c r="C51" s="3"/>
      <c r="D51" s="3"/>
      <c r="E51" s="3"/>
      <c r="F51" s="3"/>
      <c r="G51" s="146"/>
      <c r="H51" s="3"/>
      <c r="I51" s="147"/>
      <c r="J51" s="148"/>
      <c r="K51" s="149"/>
      <c r="L51" s="146"/>
      <c r="M51" s="3"/>
      <c r="N51" s="150"/>
      <c r="O51" s="151"/>
      <c r="P51" s="152"/>
      <c r="Q51" s="153"/>
      <c r="R51" s="151"/>
      <c r="S51" s="152"/>
      <c r="T51" s="154"/>
      <c r="U51" s="155"/>
      <c r="V51" s="156"/>
      <c r="W51" s="157"/>
      <c r="X51" s="3"/>
      <c r="Y51" s="3"/>
      <c r="Z51" s="3"/>
      <c r="AA51" s="3"/>
      <c r="AB51" s="3"/>
      <c r="AC51" s="3"/>
      <c r="AD51" s="146"/>
      <c r="AE51" s="3"/>
      <c r="AF51" s="158"/>
      <c r="AG51" s="148"/>
      <c r="AH51" s="3"/>
      <c r="AI51" s="146"/>
      <c r="AJ51" s="3"/>
      <c r="AK51" s="3"/>
      <c r="AL51" s="159"/>
      <c r="AM51" s="159"/>
      <c r="AN51" s="159"/>
      <c r="AO51" s="160"/>
      <c r="AP51" s="160"/>
      <c r="AQ51" s="159"/>
      <c r="AR51" s="159"/>
      <c r="AS51" s="160"/>
      <c r="AT51" s="3"/>
      <c r="AU51" s="150"/>
      <c r="AV51" s="150"/>
      <c r="AW51" s="161"/>
      <c r="AX51" s="161"/>
      <c r="AY51" s="161"/>
      <c r="AZ51" s="161"/>
      <c r="BA51" s="161"/>
      <c r="BB51" s="161"/>
      <c r="BC51" s="162"/>
      <c r="BD51" s="146"/>
      <c r="BE51" s="146"/>
      <c r="BF51" s="146"/>
      <c r="BG51" s="162"/>
      <c r="BH51" s="146"/>
      <c r="BI51" s="146"/>
      <c r="BJ51" s="153"/>
      <c r="BK51" s="146"/>
      <c r="BL51" s="146"/>
      <c r="BM51" s="146"/>
    </row>
    <row r="52" spans="1:65" x14ac:dyDescent="0.25">
      <c r="A52" s="145" t="s">
        <v>2</v>
      </c>
      <c r="B52" t="s">
        <v>3</v>
      </c>
    </row>
    <row r="53" spans="1:65" x14ac:dyDescent="0.25">
      <c r="A53" s="145" t="s">
        <v>44</v>
      </c>
      <c r="B53" s="507">
        <v>40803</v>
      </c>
    </row>
    <row r="54" spans="1:65" ht="15.75" thickBot="1" x14ac:dyDescent="0.3"/>
    <row r="55" spans="1:65" ht="21.75" thickBot="1" x14ac:dyDescent="0.3">
      <c r="A55" s="894" t="s">
        <v>134</v>
      </c>
      <c r="B55" s="895"/>
      <c r="C55" s="895"/>
      <c r="D55" s="895"/>
      <c r="E55" s="895"/>
      <c r="F55" s="895"/>
      <c r="G55" s="895"/>
      <c r="H55" s="895"/>
      <c r="I55" s="895"/>
      <c r="J55" s="895"/>
      <c r="K55" s="895"/>
      <c r="L55" s="895"/>
      <c r="M55" s="895"/>
      <c r="N55" s="895"/>
      <c r="O55" s="895"/>
      <c r="P55" s="895"/>
      <c r="Q55" s="895"/>
      <c r="R55" s="895"/>
      <c r="S55" s="895"/>
      <c r="T55" s="895"/>
      <c r="U55" s="895"/>
      <c r="V55" s="895"/>
      <c r="W55" s="895"/>
      <c r="X55" s="895"/>
      <c r="Y55" s="896"/>
    </row>
    <row r="56" spans="1:65" x14ac:dyDescent="0.25">
      <c r="A56" t="s">
        <v>133</v>
      </c>
      <c r="H56" t="s">
        <v>118</v>
      </c>
    </row>
    <row r="57" spans="1:65" x14ac:dyDescent="0.25">
      <c r="A57" s="884" t="s">
        <v>119</v>
      </c>
    </row>
    <row r="82" spans="1:1" x14ac:dyDescent="0.25">
      <c r="A82" s="884" t="s">
        <v>120</v>
      </c>
    </row>
    <row r="105" spans="1:1" x14ac:dyDescent="0.25">
      <c r="A105" s="884" t="s">
        <v>121</v>
      </c>
    </row>
    <row r="130" spans="1:1" x14ac:dyDescent="0.25">
      <c r="A130" s="884" t="s">
        <v>122</v>
      </c>
    </row>
    <row r="155" spans="1:1" x14ac:dyDescent="0.25">
      <c r="A155" s="884" t="s">
        <v>123</v>
      </c>
    </row>
    <row r="178" spans="1:1" x14ac:dyDescent="0.25">
      <c r="A178" s="884" t="s">
        <v>124</v>
      </c>
    </row>
    <row r="202" spans="1:1" x14ac:dyDescent="0.25">
      <c r="A202" s="884" t="s">
        <v>125</v>
      </c>
    </row>
    <row r="229" spans="1:1" x14ac:dyDescent="0.25">
      <c r="A229" s="884" t="s">
        <v>126</v>
      </c>
    </row>
    <row r="253" spans="1:1" x14ac:dyDescent="0.25">
      <c r="A253" s="884" t="s">
        <v>127</v>
      </c>
    </row>
    <row r="279" spans="1:1" x14ac:dyDescent="0.25">
      <c r="A279" s="884" t="s">
        <v>128</v>
      </c>
    </row>
    <row r="303" spans="1:2" x14ac:dyDescent="0.25">
      <c r="A303" s="145" t="s">
        <v>2</v>
      </c>
      <c r="B303" t="s">
        <v>135</v>
      </c>
    </row>
    <row r="304" spans="1:2" x14ac:dyDescent="0.25">
      <c r="A304" s="145" t="s">
        <v>44</v>
      </c>
      <c r="B304" s="507">
        <v>41551</v>
      </c>
    </row>
  </sheetData>
  <mergeCells count="27">
    <mergeCell ref="A55:Y55"/>
    <mergeCell ref="AK24:AS25"/>
    <mergeCell ref="AT24:AU24"/>
    <mergeCell ref="AW24:BD25"/>
    <mergeCell ref="BE24:BM25"/>
    <mergeCell ref="A25:A26"/>
    <mergeCell ref="B25:B26"/>
    <mergeCell ref="AV25:AV26"/>
    <mergeCell ref="AB25:AB26"/>
    <mergeCell ref="AT25:AT26"/>
    <mergeCell ref="AU25:AU26"/>
    <mergeCell ref="A1:V1"/>
    <mergeCell ref="W1:AS1"/>
    <mergeCell ref="AT1:BM1"/>
    <mergeCell ref="D25:D26"/>
    <mergeCell ref="E25:E26"/>
    <mergeCell ref="C25:C26"/>
    <mergeCell ref="Z25:Z26"/>
    <mergeCell ref="W25:W26"/>
    <mergeCell ref="X25:X26"/>
    <mergeCell ref="Y25:Y26"/>
    <mergeCell ref="AA25:AA26"/>
    <mergeCell ref="A24:E24"/>
    <mergeCell ref="F24:M25"/>
    <mergeCell ref="N24:V25"/>
    <mergeCell ref="W24:AB24"/>
    <mergeCell ref="AC24:AJ25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N44"/>
  <sheetViews>
    <sheetView zoomScaleNormal="100" workbookViewId="0">
      <pane ySplit="2" topLeftCell="A3" activePane="bottomLeft" state="frozen"/>
      <selection pane="bottomLeft"/>
    </sheetView>
  </sheetViews>
  <sheetFormatPr defaultColWidth="10.7109375" defaultRowHeight="15" x14ac:dyDescent="0.25"/>
  <cols>
    <col min="1" max="1" width="2.85546875" customWidth="1"/>
    <col min="2" max="2" width="6" customWidth="1"/>
    <col min="3" max="4" width="11.28515625" customWidth="1"/>
    <col min="5" max="5" width="11.42578125" customWidth="1"/>
    <col min="6" max="6" width="9" customWidth="1"/>
    <col min="7" max="7" width="11.7109375" customWidth="1"/>
    <col min="8" max="8" width="11.42578125" customWidth="1"/>
    <col min="9" max="9" width="9" customWidth="1"/>
    <col min="10" max="26" width="12" bestFit="1" customWidth="1"/>
    <col min="27" max="27" width="11.5703125" customWidth="1"/>
    <col min="28" max="28" width="11.28515625" customWidth="1"/>
    <col min="29" max="29" width="9.28515625" customWidth="1"/>
    <col min="30" max="30" width="11" bestFit="1" customWidth="1"/>
    <col min="31" max="34" width="12" bestFit="1" customWidth="1"/>
    <col min="35" max="35" width="11" bestFit="1" customWidth="1"/>
    <col min="36" max="46" width="12" bestFit="1" customWidth="1"/>
    <col min="47" max="47" width="15.85546875" customWidth="1"/>
    <col min="48" max="48" width="15" customWidth="1"/>
    <col min="49" max="49" width="9" customWidth="1"/>
    <col min="50" max="66" width="15" bestFit="1" customWidth="1"/>
  </cols>
  <sheetData>
    <row r="1" spans="2:66" s="675" customFormat="1" ht="30" customHeight="1" thickBot="1" x14ac:dyDescent="0.3">
      <c r="C1" s="1002" t="s">
        <v>105</v>
      </c>
      <c r="D1" s="1003"/>
      <c r="E1" s="1004"/>
    </row>
    <row r="2" spans="2:66" s="706" customFormat="1" ht="19.5" thickBot="1" x14ac:dyDescent="0.3">
      <c r="B2" s="947" t="s">
        <v>33</v>
      </c>
      <c r="C2" s="948"/>
      <c r="D2" s="948"/>
      <c r="E2" s="948"/>
      <c r="F2" s="949"/>
      <c r="G2" s="947" t="s">
        <v>116</v>
      </c>
      <c r="H2" s="1005"/>
      <c r="I2" s="1005"/>
      <c r="J2" s="1005"/>
      <c r="K2" s="1005"/>
      <c r="L2" s="1005"/>
      <c r="M2" s="1005"/>
      <c r="N2" s="1005"/>
      <c r="O2" s="1005"/>
      <c r="P2" s="1005"/>
      <c r="Q2" s="1005"/>
      <c r="R2" s="1005"/>
      <c r="S2" s="1005"/>
      <c r="T2" s="1005"/>
      <c r="U2" s="1005"/>
      <c r="V2" s="1005"/>
      <c r="W2" s="1005"/>
      <c r="X2" s="1005"/>
      <c r="Y2" s="1005"/>
      <c r="Z2" s="1006"/>
      <c r="AA2" s="947" t="s">
        <v>115</v>
      </c>
      <c r="AB2" s="1005"/>
      <c r="AC2" s="1005"/>
      <c r="AD2" s="1005"/>
      <c r="AE2" s="1005"/>
      <c r="AF2" s="1005"/>
      <c r="AG2" s="1005"/>
      <c r="AH2" s="1005"/>
      <c r="AI2" s="1005"/>
      <c r="AJ2" s="1005"/>
      <c r="AK2" s="1005"/>
      <c r="AL2" s="1005"/>
      <c r="AM2" s="1005"/>
      <c r="AN2" s="1005"/>
      <c r="AO2" s="1005"/>
      <c r="AP2" s="1005"/>
      <c r="AQ2" s="1005"/>
      <c r="AR2" s="1005"/>
      <c r="AS2" s="1005"/>
      <c r="AT2" s="1006"/>
      <c r="AU2" s="947" t="s">
        <v>114</v>
      </c>
      <c r="AV2" s="1005"/>
      <c r="AW2" s="1005"/>
      <c r="AX2" s="1005"/>
      <c r="AY2" s="1005"/>
      <c r="AZ2" s="1005"/>
      <c r="BA2" s="1005"/>
      <c r="BB2" s="1005"/>
      <c r="BC2" s="1005"/>
      <c r="BD2" s="1005"/>
      <c r="BE2" s="1005"/>
      <c r="BF2" s="1005"/>
      <c r="BG2" s="1005"/>
      <c r="BH2" s="1005"/>
      <c r="BI2" s="1005"/>
      <c r="BJ2" s="1005"/>
      <c r="BK2" s="1005"/>
      <c r="BL2" s="1005"/>
      <c r="BM2" s="1005"/>
      <c r="BN2" s="1006"/>
    </row>
    <row r="3" spans="2:66" x14ac:dyDescent="0.25">
      <c r="B3" s="145"/>
      <c r="C3" s="507"/>
      <c r="D3" s="507"/>
      <c r="E3" s="507"/>
    </row>
    <row r="4" spans="2:66" x14ac:dyDescent="0.25">
      <c r="B4" s="941" t="s">
        <v>111</v>
      </c>
      <c r="C4" s="942"/>
      <c r="D4" s="943" t="s">
        <v>90</v>
      </c>
      <c r="E4" s="944"/>
    </row>
    <row r="5" spans="2:66" x14ac:dyDescent="0.25">
      <c r="B5" s="945" t="s">
        <v>112</v>
      </c>
      <c r="C5" s="946"/>
      <c r="D5" s="1007">
        <v>41000</v>
      </c>
      <c r="E5" s="1008"/>
    </row>
    <row r="6" spans="2:66" ht="15.75" thickBot="1" x14ac:dyDescent="0.3"/>
    <row r="7" spans="2:66" ht="17.100000000000001" customHeight="1" thickTop="1" thickBot="1" x14ac:dyDescent="0.3">
      <c r="B7" s="950" t="s">
        <v>91</v>
      </c>
      <c r="C7" s="951"/>
      <c r="D7" s="951"/>
      <c r="E7" s="951"/>
      <c r="F7" s="951"/>
      <c r="G7" s="970" t="s">
        <v>113</v>
      </c>
      <c r="H7" s="971"/>
      <c r="I7" s="972"/>
      <c r="J7" s="963" t="s">
        <v>92</v>
      </c>
      <c r="K7" s="964"/>
      <c r="L7" s="964"/>
      <c r="M7" s="964"/>
      <c r="N7" s="964"/>
      <c r="O7" s="964"/>
      <c r="P7" s="964"/>
      <c r="Q7" s="965"/>
      <c r="R7" s="967" t="s">
        <v>93</v>
      </c>
      <c r="S7" s="961"/>
      <c r="T7" s="961"/>
      <c r="U7" s="961"/>
      <c r="V7" s="961"/>
      <c r="W7" s="961"/>
      <c r="X7" s="961"/>
      <c r="Y7" s="961"/>
      <c r="Z7" s="968"/>
      <c r="AA7" s="950" t="s">
        <v>113</v>
      </c>
      <c r="AB7" s="987"/>
      <c r="AC7" s="988"/>
      <c r="AD7" s="960" t="s">
        <v>1</v>
      </c>
      <c r="AE7" s="961"/>
      <c r="AF7" s="961"/>
      <c r="AG7" s="961"/>
      <c r="AH7" s="961"/>
      <c r="AI7" s="961"/>
      <c r="AJ7" s="961"/>
      <c r="AK7" s="962"/>
      <c r="AL7" s="983" t="s">
        <v>0</v>
      </c>
      <c r="AM7" s="961"/>
      <c r="AN7" s="961"/>
      <c r="AO7" s="961"/>
      <c r="AP7" s="961"/>
      <c r="AQ7" s="961"/>
      <c r="AR7" s="961"/>
      <c r="AS7" s="961"/>
      <c r="AT7" s="968"/>
      <c r="AU7" s="991" t="s">
        <v>113</v>
      </c>
      <c r="AV7" s="992"/>
      <c r="AW7" s="993"/>
      <c r="AX7" s="984" t="s">
        <v>1</v>
      </c>
      <c r="AY7" s="961"/>
      <c r="AZ7" s="961"/>
      <c r="BA7" s="961"/>
      <c r="BB7" s="961"/>
      <c r="BC7" s="961"/>
      <c r="BD7" s="961"/>
      <c r="BE7" s="961"/>
      <c r="BF7" s="989" t="s">
        <v>0</v>
      </c>
      <c r="BG7" s="961"/>
      <c r="BH7" s="961"/>
      <c r="BI7" s="961"/>
      <c r="BJ7" s="961"/>
      <c r="BK7" s="961"/>
      <c r="BL7" s="961"/>
      <c r="BM7" s="961"/>
      <c r="BN7" s="968"/>
    </row>
    <row r="8" spans="2:66" ht="15" customHeight="1" thickBot="1" x14ac:dyDescent="0.3">
      <c r="B8" s="952" t="s">
        <v>94</v>
      </c>
      <c r="C8" s="954" t="s">
        <v>95</v>
      </c>
      <c r="D8" s="954" t="s">
        <v>102</v>
      </c>
      <c r="E8" s="954" t="s">
        <v>104</v>
      </c>
      <c r="F8" s="956" t="s">
        <v>15</v>
      </c>
      <c r="G8" s="985" t="s">
        <v>102</v>
      </c>
      <c r="H8" s="975" t="s">
        <v>104</v>
      </c>
      <c r="I8" s="977" t="s">
        <v>15</v>
      </c>
      <c r="J8" s="966"/>
      <c r="K8" s="892"/>
      <c r="L8" s="892"/>
      <c r="M8" s="892"/>
      <c r="N8" s="892"/>
      <c r="O8" s="892"/>
      <c r="P8" s="892"/>
      <c r="Q8" s="893"/>
      <c r="R8" s="906"/>
      <c r="S8" s="904"/>
      <c r="T8" s="904"/>
      <c r="U8" s="904"/>
      <c r="V8" s="904"/>
      <c r="W8" s="904"/>
      <c r="X8" s="904"/>
      <c r="Y8" s="904"/>
      <c r="Z8" s="969"/>
      <c r="AA8" s="956" t="s">
        <v>102</v>
      </c>
      <c r="AB8" s="979" t="s">
        <v>104</v>
      </c>
      <c r="AC8" s="981" t="s">
        <v>15</v>
      </c>
      <c r="AD8" s="904"/>
      <c r="AE8" s="904"/>
      <c r="AF8" s="904"/>
      <c r="AG8" s="904"/>
      <c r="AH8" s="904"/>
      <c r="AI8" s="904"/>
      <c r="AJ8" s="904"/>
      <c r="AK8" s="905"/>
      <c r="AL8" s="906"/>
      <c r="AM8" s="904"/>
      <c r="AN8" s="904"/>
      <c r="AO8" s="904"/>
      <c r="AP8" s="904"/>
      <c r="AQ8" s="904"/>
      <c r="AR8" s="904"/>
      <c r="AS8" s="904"/>
      <c r="AT8" s="969"/>
      <c r="AU8" s="996" t="s">
        <v>102</v>
      </c>
      <c r="AV8" s="1000" t="s">
        <v>104</v>
      </c>
      <c r="AW8" s="998" t="s">
        <v>15</v>
      </c>
      <c r="AX8" s="904"/>
      <c r="AY8" s="904"/>
      <c r="AZ8" s="904"/>
      <c r="BA8" s="904"/>
      <c r="BB8" s="904"/>
      <c r="BC8" s="904"/>
      <c r="BD8" s="904"/>
      <c r="BE8" s="904"/>
      <c r="BF8" s="906"/>
      <c r="BG8" s="904"/>
      <c r="BH8" s="904"/>
      <c r="BI8" s="904"/>
      <c r="BJ8" s="904"/>
      <c r="BK8" s="904"/>
      <c r="BL8" s="904"/>
      <c r="BM8" s="904"/>
      <c r="BN8" s="969"/>
    </row>
    <row r="9" spans="2:66" ht="18" thickBot="1" x14ac:dyDescent="0.3">
      <c r="B9" s="953"/>
      <c r="C9" s="955"/>
      <c r="D9" s="955"/>
      <c r="E9" s="955"/>
      <c r="F9" s="957"/>
      <c r="G9" s="986"/>
      <c r="H9" s="976"/>
      <c r="I9" s="978"/>
      <c r="J9" s="838" t="s">
        <v>9</v>
      </c>
      <c r="K9" s="110" t="s">
        <v>5</v>
      </c>
      <c r="L9" s="110" t="s">
        <v>8</v>
      </c>
      <c r="M9" s="110" t="s">
        <v>4</v>
      </c>
      <c r="N9" s="110" t="s">
        <v>10</v>
      </c>
      <c r="O9" s="110" t="s">
        <v>6</v>
      </c>
      <c r="P9" s="110" t="s">
        <v>7</v>
      </c>
      <c r="Q9" s="678" t="s">
        <v>96</v>
      </c>
      <c r="R9" s="679" t="s">
        <v>28</v>
      </c>
      <c r="S9" s="110" t="s">
        <v>30</v>
      </c>
      <c r="T9" s="110" t="s">
        <v>97</v>
      </c>
      <c r="U9" s="110" t="s">
        <v>98</v>
      </c>
      <c r="V9" s="110" t="s">
        <v>29</v>
      </c>
      <c r="W9" s="110" t="s">
        <v>99</v>
      </c>
      <c r="X9" s="110" t="s">
        <v>100</v>
      </c>
      <c r="Y9" s="110" t="s">
        <v>27</v>
      </c>
      <c r="Z9" s="817" t="s">
        <v>26</v>
      </c>
      <c r="AA9" s="990"/>
      <c r="AB9" s="980"/>
      <c r="AC9" s="982"/>
      <c r="AD9" s="826" t="s">
        <v>9</v>
      </c>
      <c r="AE9" s="104" t="s">
        <v>5</v>
      </c>
      <c r="AF9" s="104" t="s">
        <v>8</v>
      </c>
      <c r="AG9" s="104" t="s">
        <v>4</v>
      </c>
      <c r="AH9" s="104" t="s">
        <v>10</v>
      </c>
      <c r="AI9" s="104" t="s">
        <v>6</v>
      </c>
      <c r="AJ9" s="104" t="s">
        <v>7</v>
      </c>
      <c r="AK9" s="680" t="s">
        <v>96</v>
      </c>
      <c r="AL9" s="103" t="s">
        <v>28</v>
      </c>
      <c r="AM9" s="104" t="s">
        <v>30</v>
      </c>
      <c r="AN9" s="104" t="s">
        <v>97</v>
      </c>
      <c r="AO9" s="104" t="s">
        <v>98</v>
      </c>
      <c r="AP9" s="104" t="s">
        <v>29</v>
      </c>
      <c r="AQ9" s="104" t="s">
        <v>99</v>
      </c>
      <c r="AR9" s="104" t="s">
        <v>100</v>
      </c>
      <c r="AS9" s="104" t="s">
        <v>27</v>
      </c>
      <c r="AT9" s="827" t="s">
        <v>26</v>
      </c>
      <c r="AU9" s="997"/>
      <c r="AV9" s="1001"/>
      <c r="AW9" s="999"/>
      <c r="AX9" s="798" t="s">
        <v>9</v>
      </c>
      <c r="AY9" s="131" t="s">
        <v>5</v>
      </c>
      <c r="AZ9" s="131" t="s">
        <v>8</v>
      </c>
      <c r="BA9" s="131" t="s">
        <v>4</v>
      </c>
      <c r="BB9" s="131" t="s">
        <v>10</v>
      </c>
      <c r="BC9" s="131" t="s">
        <v>6</v>
      </c>
      <c r="BD9" s="131" t="s">
        <v>7</v>
      </c>
      <c r="BE9" s="681" t="s">
        <v>96</v>
      </c>
      <c r="BF9" s="130" t="s">
        <v>28</v>
      </c>
      <c r="BG9" s="131" t="s">
        <v>30</v>
      </c>
      <c r="BH9" s="131" t="s">
        <v>97</v>
      </c>
      <c r="BI9" s="131" t="s">
        <v>98</v>
      </c>
      <c r="BJ9" s="131" t="s">
        <v>29</v>
      </c>
      <c r="BK9" s="131" t="s">
        <v>99</v>
      </c>
      <c r="BL9" s="131" t="s">
        <v>100</v>
      </c>
      <c r="BM9" s="131" t="s">
        <v>27</v>
      </c>
      <c r="BN9" s="682" t="s">
        <v>26</v>
      </c>
    </row>
    <row r="10" spans="2:66" x14ac:dyDescent="0.25">
      <c r="B10" s="725">
        <v>8</v>
      </c>
      <c r="C10" s="761">
        <v>3</v>
      </c>
      <c r="D10" s="831">
        <f>((C10)/(2*SIN(((2*PI())/B10)/2)))</f>
        <v>3.9196888946291293</v>
      </c>
      <c r="E10" s="831">
        <f>D10*COS(((2*PI())/B10)/2)</f>
        <v>3.6213203435596424</v>
      </c>
      <c r="F10" s="695" t="s">
        <v>9</v>
      </c>
      <c r="G10" s="859">
        <f>((C10)/(2*SIN(((2*PI())/B10)/2)))</f>
        <v>3.9196888946291293</v>
      </c>
      <c r="H10" s="860">
        <f>((C10)/(2*SIN(((2*PI())/B10)/2)))*COS(((2*PI())/B10)/2)</f>
        <v>3.6213203435596424</v>
      </c>
      <c r="I10" s="845" t="s">
        <v>9</v>
      </c>
      <c r="J10" s="764">
        <f>M10*100</f>
        <v>24</v>
      </c>
      <c r="K10" s="707">
        <f>M10/0.3048</f>
        <v>0.78740157480314954</v>
      </c>
      <c r="L10" s="707">
        <f>M10/2.54*100</f>
        <v>9.4488188976377945</v>
      </c>
      <c r="M10" s="707">
        <f>B10*C10/100</f>
        <v>0.24</v>
      </c>
      <c r="N10" s="707">
        <f>M10/63360/2.54*100</f>
        <v>1.4912908613696016E-4</v>
      </c>
      <c r="O10" s="707">
        <f>M10*1000</f>
        <v>240</v>
      </c>
      <c r="P10" s="707">
        <f>M10/0.9144</f>
        <v>0.26246719160104987</v>
      </c>
      <c r="Q10" s="839">
        <f>M10*1000000</f>
        <v>240000</v>
      </c>
      <c r="R10" s="708">
        <f>W10/100</f>
        <v>4.3455844122715706E-5</v>
      </c>
      <c r="S10" s="707">
        <f>W10/4046.8564224</f>
        <v>1.073817293892134E-6</v>
      </c>
      <c r="T10" s="707">
        <f>W10*10000</f>
        <v>43.455844122715703</v>
      </c>
      <c r="U10" s="707">
        <f>W10*100</f>
        <v>0.43455844122715703</v>
      </c>
      <c r="V10" s="707">
        <f>W10/10000</f>
        <v>4.3455844122715704E-7</v>
      </c>
      <c r="W10" s="707">
        <f>(0.5*B10*D10^2*(SIN((2*PI())/B10)))/100^2</f>
        <v>4.3455844122715706E-3</v>
      </c>
      <c r="X10" s="707">
        <f>W10*1000000</f>
        <v>4345.5844122715707</v>
      </c>
      <c r="Y10" s="707">
        <f>W10/144*10000/(2.54*2.54)</f>
        <v>4.6775481321941356E-2</v>
      </c>
      <c r="Z10" s="791">
        <f>W10*10000/(2.54 *2.54)</f>
        <v>6.7356693103595546</v>
      </c>
      <c r="AA10" s="851">
        <v>3.9197000000000002</v>
      </c>
      <c r="AB10" s="852">
        <v>3.6213000000000002</v>
      </c>
      <c r="AC10" s="853" t="s">
        <v>9</v>
      </c>
      <c r="AD10" s="744">
        <v>24</v>
      </c>
      <c r="AE10" s="711">
        <v>0.78740200000000005</v>
      </c>
      <c r="AF10" s="711">
        <v>9.4488199999999996</v>
      </c>
      <c r="AG10" s="711">
        <v>0.24</v>
      </c>
      <c r="AH10" s="711">
        <v>1.4912899999999999E-4</v>
      </c>
      <c r="AI10" s="711">
        <v>240</v>
      </c>
      <c r="AJ10" s="711">
        <v>0.26246700000000001</v>
      </c>
      <c r="AK10" s="712">
        <v>240000</v>
      </c>
      <c r="AL10" s="710">
        <v>4.3455844122715699E-5</v>
      </c>
      <c r="AM10" s="711">
        <v>1.07381729389213E-6</v>
      </c>
      <c r="AN10" s="711">
        <v>43.455800000000004</v>
      </c>
      <c r="AO10" s="711">
        <v>0.434558</v>
      </c>
      <c r="AP10" s="711">
        <v>4.3455844122715698E-7</v>
      </c>
      <c r="AQ10" s="711">
        <v>4.3455799999999999E-3</v>
      </c>
      <c r="AR10" s="711">
        <v>4345.58</v>
      </c>
      <c r="AS10" s="711">
        <v>4.6775499999999998E-2</v>
      </c>
      <c r="AT10" s="828">
        <v>6.7356699999999998</v>
      </c>
      <c r="AU10" s="871">
        <f>(G10-AA10)/G10</f>
        <v>-2.8332276283757363E-6</v>
      </c>
      <c r="AV10" s="872">
        <f>(H10-AB10)/H10</f>
        <v>5.6177188738300412E-6</v>
      </c>
      <c r="AW10" s="848" t="s">
        <v>9</v>
      </c>
      <c r="AX10" s="799">
        <f t="shared" ref="AX10:BN10" si="0">(J10-AD10)/J10</f>
        <v>0</v>
      </c>
      <c r="AY10" s="683">
        <f t="shared" si="0"/>
        <v>-5.4000000014320375E-7</v>
      </c>
      <c r="AZ10" s="683">
        <f t="shared" si="0"/>
        <v>-1.1666666670369827E-7</v>
      </c>
      <c r="BA10" s="683">
        <f t="shared" si="0"/>
        <v>0</v>
      </c>
      <c r="BB10" s="683">
        <f t="shared" si="0"/>
        <v>5.7760000010021076E-7</v>
      </c>
      <c r="BC10" s="683">
        <f t="shared" si="0"/>
        <v>0</v>
      </c>
      <c r="BD10" s="683">
        <f t="shared" si="0"/>
        <v>7.2999999996381517E-7</v>
      </c>
      <c r="BE10" s="684">
        <f t="shared" si="0"/>
        <v>0</v>
      </c>
      <c r="BF10" s="685">
        <f t="shared" si="0"/>
        <v>1.5593445979092697E-16</v>
      </c>
      <c r="BG10" s="683">
        <f t="shared" si="0"/>
        <v>3.746825947340425E-15</v>
      </c>
      <c r="BH10" s="683">
        <f t="shared" si="0"/>
        <v>1.0153459584206468E-6</v>
      </c>
      <c r="BI10" s="683">
        <f t="shared" si="0"/>
        <v>1.0153459585024014E-6</v>
      </c>
      <c r="BJ10" s="683">
        <f t="shared" si="0"/>
        <v>1.218237967116617E-16</v>
      </c>
      <c r="BK10" s="683">
        <f t="shared" si="0"/>
        <v>1.0153459585822398E-6</v>
      </c>
      <c r="BL10" s="683">
        <f t="shared" si="0"/>
        <v>1.0153459586103174E-6</v>
      </c>
      <c r="BM10" s="683">
        <f t="shared" si="0"/>
        <v>-3.9931301856337668E-7</v>
      </c>
      <c r="BN10" s="686">
        <f t="shared" si="0"/>
        <v>-1.0238632768600473E-7</v>
      </c>
    </row>
    <row r="11" spans="2:66" x14ac:dyDescent="0.25">
      <c r="B11" s="726">
        <v>6</v>
      </c>
      <c r="C11" s="762">
        <v>35</v>
      </c>
      <c r="D11" s="832">
        <f t="shared" ref="D11:D17" si="1">((C11)/(2*SIN(((2*PI())/B11)/2)))</f>
        <v>35.000000000000007</v>
      </c>
      <c r="E11" s="832">
        <f t="shared" ref="E11:E17" si="2">D11*COS(((2*PI())/B11)/2)</f>
        <v>30.310889132455362</v>
      </c>
      <c r="F11" s="166" t="s">
        <v>5</v>
      </c>
      <c r="G11" s="861">
        <f t="shared" ref="G11:G17" si="3">((C11)/(2*SIN(((2*PI())/B11)/2)))</f>
        <v>35.000000000000007</v>
      </c>
      <c r="H11" s="862">
        <f t="shared" ref="H11:H17" si="4">((C11)/(2*SIN(((2*PI())/B11)/2)))*COS(((2*PI())/B11)/2)</f>
        <v>30.310889132455362</v>
      </c>
      <c r="I11" s="846" t="s">
        <v>5</v>
      </c>
      <c r="J11" s="765">
        <f t="shared" ref="J11:J17" si="5">M11*100</f>
        <v>6400.8000000000011</v>
      </c>
      <c r="K11" s="714">
        <f t="shared" ref="K11:K17" si="6">M11/0.3048</f>
        <v>210.00000000000003</v>
      </c>
      <c r="L11" s="714">
        <f t="shared" ref="L11:L17" si="7">M11/2.54*100</f>
        <v>2520.0000000000005</v>
      </c>
      <c r="M11" s="714">
        <f>B11*C11*0.3048</f>
        <v>64.00800000000001</v>
      </c>
      <c r="N11" s="714">
        <f t="shared" ref="N11:N17" si="8">M11/63360/2.54*100</f>
        <v>3.9772727272727279E-2</v>
      </c>
      <c r="O11" s="714">
        <f t="shared" ref="O11:O17" si="9">M11*1000</f>
        <v>64008.000000000007</v>
      </c>
      <c r="P11" s="714">
        <f t="shared" ref="P11:P17" si="10">M11/0.9144</f>
        <v>70.000000000000014</v>
      </c>
      <c r="Q11" s="840">
        <f t="shared" ref="Q11:Q17" si="11">M11*1000000</f>
        <v>64008000.000000007</v>
      </c>
      <c r="R11" s="713">
        <f t="shared" ref="R11:R17" si="12">W11/100</f>
        <v>2.956772432783469</v>
      </c>
      <c r="S11" s="714">
        <f t="shared" ref="S11:S17" si="13">W11/4046.8564224</f>
        <v>7.306343799145576E-2</v>
      </c>
      <c r="T11" s="714">
        <f t="shared" ref="T11:T17" si="14">W11*10000</f>
        <v>2956772.4327834691</v>
      </c>
      <c r="U11" s="714">
        <f t="shared" ref="U11:U17" si="15">W11*100</f>
        <v>29567.72432783469</v>
      </c>
      <c r="V11" s="714">
        <f t="shared" ref="V11:V17" si="16">W11/10000</f>
        <v>2.956772432783469E-2</v>
      </c>
      <c r="W11" s="714">
        <f>(0.5*B11*D11^2*(SIN((2*PI())/B11)))*0.3048^2</f>
        <v>295.67724327834691</v>
      </c>
      <c r="X11" s="714">
        <f t="shared" ref="X11:X17" si="17">W11*1000000</f>
        <v>295677243.2783469</v>
      </c>
      <c r="Y11" s="714">
        <f t="shared" ref="Y11:Y17" si="18">W11/144*10000/(2.54*2.54)</f>
        <v>3182.6433589078133</v>
      </c>
      <c r="Z11" s="792">
        <f t="shared" ref="Z11:Z17" si="19">W11*10000/(2.54 *2.54)</f>
        <v>458300.64368272509</v>
      </c>
      <c r="AA11" s="854">
        <v>35</v>
      </c>
      <c r="AB11" s="6">
        <v>30.311</v>
      </c>
      <c r="AC11" s="855" t="s">
        <v>5</v>
      </c>
      <c r="AD11" s="746">
        <v>6400.8</v>
      </c>
      <c r="AE11" s="717">
        <v>210</v>
      </c>
      <c r="AF11" s="717">
        <v>2520</v>
      </c>
      <c r="AG11" s="717">
        <v>64.007999999999996</v>
      </c>
      <c r="AH11" s="717">
        <v>3.9772700000000001E-2</v>
      </c>
      <c r="AI11" s="717">
        <v>64008</v>
      </c>
      <c r="AJ11" s="717">
        <v>70</v>
      </c>
      <c r="AK11" s="718">
        <v>64008000</v>
      </c>
      <c r="AL11" s="716">
        <v>2.9567700000000001</v>
      </c>
      <c r="AM11" s="717">
        <v>7.3063400000000001E-2</v>
      </c>
      <c r="AN11" s="717">
        <v>2956772</v>
      </c>
      <c r="AO11" s="717">
        <v>29567.7</v>
      </c>
      <c r="AP11" s="717">
        <v>2.9567699999999999E-2</v>
      </c>
      <c r="AQ11" s="717">
        <v>295.67700000000002</v>
      </c>
      <c r="AR11" s="717">
        <v>295677243</v>
      </c>
      <c r="AS11" s="717">
        <v>3182.64</v>
      </c>
      <c r="AT11" s="829">
        <v>458301</v>
      </c>
      <c r="AU11" s="874">
        <f t="shared" ref="AU11:AU17" si="20">(G11-AA11)/G11</f>
        <v>2.0301221021717145E-16</v>
      </c>
      <c r="AV11" s="688">
        <f t="shared" ref="AV11:AV17" si="21">(H11-AB11)/H11</f>
        <v>-3.6576803852141389E-6</v>
      </c>
      <c r="AW11" s="849" t="s">
        <v>5</v>
      </c>
      <c r="AX11" s="800">
        <f t="shared" ref="AX11:AX17" si="22">(J11-AD11)/J11</f>
        <v>1.4209078580379455E-16</v>
      </c>
      <c r="AY11" s="687">
        <f t="shared" ref="AY11:BN17" si="23">(K11-AE11)/K11</f>
        <v>1.3534147347811431E-16</v>
      </c>
      <c r="AZ11" s="687">
        <f t="shared" si="23"/>
        <v>1.8045529797081907E-16</v>
      </c>
      <c r="BA11" s="687">
        <f t="shared" si="23"/>
        <v>2.2201685281842896E-16</v>
      </c>
      <c r="BB11" s="687">
        <f t="shared" si="23"/>
        <v>6.8571428584502611E-7</v>
      </c>
      <c r="BC11" s="687">
        <f t="shared" si="23"/>
        <v>1.1367262864303564E-16</v>
      </c>
      <c r="BD11" s="687">
        <f t="shared" si="23"/>
        <v>2.0301221021717145E-16</v>
      </c>
      <c r="BE11" s="688">
        <f t="shared" si="23"/>
        <v>1.1640077173046849E-16</v>
      </c>
      <c r="BF11" s="689">
        <f t="shared" si="23"/>
        <v>8.2278346548548332E-7</v>
      </c>
      <c r="BG11" s="687">
        <f t="shared" si="23"/>
        <v>5.1997903196883423E-7</v>
      </c>
      <c r="BH11" s="687">
        <f t="shared" si="23"/>
        <v>1.4637023272186146E-7</v>
      </c>
      <c r="BI11" s="687">
        <f t="shared" si="23"/>
        <v>8.2278346551191742E-7</v>
      </c>
      <c r="BJ11" s="687">
        <f t="shared" si="23"/>
        <v>8.227834655605802E-7</v>
      </c>
      <c r="BK11" s="687">
        <f t="shared" si="23"/>
        <v>8.2278346547346774E-7</v>
      </c>
      <c r="BL11" s="687">
        <f t="shared" si="23"/>
        <v>9.4138761943724394E-10</v>
      </c>
      <c r="BM11" s="687">
        <f t="shared" si="23"/>
        <v>1.0553830368817018E-6</v>
      </c>
      <c r="BN11" s="690">
        <f t="shared" si="23"/>
        <v>-7.7747496064919218E-7</v>
      </c>
    </row>
    <row r="12" spans="2:66" x14ac:dyDescent="0.25">
      <c r="B12" s="726">
        <v>23</v>
      </c>
      <c r="C12" s="762">
        <v>9</v>
      </c>
      <c r="D12" s="832">
        <f t="shared" si="1"/>
        <v>33.047739882467603</v>
      </c>
      <c r="E12" s="832">
        <f t="shared" si="2"/>
        <v>32.739931449824994</v>
      </c>
      <c r="F12" s="166" t="s">
        <v>8</v>
      </c>
      <c r="G12" s="861">
        <f t="shared" si="3"/>
        <v>33.047739882467603</v>
      </c>
      <c r="H12" s="862">
        <f t="shared" si="4"/>
        <v>32.739931449824994</v>
      </c>
      <c r="I12" s="846" t="s">
        <v>8</v>
      </c>
      <c r="J12" s="765">
        <f t="shared" si="5"/>
        <v>525.78</v>
      </c>
      <c r="K12" s="396">
        <f t="shared" si="6"/>
        <v>17.249999999999996</v>
      </c>
      <c r="L12" s="714">
        <f t="shared" si="7"/>
        <v>206.99999999999997</v>
      </c>
      <c r="M12" s="714">
        <f>B12*C12*2.54/100</f>
        <v>5.2577999999999996</v>
      </c>
      <c r="N12" s="714">
        <f t="shared" si="8"/>
        <v>3.2670454545454543E-3</v>
      </c>
      <c r="O12" s="714">
        <f t="shared" si="9"/>
        <v>5257.7999999999993</v>
      </c>
      <c r="P12" s="714">
        <f t="shared" si="10"/>
        <v>5.75</v>
      </c>
      <c r="Q12" s="840">
        <f t="shared" si="11"/>
        <v>5257800</v>
      </c>
      <c r="R12" s="713">
        <f t="shared" si="12"/>
        <v>2.1861781470265008E-2</v>
      </c>
      <c r="S12" s="714">
        <f t="shared" si="13"/>
        <v>5.4021638497616417E-4</v>
      </c>
      <c r="T12" s="714">
        <f t="shared" si="14"/>
        <v>21861.781470265007</v>
      </c>
      <c r="U12" s="714">
        <f t="shared" si="15"/>
        <v>218.61781470265007</v>
      </c>
      <c r="V12" s="714">
        <f t="shared" si="16"/>
        <v>2.1861781470265007E-4</v>
      </c>
      <c r="W12" s="714">
        <f>(0.5*B12*D12^2*(SIN((2*PI())/B12)))*(2.54/100)^2</f>
        <v>2.1861781470265007</v>
      </c>
      <c r="X12" s="714">
        <f t="shared" si="17"/>
        <v>2186178.1470265007</v>
      </c>
      <c r="Y12" s="714">
        <f t="shared" si="18"/>
        <v>23.531825729561707</v>
      </c>
      <c r="Z12" s="792">
        <f t="shared" si="19"/>
        <v>3388.5829050568859</v>
      </c>
      <c r="AA12" s="854">
        <v>33.048000000000002</v>
      </c>
      <c r="AB12" s="6">
        <v>32.74</v>
      </c>
      <c r="AC12" s="855" t="s">
        <v>8</v>
      </c>
      <c r="AD12" s="746">
        <v>525.78</v>
      </c>
      <c r="AE12" s="717">
        <v>17.25</v>
      </c>
      <c r="AF12" s="717">
        <v>207</v>
      </c>
      <c r="AG12" s="717">
        <v>5.2577999999999996</v>
      </c>
      <c r="AH12" s="717">
        <v>3.2670500000000001E-3</v>
      </c>
      <c r="AI12" s="717">
        <v>5257.8</v>
      </c>
      <c r="AJ12" s="717">
        <v>5.75</v>
      </c>
      <c r="AK12" s="718">
        <v>5257800</v>
      </c>
      <c r="AL12" s="716">
        <v>2.1861800000000001E-2</v>
      </c>
      <c r="AM12" s="717">
        <v>5.4021600000000005E-4</v>
      </c>
      <c r="AN12" s="717">
        <v>21861.8</v>
      </c>
      <c r="AO12" s="717">
        <v>218.61799999999999</v>
      </c>
      <c r="AP12" s="717">
        <v>2.1861800000000001E-4</v>
      </c>
      <c r="AQ12" s="717">
        <v>2.1861799999999998</v>
      </c>
      <c r="AR12" s="717">
        <v>2186178</v>
      </c>
      <c r="AS12" s="717">
        <v>23.5318</v>
      </c>
      <c r="AT12" s="829">
        <v>3388.58</v>
      </c>
      <c r="AU12" s="874">
        <f t="shared" si="20"/>
        <v>-7.8709628350968782E-6</v>
      </c>
      <c r="AV12" s="688">
        <f t="shared" si="21"/>
        <v>-2.0937788190990132E-6</v>
      </c>
      <c r="AW12" s="849" t="s">
        <v>8</v>
      </c>
      <c r="AX12" s="800">
        <f t="shared" si="22"/>
        <v>0</v>
      </c>
      <c r="AY12" s="687">
        <f t="shared" si="23"/>
        <v>-2.0595441616234793E-16</v>
      </c>
      <c r="AZ12" s="687">
        <f t="shared" si="23"/>
        <v>-1.3730294410823194E-16</v>
      </c>
      <c r="BA12" s="687">
        <f t="shared" si="23"/>
        <v>0</v>
      </c>
      <c r="BB12" s="687">
        <f t="shared" si="23"/>
        <v>-1.3913043479143654E-6</v>
      </c>
      <c r="BC12" s="687">
        <f t="shared" si="23"/>
        <v>-1.7298008706548906E-16</v>
      </c>
      <c r="BD12" s="687">
        <f t="shared" si="23"/>
        <v>0</v>
      </c>
      <c r="BE12" s="688">
        <f t="shared" si="23"/>
        <v>0</v>
      </c>
      <c r="BF12" s="689">
        <f t="shared" si="23"/>
        <v>-8.4758577511718098E-7</v>
      </c>
      <c r="BG12" s="687">
        <f t="shared" si="23"/>
        <v>7.1263326109033831E-7</v>
      </c>
      <c r="BH12" s="687">
        <f t="shared" si="23"/>
        <v>-8.4758577510386552E-7</v>
      </c>
      <c r="BI12" s="687">
        <f t="shared" si="23"/>
        <v>-8.4758577511946628E-7</v>
      </c>
      <c r="BJ12" s="687">
        <f t="shared" si="23"/>
        <v>-8.475857751965306E-7</v>
      </c>
      <c r="BK12" s="687">
        <f t="shared" si="23"/>
        <v>-8.4758577502196145E-7</v>
      </c>
      <c r="BL12" s="687">
        <f t="shared" si="23"/>
        <v>6.7252753790731743E-8</v>
      </c>
      <c r="BM12" s="687">
        <f t="shared" si="23"/>
        <v>1.0933941973647125E-6</v>
      </c>
      <c r="BN12" s="690">
        <f t="shared" si="23"/>
        <v>8.5730730732828092E-7</v>
      </c>
    </row>
    <row r="13" spans="2:66" x14ac:dyDescent="0.25">
      <c r="B13" s="726">
        <v>55</v>
      </c>
      <c r="C13" s="762">
        <v>17</v>
      </c>
      <c r="D13" s="832">
        <f t="shared" si="1"/>
        <v>148.89082241409071</v>
      </c>
      <c r="E13" s="832">
        <f t="shared" si="2"/>
        <v>148.64799695638112</v>
      </c>
      <c r="F13" s="166" t="s">
        <v>4</v>
      </c>
      <c r="G13" s="861">
        <f t="shared" si="3"/>
        <v>148.89082241409071</v>
      </c>
      <c r="H13" s="862">
        <f t="shared" si="4"/>
        <v>148.64799695638112</v>
      </c>
      <c r="I13" s="846" t="s">
        <v>4</v>
      </c>
      <c r="J13" s="765">
        <f t="shared" si="5"/>
        <v>93500</v>
      </c>
      <c r="K13" s="714">
        <f t="shared" si="6"/>
        <v>3067.58530183727</v>
      </c>
      <c r="L13" s="714">
        <f t="shared" si="7"/>
        <v>36811.023622047243</v>
      </c>
      <c r="M13" s="714">
        <f>B13*C13</f>
        <v>935</v>
      </c>
      <c r="N13" s="714">
        <f t="shared" si="8"/>
        <v>0.58098206474190728</v>
      </c>
      <c r="O13" s="714">
        <f t="shared" si="9"/>
        <v>935000</v>
      </c>
      <c r="P13" s="714">
        <f t="shared" si="10"/>
        <v>1022.5284339457568</v>
      </c>
      <c r="Q13" s="840">
        <f t="shared" si="11"/>
        <v>935000000</v>
      </c>
      <c r="R13" s="713">
        <f t="shared" si="12"/>
        <v>694.92938577108168</v>
      </c>
      <c r="S13" s="714">
        <f t="shared" si="13"/>
        <v>17.172079096370606</v>
      </c>
      <c r="T13" s="714">
        <f t="shared" si="14"/>
        <v>694929385.77108169</v>
      </c>
      <c r="U13" s="714">
        <f t="shared" si="15"/>
        <v>6949293.8577108169</v>
      </c>
      <c r="V13" s="714">
        <f t="shared" si="16"/>
        <v>6.949293857710817</v>
      </c>
      <c r="W13" s="714">
        <f>(0.5*B13*D13^2*(SIN((2*PI())/B13)))</f>
        <v>69492.938577108172</v>
      </c>
      <c r="X13" s="714">
        <f t="shared" si="17"/>
        <v>69492938577.10817</v>
      </c>
      <c r="Y13" s="714">
        <f t="shared" si="18"/>
        <v>748015.76543790358</v>
      </c>
      <c r="Z13" s="792">
        <f t="shared" si="19"/>
        <v>107714270.2230581</v>
      </c>
      <c r="AA13" s="854">
        <v>148.88999999999999</v>
      </c>
      <c r="AB13" s="6">
        <v>148.65</v>
      </c>
      <c r="AC13" s="855" t="s">
        <v>4</v>
      </c>
      <c r="AD13" s="746">
        <v>93500</v>
      </c>
      <c r="AE13" s="717">
        <v>3067.59</v>
      </c>
      <c r="AF13" s="717">
        <v>36811</v>
      </c>
      <c r="AG13" s="717">
        <v>935</v>
      </c>
      <c r="AH13" s="717">
        <v>0.580982</v>
      </c>
      <c r="AI13" s="717">
        <v>935000</v>
      </c>
      <c r="AJ13" s="717">
        <v>1022.53</v>
      </c>
      <c r="AK13" s="718">
        <v>935000000</v>
      </c>
      <c r="AL13" s="716">
        <v>694.92899999999997</v>
      </c>
      <c r="AM13" s="717">
        <v>17.1721</v>
      </c>
      <c r="AN13" s="717">
        <v>694929386</v>
      </c>
      <c r="AO13" s="717">
        <v>6949294</v>
      </c>
      <c r="AP13" s="717">
        <v>6.9492900000000004</v>
      </c>
      <c r="AQ13" s="717">
        <v>69492.899999999994</v>
      </c>
      <c r="AR13" s="717">
        <v>69492938577</v>
      </c>
      <c r="AS13" s="717">
        <v>748016</v>
      </c>
      <c r="AT13" s="829">
        <v>107714270</v>
      </c>
      <c r="AU13" s="874">
        <f t="shared" si="20"/>
        <v>5.5236049971769564E-6</v>
      </c>
      <c r="AV13" s="688">
        <f t="shared" si="21"/>
        <v>-1.3475079785114569E-5</v>
      </c>
      <c r="AW13" s="849" t="s">
        <v>4</v>
      </c>
      <c r="AX13" s="800">
        <f t="shared" si="22"/>
        <v>0</v>
      </c>
      <c r="AY13" s="687">
        <f t="shared" si="23"/>
        <v>-1.5315508023039801E-6</v>
      </c>
      <c r="AZ13" s="687">
        <f t="shared" si="23"/>
        <v>6.4171122992784784E-7</v>
      </c>
      <c r="BA13" s="687">
        <f t="shared" si="23"/>
        <v>0</v>
      </c>
      <c r="BB13" s="687">
        <f t="shared" si="23"/>
        <v>1.114352941487716E-7</v>
      </c>
      <c r="BC13" s="687">
        <f t="shared" si="23"/>
        <v>0</v>
      </c>
      <c r="BD13" s="687">
        <f t="shared" si="23"/>
        <v>-1.5315508021186764E-6</v>
      </c>
      <c r="BE13" s="688">
        <f t="shared" si="23"/>
        <v>0</v>
      </c>
      <c r="BF13" s="689">
        <f t="shared" si="23"/>
        <v>5.5512270686621335E-7</v>
      </c>
      <c r="BG13" s="687">
        <f t="shared" si="23"/>
        <v>-1.2173033490726881E-6</v>
      </c>
      <c r="BH13" s="687">
        <f t="shared" si="23"/>
        <v>-3.2941233838614941E-10</v>
      </c>
      <c r="BI13" s="687">
        <f t="shared" si="23"/>
        <v>-2.0475344116390543E-8</v>
      </c>
      <c r="BJ13" s="687">
        <f t="shared" si="23"/>
        <v>5.5512270678952828E-7</v>
      </c>
      <c r="BK13" s="687">
        <f t="shared" si="23"/>
        <v>5.5512270697091404E-7</v>
      </c>
      <c r="BL13" s="687">
        <f t="shared" si="23"/>
        <v>1.5565546353179385E-12</v>
      </c>
      <c r="BM13" s="687">
        <f t="shared" si="23"/>
        <v>-3.1357908115946659E-7</v>
      </c>
      <c r="BN13" s="690">
        <f t="shared" si="23"/>
        <v>2.0708315068482565E-9</v>
      </c>
    </row>
    <row r="14" spans="2:66" x14ac:dyDescent="0.25">
      <c r="B14" s="726">
        <v>668</v>
      </c>
      <c r="C14" s="762">
        <v>7</v>
      </c>
      <c r="D14" s="832">
        <f t="shared" si="1"/>
        <v>744.21125731154029</v>
      </c>
      <c r="E14" s="832">
        <f t="shared" si="2"/>
        <v>744.2030270760954</v>
      </c>
      <c r="F14" s="166" t="s">
        <v>10</v>
      </c>
      <c r="G14" s="861">
        <f t="shared" si="3"/>
        <v>744.21125731154029</v>
      </c>
      <c r="H14" s="862">
        <f t="shared" si="4"/>
        <v>744.2030270760954</v>
      </c>
      <c r="I14" s="846" t="s">
        <v>10</v>
      </c>
      <c r="J14" s="765">
        <f t="shared" si="5"/>
        <v>752529254.39999998</v>
      </c>
      <c r="K14" s="714">
        <f t="shared" si="6"/>
        <v>24689279.999999996</v>
      </c>
      <c r="L14" s="714">
        <f t="shared" si="7"/>
        <v>296271360</v>
      </c>
      <c r="M14" s="714">
        <f>B14*C14*63360*2.54/100</f>
        <v>7525292.5439999998</v>
      </c>
      <c r="N14" s="714">
        <f t="shared" si="8"/>
        <v>4676</v>
      </c>
      <c r="O14" s="714">
        <f t="shared" si="9"/>
        <v>7525292544</v>
      </c>
      <c r="P14" s="714">
        <f t="shared" si="10"/>
        <v>8229760</v>
      </c>
      <c r="Q14" s="840">
        <f t="shared" si="11"/>
        <v>7525292544000</v>
      </c>
      <c r="R14" s="713">
        <f t="shared" si="12"/>
        <v>45064412068.35759</v>
      </c>
      <c r="S14" s="714">
        <f t="shared" si="13"/>
        <v>1113565873.474503</v>
      </c>
      <c r="T14" s="714">
        <f t="shared" si="14"/>
        <v>4.5064412068357584E+16</v>
      </c>
      <c r="U14" s="714">
        <f t="shared" si="15"/>
        <v>450644120683575.87</v>
      </c>
      <c r="V14" s="714">
        <f t="shared" si="16"/>
        <v>450644120.68357587</v>
      </c>
      <c r="W14" s="714">
        <f>(0.5*B14*D14^2*(SIN((2*PI())/B14)))*(63360*2.54/100)^2</f>
        <v>4506441206835.7588</v>
      </c>
      <c r="X14" s="714">
        <f t="shared" si="17"/>
        <v>4.5064412068357586E+18</v>
      </c>
      <c r="Y14" s="714">
        <f t="shared" si="18"/>
        <v>48506929448549.359</v>
      </c>
      <c r="Z14" s="792">
        <f t="shared" si="19"/>
        <v>6984997840591107</v>
      </c>
      <c r="AA14" s="854">
        <v>744.21</v>
      </c>
      <c r="AB14" s="6">
        <v>744.2</v>
      </c>
      <c r="AC14" s="855" t="s">
        <v>10</v>
      </c>
      <c r="AD14" s="746">
        <v>752529254</v>
      </c>
      <c r="AE14" s="717">
        <v>24689280</v>
      </c>
      <c r="AF14" s="717">
        <v>296271360</v>
      </c>
      <c r="AG14" s="717">
        <v>7525293</v>
      </c>
      <c r="AH14" s="717">
        <v>4676</v>
      </c>
      <c r="AI14" s="717">
        <v>7525292544</v>
      </c>
      <c r="AJ14" s="717">
        <v>8229760</v>
      </c>
      <c r="AK14" s="718">
        <v>7525292544000</v>
      </c>
      <c r="AL14" s="716">
        <v>45064412068</v>
      </c>
      <c r="AM14" s="717">
        <v>1113565873</v>
      </c>
      <c r="AN14" s="717">
        <v>4.50644120683576E+16</v>
      </c>
      <c r="AO14" s="717">
        <v>450644120683576</v>
      </c>
      <c r="AP14" s="717">
        <v>450644121</v>
      </c>
      <c r="AQ14" s="717">
        <v>4506441206836</v>
      </c>
      <c r="AR14" s="717">
        <v>4.5064412068357601E+18</v>
      </c>
      <c r="AS14" s="717">
        <v>48506929448549</v>
      </c>
      <c r="AT14" s="829">
        <v>6984997840591110</v>
      </c>
      <c r="AU14" s="874">
        <f t="shared" si="20"/>
        <v>1.6894551485279398E-6</v>
      </c>
      <c r="AV14" s="688">
        <f t="shared" si="21"/>
        <v>4.067540691473687E-6</v>
      </c>
      <c r="AW14" s="849" t="s">
        <v>10</v>
      </c>
      <c r="AX14" s="800">
        <f t="shared" si="22"/>
        <v>5.3154076578334025E-10</v>
      </c>
      <c r="AY14" s="687">
        <f t="shared" si="23"/>
        <v>-1.508869557339021E-16</v>
      </c>
      <c r="AZ14" s="687">
        <f t="shared" si="23"/>
        <v>0</v>
      </c>
      <c r="BA14" s="687">
        <f t="shared" si="23"/>
        <v>-6.0595650942765335E-8</v>
      </c>
      <c r="BB14" s="687">
        <f t="shared" si="23"/>
        <v>0</v>
      </c>
      <c r="BC14" s="687">
        <f t="shared" si="23"/>
        <v>0</v>
      </c>
      <c r="BD14" s="687">
        <f t="shared" si="23"/>
        <v>0</v>
      </c>
      <c r="BE14" s="688">
        <f t="shared" si="23"/>
        <v>0</v>
      </c>
      <c r="BF14" s="689">
        <f t="shared" si="23"/>
        <v>7.935080150103025E-12</v>
      </c>
      <c r="BG14" s="687">
        <f t="shared" si="23"/>
        <v>4.261113344226288E-10</v>
      </c>
      <c r="BH14" s="687">
        <f t="shared" si="23"/>
        <v>-3.550473481320431E-16</v>
      </c>
      <c r="BI14" s="687">
        <f t="shared" si="23"/>
        <v>-2.7738074072815865E-16</v>
      </c>
      <c r="BJ14" s="687">
        <f t="shared" si="23"/>
        <v>-7.0215967960139635E-10</v>
      </c>
      <c r="BK14" s="687">
        <f t="shared" si="23"/>
        <v>-5.3525814812386867E-14</v>
      </c>
      <c r="BL14" s="687">
        <f t="shared" si="23"/>
        <v>-3.4084545420676135E-16</v>
      </c>
      <c r="BM14" s="687">
        <f t="shared" si="23"/>
        <v>7.4087352896906031E-15</v>
      </c>
      <c r="BN14" s="690">
        <f t="shared" si="23"/>
        <v>-4.2949190085162924E-16</v>
      </c>
    </row>
    <row r="15" spans="2:66" x14ac:dyDescent="0.25">
      <c r="B15" s="726">
        <v>13</v>
      </c>
      <c r="C15" s="762">
        <v>223</v>
      </c>
      <c r="D15" s="832">
        <f t="shared" si="1"/>
        <v>465.91183377793209</v>
      </c>
      <c r="E15" s="832">
        <f t="shared" si="2"/>
        <v>452.37328264865005</v>
      </c>
      <c r="F15" s="166" t="s">
        <v>6</v>
      </c>
      <c r="G15" s="861">
        <f t="shared" si="3"/>
        <v>465.91183377793209</v>
      </c>
      <c r="H15" s="862">
        <f t="shared" si="4"/>
        <v>452.37328264865005</v>
      </c>
      <c r="I15" s="846" t="s">
        <v>6</v>
      </c>
      <c r="J15" s="765">
        <f t="shared" si="5"/>
        <v>289.89999999999998</v>
      </c>
      <c r="K15" s="714">
        <f t="shared" si="6"/>
        <v>9.5111548556430439</v>
      </c>
      <c r="L15" s="714">
        <f t="shared" si="7"/>
        <v>114.13385826771653</v>
      </c>
      <c r="M15" s="714">
        <f>B15*C15/1000</f>
        <v>2.899</v>
      </c>
      <c r="N15" s="714">
        <f t="shared" si="8"/>
        <v>1.801355086296031E-3</v>
      </c>
      <c r="O15" s="714">
        <f t="shared" si="9"/>
        <v>2899</v>
      </c>
      <c r="P15" s="714">
        <f t="shared" si="10"/>
        <v>3.1703849518810148</v>
      </c>
      <c r="Q15" s="840">
        <f t="shared" si="11"/>
        <v>2899000</v>
      </c>
      <c r="R15" s="713">
        <f t="shared" si="12"/>
        <v>6.5571507319921833E-3</v>
      </c>
      <c r="S15" s="714">
        <f t="shared" si="13"/>
        <v>1.6203072329666309E-4</v>
      </c>
      <c r="T15" s="714">
        <f t="shared" si="14"/>
        <v>6557.150731992183</v>
      </c>
      <c r="U15" s="714">
        <f t="shared" si="15"/>
        <v>65.571507319921835</v>
      </c>
      <c r="V15" s="714">
        <f t="shared" si="16"/>
        <v>6.557150731992183E-5</v>
      </c>
      <c r="W15" s="714">
        <f>(0.5*B15*D15^2*(SIN((2*PI())/B15)))/1000^2</f>
        <v>0.65571507319921829</v>
      </c>
      <c r="X15" s="714">
        <f t="shared" si="17"/>
        <v>655715.07319921826</v>
      </c>
      <c r="Y15" s="714">
        <f t="shared" si="18"/>
        <v>7.0580583068026446</v>
      </c>
      <c r="Z15" s="792">
        <f t="shared" si="19"/>
        <v>1016.3603961795807</v>
      </c>
      <c r="AA15" s="854">
        <v>465.91</v>
      </c>
      <c r="AB15" s="6">
        <v>452.37</v>
      </c>
      <c r="AC15" s="855" t="s">
        <v>6</v>
      </c>
      <c r="AD15" s="746">
        <v>289.89999999999998</v>
      </c>
      <c r="AE15" s="717">
        <v>9.5111500000000007</v>
      </c>
      <c r="AF15" s="717">
        <v>114.134</v>
      </c>
      <c r="AG15" s="717">
        <v>2.899</v>
      </c>
      <c r="AH15" s="717">
        <v>1.8013599999999999E-3</v>
      </c>
      <c r="AI15" s="717">
        <v>2899</v>
      </c>
      <c r="AJ15" s="717">
        <v>3.1703800000000002</v>
      </c>
      <c r="AK15" s="718">
        <v>2899000</v>
      </c>
      <c r="AL15" s="716">
        <v>6.5571500000000003E-3</v>
      </c>
      <c r="AM15" s="717">
        <v>1.6203100000000001E-4</v>
      </c>
      <c r="AN15" s="717">
        <v>6557.15</v>
      </c>
      <c r="AO15" s="717">
        <v>65.5715</v>
      </c>
      <c r="AP15" s="717">
        <v>6.5571507319921803E-5</v>
      </c>
      <c r="AQ15" s="717">
        <v>0.65571500000000005</v>
      </c>
      <c r="AR15" s="717">
        <v>655715</v>
      </c>
      <c r="AS15" s="717">
        <v>7.0580600000000002</v>
      </c>
      <c r="AT15" s="829">
        <v>1016.36</v>
      </c>
      <c r="AU15" s="874">
        <f t="shared" si="20"/>
        <v>3.9358904391709876E-6</v>
      </c>
      <c r="AV15" s="688">
        <f t="shared" si="21"/>
        <v>7.2565042542358693E-6</v>
      </c>
      <c r="AW15" s="849" t="s">
        <v>6</v>
      </c>
      <c r="AX15" s="800">
        <f t="shared" si="22"/>
        <v>0</v>
      </c>
      <c r="AY15" s="687">
        <f t="shared" si="23"/>
        <v>5.1052086911603411E-7</v>
      </c>
      <c r="AZ15" s="687">
        <f t="shared" si="23"/>
        <v>-1.2418075198550611E-6</v>
      </c>
      <c r="BA15" s="687">
        <f t="shared" si="23"/>
        <v>0</v>
      </c>
      <c r="BB15" s="687">
        <f t="shared" si="23"/>
        <v>-2.727781993826119E-6</v>
      </c>
      <c r="BC15" s="687">
        <f t="shared" si="23"/>
        <v>0</v>
      </c>
      <c r="BD15" s="687">
        <f t="shared" si="23"/>
        <v>1.5619179026294272E-6</v>
      </c>
      <c r="BE15" s="688">
        <f t="shared" si="23"/>
        <v>0</v>
      </c>
      <c r="BF15" s="689">
        <f t="shared" si="23"/>
        <v>1.1163266072896606E-7</v>
      </c>
      <c r="BG15" s="687">
        <f t="shared" si="23"/>
        <v>-1.7077214202958847E-6</v>
      </c>
      <c r="BH15" s="687">
        <f t="shared" si="23"/>
        <v>1.1163266077555304E-7</v>
      </c>
      <c r="BI15" s="687">
        <f t="shared" si="23"/>
        <v>1.116326608015598E-7</v>
      </c>
      <c r="BJ15" s="687">
        <f t="shared" si="23"/>
        <v>4.1336634492619932E-16</v>
      </c>
      <c r="BK15" s="687">
        <f t="shared" si="23"/>
        <v>1.1163266063901754E-7</v>
      </c>
      <c r="BL15" s="687">
        <f t="shared" si="23"/>
        <v>1.1163266065904276E-7</v>
      </c>
      <c r="BM15" s="687">
        <f t="shared" si="23"/>
        <v>-2.3989563163918975E-7</v>
      </c>
      <c r="BN15" s="690">
        <f t="shared" si="23"/>
        <v>3.8980226123621653E-7</v>
      </c>
    </row>
    <row r="16" spans="2:66" x14ac:dyDescent="0.25">
      <c r="B16" s="726">
        <v>89</v>
      </c>
      <c r="C16" s="762">
        <v>345</v>
      </c>
      <c r="D16" s="832">
        <f t="shared" si="1"/>
        <v>4887.867515504051</v>
      </c>
      <c r="E16" s="832">
        <f t="shared" si="2"/>
        <v>4884.822678370193</v>
      </c>
      <c r="F16" s="166" t="s">
        <v>7</v>
      </c>
      <c r="G16" s="861">
        <f t="shared" si="3"/>
        <v>4887.867515504051</v>
      </c>
      <c r="H16" s="862">
        <f t="shared" si="4"/>
        <v>4884.822678370193</v>
      </c>
      <c r="I16" s="846" t="s">
        <v>7</v>
      </c>
      <c r="J16" s="765">
        <f t="shared" si="5"/>
        <v>2807665.1999999997</v>
      </c>
      <c r="K16" s="714">
        <f t="shared" si="6"/>
        <v>92114.999999999985</v>
      </c>
      <c r="L16" s="714">
        <f t="shared" si="7"/>
        <v>1105380</v>
      </c>
      <c r="M16" s="714">
        <f>B16*C16*0.9144</f>
        <v>28076.651999999998</v>
      </c>
      <c r="N16" s="714">
        <f t="shared" si="8"/>
        <v>17.446022727272727</v>
      </c>
      <c r="O16" s="714">
        <f t="shared" si="9"/>
        <v>28076652</v>
      </c>
      <c r="P16" s="714">
        <f t="shared" si="10"/>
        <v>30705</v>
      </c>
      <c r="Q16" s="840">
        <f t="shared" si="11"/>
        <v>28076652000</v>
      </c>
      <c r="R16" s="713">
        <f t="shared" si="12"/>
        <v>627047.36048279144</v>
      </c>
      <c r="S16" s="714">
        <f t="shared" si="13"/>
        <v>15494.677721007931</v>
      </c>
      <c r="T16" s="714">
        <f t="shared" si="14"/>
        <v>627047360482.79138</v>
      </c>
      <c r="U16" s="714">
        <f t="shared" si="15"/>
        <v>6270473604.8279142</v>
      </c>
      <c r="V16" s="714">
        <f t="shared" si="16"/>
        <v>6270.4736048279146</v>
      </c>
      <c r="W16" s="714">
        <f>(0.5*B16*D16^2*(SIN((2*PI())/B16)))*0.9144^2</f>
        <v>62704736.048279144</v>
      </c>
      <c r="X16" s="714">
        <f t="shared" si="17"/>
        <v>62704736048279.141</v>
      </c>
      <c r="Y16" s="714">
        <f t="shared" si="18"/>
        <v>674948161.52710545</v>
      </c>
      <c r="Z16" s="792">
        <f t="shared" si="19"/>
        <v>97192535259.903183</v>
      </c>
      <c r="AA16" s="873">
        <v>4887.8999999999996</v>
      </c>
      <c r="AB16" s="6">
        <v>4884.8</v>
      </c>
      <c r="AC16" s="855" t="s">
        <v>7</v>
      </c>
      <c r="AD16" s="746">
        <v>2807665</v>
      </c>
      <c r="AE16" s="717">
        <v>92115</v>
      </c>
      <c r="AF16" s="717">
        <v>1105380</v>
      </c>
      <c r="AG16" s="717">
        <v>28076.7</v>
      </c>
      <c r="AH16" s="717">
        <v>17.446000000000002</v>
      </c>
      <c r="AI16" s="717">
        <v>28076652</v>
      </c>
      <c r="AJ16" s="717">
        <v>30705</v>
      </c>
      <c r="AK16" s="718">
        <v>28076652000</v>
      </c>
      <c r="AL16" s="716">
        <v>627047</v>
      </c>
      <c r="AM16" s="717">
        <v>15494.7</v>
      </c>
      <c r="AN16" s="717">
        <v>627047360483</v>
      </c>
      <c r="AO16" s="717">
        <v>6270473605</v>
      </c>
      <c r="AP16" s="717">
        <v>6270.47</v>
      </c>
      <c r="AQ16" s="717">
        <v>62704736</v>
      </c>
      <c r="AR16" s="717">
        <v>62704736048279</v>
      </c>
      <c r="AS16" s="717">
        <v>674948162</v>
      </c>
      <c r="AT16" s="829">
        <v>97192535260</v>
      </c>
      <c r="AU16" s="874">
        <f t="shared" si="20"/>
        <v>-6.6459444421573138E-6</v>
      </c>
      <c r="AV16" s="688">
        <f t="shared" si="21"/>
        <v>4.6426189210973823E-6</v>
      </c>
      <c r="AW16" s="849" t="s">
        <v>7</v>
      </c>
      <c r="AX16" s="800">
        <f t="shared" si="22"/>
        <v>7.123356435824444E-8</v>
      </c>
      <c r="AY16" s="687">
        <f t="shared" si="23"/>
        <v>-1.5797552220992081E-16</v>
      </c>
      <c r="AZ16" s="687">
        <f t="shared" si="23"/>
        <v>0</v>
      </c>
      <c r="BA16" s="687">
        <f t="shared" si="23"/>
        <v>-1.7096055470753042E-6</v>
      </c>
      <c r="BB16" s="687">
        <f t="shared" si="23"/>
        <v>1.3027194266800832E-6</v>
      </c>
      <c r="BC16" s="687">
        <f t="shared" si="23"/>
        <v>0</v>
      </c>
      <c r="BD16" s="687">
        <f t="shared" si="23"/>
        <v>0</v>
      </c>
      <c r="BE16" s="688">
        <f t="shared" si="23"/>
        <v>0</v>
      </c>
      <c r="BF16" s="689">
        <f t="shared" si="23"/>
        <v>5.7488925742570255E-7</v>
      </c>
      <c r="BG16" s="687">
        <f t="shared" si="23"/>
        <v>-1.4378480450553694E-6</v>
      </c>
      <c r="BH16" s="687">
        <f t="shared" si="23"/>
        <v>-3.3269921414209557E-13</v>
      </c>
      <c r="BI16" s="687">
        <f t="shared" si="23"/>
        <v>-2.7443822088881669E-11</v>
      </c>
      <c r="BJ16" s="687">
        <f t="shared" si="23"/>
        <v>5.7488925742570244E-7</v>
      </c>
      <c r="BK16" s="687">
        <f t="shared" si="23"/>
        <v>7.6994413679860834E-10</v>
      </c>
      <c r="BL16" s="687">
        <f t="shared" si="23"/>
        <v>2.2426535675347809E-15</v>
      </c>
      <c r="BM16" s="687">
        <f t="shared" si="23"/>
        <v>-7.0063832502315946E-10</v>
      </c>
      <c r="BN16" s="690">
        <f t="shared" si="23"/>
        <v>-9.9613634259733527E-13</v>
      </c>
    </row>
    <row r="17" spans="2:66" ht="15.75" thickBot="1" x14ac:dyDescent="0.3">
      <c r="B17" s="731">
        <v>26</v>
      </c>
      <c r="C17" s="763">
        <v>667</v>
      </c>
      <c r="D17" s="833">
        <f t="shared" si="1"/>
        <v>2766.7926418213451</v>
      </c>
      <c r="E17" s="833">
        <f t="shared" si="2"/>
        <v>2746.619608325248</v>
      </c>
      <c r="F17" s="703" t="s">
        <v>96</v>
      </c>
      <c r="G17" s="880">
        <f t="shared" si="3"/>
        <v>2766.7926418213451</v>
      </c>
      <c r="H17" s="881">
        <f t="shared" si="4"/>
        <v>2746.619608325248</v>
      </c>
      <c r="I17" s="847" t="s">
        <v>96</v>
      </c>
      <c r="J17" s="770">
        <f t="shared" si="5"/>
        <v>1.7342</v>
      </c>
      <c r="K17" s="720">
        <f t="shared" si="6"/>
        <v>5.6896325459317582E-2</v>
      </c>
      <c r="L17" s="720">
        <f t="shared" si="7"/>
        <v>0.68275590551181098</v>
      </c>
      <c r="M17" s="720">
        <f>B17*C17/1000000</f>
        <v>1.7342E-2</v>
      </c>
      <c r="N17" s="720">
        <f t="shared" si="8"/>
        <v>1.0775819215779846E-5</v>
      </c>
      <c r="O17" s="720">
        <f t="shared" si="9"/>
        <v>17.341999999999999</v>
      </c>
      <c r="P17" s="720">
        <f t="shared" si="10"/>
        <v>1.8965441819772527E-2</v>
      </c>
      <c r="Q17" s="841">
        <f t="shared" si="11"/>
        <v>17342</v>
      </c>
      <c r="R17" s="719">
        <f t="shared" si="12"/>
        <v>2.3815938623788222E-7</v>
      </c>
      <c r="S17" s="720">
        <f t="shared" si="13"/>
        <v>5.8850465986297855E-9</v>
      </c>
      <c r="T17" s="720">
        <f t="shared" si="14"/>
        <v>0.23815938623788221</v>
      </c>
      <c r="U17" s="720">
        <f t="shared" si="15"/>
        <v>2.3815938623788224E-3</v>
      </c>
      <c r="V17" s="720">
        <f t="shared" si="16"/>
        <v>2.3815938623788222E-9</v>
      </c>
      <c r="W17" s="720">
        <f>(0.5*B17*D17^2*(SIN((2*PI())/B17)))/1000000^2</f>
        <v>2.3815938623788223E-5</v>
      </c>
      <c r="X17" s="720">
        <f t="shared" si="17"/>
        <v>23.815938623788224</v>
      </c>
      <c r="Y17" s="720">
        <f t="shared" si="18"/>
        <v>2.5635262983631348E-4</v>
      </c>
      <c r="Z17" s="797">
        <f t="shared" si="19"/>
        <v>3.6914778696429139E-2</v>
      </c>
      <c r="AA17" s="856">
        <v>2766.8</v>
      </c>
      <c r="AB17" s="857">
        <v>2746.6</v>
      </c>
      <c r="AC17" s="858" t="s">
        <v>96</v>
      </c>
      <c r="AD17" s="760">
        <v>1.7342</v>
      </c>
      <c r="AE17" s="723">
        <v>5.6896299999999997E-2</v>
      </c>
      <c r="AF17" s="723">
        <v>0.68275600000000003</v>
      </c>
      <c r="AG17" s="723">
        <v>1.7342E-2</v>
      </c>
      <c r="AH17" s="723">
        <v>1.07758192157798E-5</v>
      </c>
      <c r="AI17" s="723">
        <v>17.341999999999999</v>
      </c>
      <c r="AJ17" s="723">
        <v>1.89654E-2</v>
      </c>
      <c r="AK17" s="724">
        <v>17342</v>
      </c>
      <c r="AL17" s="722">
        <v>2.3815938623788201E-7</v>
      </c>
      <c r="AM17" s="723">
        <v>5.8850465986297896E-9</v>
      </c>
      <c r="AN17" s="723">
        <v>0.23815900000000001</v>
      </c>
      <c r="AO17" s="723">
        <v>2.3815899999999998E-3</v>
      </c>
      <c r="AP17" s="723">
        <v>2.3815938623788201E-9</v>
      </c>
      <c r="AQ17" s="723">
        <v>2.3815938623788199E-5</v>
      </c>
      <c r="AR17" s="723">
        <v>23.815899999999999</v>
      </c>
      <c r="AS17" s="723">
        <v>2.5635300000000002E-4</v>
      </c>
      <c r="AT17" s="830">
        <v>3.6914799999999998E-2</v>
      </c>
      <c r="AU17" s="879">
        <f t="shared" si="20"/>
        <v>-2.6594615526459571E-6</v>
      </c>
      <c r="AV17" s="692">
        <f t="shared" si="21"/>
        <v>7.1390756800343682E-6</v>
      </c>
      <c r="AW17" s="850" t="s">
        <v>96</v>
      </c>
      <c r="AX17" s="805">
        <f t="shared" si="22"/>
        <v>0</v>
      </c>
      <c r="AY17" s="691">
        <f t="shared" si="23"/>
        <v>4.4746857339478504E-7</v>
      </c>
      <c r="AZ17" s="691">
        <f t="shared" si="23"/>
        <v>-1.3839234239936453E-7</v>
      </c>
      <c r="BA17" s="691">
        <f t="shared" si="23"/>
        <v>0</v>
      </c>
      <c r="BB17" s="691">
        <f t="shared" si="23"/>
        <v>4.244668385374544E-15</v>
      </c>
      <c r="BC17" s="691">
        <f t="shared" si="23"/>
        <v>0</v>
      </c>
      <c r="BD17" s="691">
        <f t="shared" si="23"/>
        <v>2.2050513204113631E-6</v>
      </c>
      <c r="BE17" s="692">
        <f t="shared" si="23"/>
        <v>0</v>
      </c>
      <c r="BF17" s="693">
        <f t="shared" si="23"/>
        <v>8.8914503920522911E-16</v>
      </c>
      <c r="BG17" s="691">
        <f t="shared" si="23"/>
        <v>-7.0278170163140256E-16</v>
      </c>
      <c r="BH17" s="691">
        <f t="shared" si="23"/>
        <v>1.6217621665318468E-6</v>
      </c>
      <c r="BI17" s="691">
        <f t="shared" si="23"/>
        <v>1.6217621667576467E-6</v>
      </c>
      <c r="BJ17" s="691">
        <f t="shared" si="23"/>
        <v>8.6830570234885651E-16</v>
      </c>
      <c r="BK17" s="691">
        <f t="shared" si="23"/>
        <v>9.9584244390985653E-16</v>
      </c>
      <c r="BL17" s="691">
        <f t="shared" si="23"/>
        <v>1.6217621667043287E-6</v>
      </c>
      <c r="BM17" s="691">
        <f t="shared" si="23"/>
        <v>-1.4439628989849349E-6</v>
      </c>
      <c r="BN17" s="694">
        <f t="shared" si="23"/>
        <v>-5.7710141062928701E-7</v>
      </c>
    </row>
    <row r="18" spans="2:66" ht="15.75" thickTop="1" x14ac:dyDescent="0.25"/>
    <row r="19" spans="2:66" ht="15.75" thickBot="1" x14ac:dyDescent="0.3"/>
    <row r="20" spans="2:66" ht="17.100000000000001" customHeight="1" thickTop="1" thickBot="1" x14ac:dyDescent="0.3">
      <c r="B20" s="950" t="s">
        <v>101</v>
      </c>
      <c r="C20" s="951"/>
      <c r="D20" s="951"/>
      <c r="E20" s="951"/>
      <c r="F20" s="951"/>
      <c r="G20" s="970" t="s">
        <v>113</v>
      </c>
      <c r="H20" s="971"/>
      <c r="I20" s="972"/>
      <c r="J20" s="963" t="s">
        <v>92</v>
      </c>
      <c r="K20" s="964"/>
      <c r="L20" s="964"/>
      <c r="M20" s="964"/>
      <c r="N20" s="964"/>
      <c r="O20" s="964"/>
      <c r="P20" s="964"/>
      <c r="Q20" s="965"/>
      <c r="R20" s="967" t="s">
        <v>93</v>
      </c>
      <c r="S20" s="961"/>
      <c r="T20" s="961"/>
      <c r="U20" s="961"/>
      <c r="V20" s="961"/>
      <c r="W20" s="961"/>
      <c r="X20" s="961"/>
      <c r="Y20" s="961"/>
      <c r="Z20" s="968"/>
      <c r="AA20" s="950" t="s">
        <v>113</v>
      </c>
      <c r="AB20" s="987"/>
      <c r="AC20" s="988"/>
      <c r="AD20" s="960" t="s">
        <v>1</v>
      </c>
      <c r="AE20" s="961"/>
      <c r="AF20" s="961"/>
      <c r="AG20" s="961"/>
      <c r="AH20" s="961"/>
      <c r="AI20" s="961"/>
      <c r="AJ20" s="961"/>
      <c r="AK20" s="962"/>
      <c r="AL20" s="983" t="s">
        <v>0</v>
      </c>
      <c r="AM20" s="961"/>
      <c r="AN20" s="961"/>
      <c r="AO20" s="961"/>
      <c r="AP20" s="961"/>
      <c r="AQ20" s="961"/>
      <c r="AR20" s="961"/>
      <c r="AS20" s="961"/>
      <c r="AT20" s="968"/>
      <c r="AU20" s="991" t="s">
        <v>113</v>
      </c>
      <c r="AV20" s="992"/>
      <c r="AW20" s="993"/>
      <c r="AX20" s="984" t="s">
        <v>1</v>
      </c>
      <c r="AY20" s="961"/>
      <c r="AZ20" s="961"/>
      <c r="BA20" s="961"/>
      <c r="BB20" s="961"/>
      <c r="BC20" s="961"/>
      <c r="BD20" s="961"/>
      <c r="BE20" s="961"/>
      <c r="BF20" s="989" t="s">
        <v>0</v>
      </c>
      <c r="BG20" s="961"/>
      <c r="BH20" s="961"/>
      <c r="BI20" s="961"/>
      <c r="BJ20" s="961"/>
      <c r="BK20" s="961"/>
      <c r="BL20" s="961"/>
      <c r="BM20" s="961"/>
      <c r="BN20" s="968"/>
    </row>
    <row r="21" spans="2:66" ht="15.75" customHeight="1" thickBot="1" x14ac:dyDescent="0.3">
      <c r="B21" s="952" t="s">
        <v>94</v>
      </c>
      <c r="C21" s="954" t="s">
        <v>102</v>
      </c>
      <c r="D21" s="954" t="s">
        <v>95</v>
      </c>
      <c r="E21" s="954" t="s">
        <v>104</v>
      </c>
      <c r="F21" s="958" t="s">
        <v>15</v>
      </c>
      <c r="G21" s="973" t="s">
        <v>95</v>
      </c>
      <c r="H21" s="975" t="s">
        <v>104</v>
      </c>
      <c r="I21" s="977" t="s">
        <v>15</v>
      </c>
      <c r="J21" s="966"/>
      <c r="K21" s="892"/>
      <c r="L21" s="892"/>
      <c r="M21" s="892"/>
      <c r="N21" s="892"/>
      <c r="O21" s="892"/>
      <c r="P21" s="892"/>
      <c r="Q21" s="893"/>
      <c r="R21" s="906"/>
      <c r="S21" s="904"/>
      <c r="T21" s="904"/>
      <c r="U21" s="904"/>
      <c r="V21" s="904"/>
      <c r="W21" s="904"/>
      <c r="X21" s="904"/>
      <c r="Y21" s="904"/>
      <c r="Z21" s="969"/>
      <c r="AA21" s="954" t="s">
        <v>95</v>
      </c>
      <c r="AB21" s="979" t="s">
        <v>104</v>
      </c>
      <c r="AC21" s="981" t="s">
        <v>15</v>
      </c>
      <c r="AD21" s="904"/>
      <c r="AE21" s="904"/>
      <c r="AF21" s="904"/>
      <c r="AG21" s="904"/>
      <c r="AH21" s="904"/>
      <c r="AI21" s="904"/>
      <c r="AJ21" s="904"/>
      <c r="AK21" s="905"/>
      <c r="AL21" s="906"/>
      <c r="AM21" s="904"/>
      <c r="AN21" s="904"/>
      <c r="AO21" s="904"/>
      <c r="AP21" s="904"/>
      <c r="AQ21" s="904"/>
      <c r="AR21" s="904"/>
      <c r="AS21" s="904"/>
      <c r="AT21" s="969"/>
      <c r="AU21" s="994" t="s">
        <v>95</v>
      </c>
      <c r="AV21" s="1000" t="s">
        <v>104</v>
      </c>
      <c r="AW21" s="998" t="s">
        <v>15</v>
      </c>
      <c r="AX21" s="904"/>
      <c r="AY21" s="904"/>
      <c r="AZ21" s="904"/>
      <c r="BA21" s="904"/>
      <c r="BB21" s="904"/>
      <c r="BC21" s="904"/>
      <c r="BD21" s="904"/>
      <c r="BE21" s="904"/>
      <c r="BF21" s="906"/>
      <c r="BG21" s="904"/>
      <c r="BH21" s="904"/>
      <c r="BI21" s="904"/>
      <c r="BJ21" s="904"/>
      <c r="BK21" s="904"/>
      <c r="BL21" s="904"/>
      <c r="BM21" s="904"/>
      <c r="BN21" s="969"/>
    </row>
    <row r="22" spans="2:66" ht="18" thickBot="1" x14ac:dyDescent="0.3">
      <c r="B22" s="953"/>
      <c r="C22" s="955"/>
      <c r="D22" s="955"/>
      <c r="E22" s="955"/>
      <c r="F22" s="959"/>
      <c r="G22" s="974"/>
      <c r="H22" s="976"/>
      <c r="I22" s="978"/>
      <c r="J22" s="838" t="s">
        <v>9</v>
      </c>
      <c r="K22" s="110" t="s">
        <v>5</v>
      </c>
      <c r="L22" s="110" t="s">
        <v>8</v>
      </c>
      <c r="M22" s="110" t="s">
        <v>4</v>
      </c>
      <c r="N22" s="110" t="s">
        <v>10</v>
      </c>
      <c r="O22" s="110" t="s">
        <v>6</v>
      </c>
      <c r="P22" s="110" t="s">
        <v>7</v>
      </c>
      <c r="Q22" s="678" t="s">
        <v>96</v>
      </c>
      <c r="R22" s="679" t="s">
        <v>28</v>
      </c>
      <c r="S22" s="110" t="s">
        <v>30</v>
      </c>
      <c r="T22" s="110" t="s">
        <v>97</v>
      </c>
      <c r="U22" s="110" t="s">
        <v>98</v>
      </c>
      <c r="V22" s="110" t="s">
        <v>29</v>
      </c>
      <c r="W22" s="110" t="s">
        <v>99</v>
      </c>
      <c r="X22" s="110" t="s">
        <v>100</v>
      </c>
      <c r="Y22" s="110" t="s">
        <v>27</v>
      </c>
      <c r="Z22" s="817" t="s">
        <v>26</v>
      </c>
      <c r="AA22" s="955"/>
      <c r="AB22" s="980"/>
      <c r="AC22" s="982"/>
      <c r="AD22" s="826" t="s">
        <v>9</v>
      </c>
      <c r="AE22" s="104" t="s">
        <v>5</v>
      </c>
      <c r="AF22" s="104" t="s">
        <v>8</v>
      </c>
      <c r="AG22" s="104" t="s">
        <v>4</v>
      </c>
      <c r="AH22" s="104" t="s">
        <v>10</v>
      </c>
      <c r="AI22" s="104" t="s">
        <v>6</v>
      </c>
      <c r="AJ22" s="104" t="s">
        <v>7</v>
      </c>
      <c r="AK22" s="680" t="s">
        <v>96</v>
      </c>
      <c r="AL22" s="103" t="s">
        <v>28</v>
      </c>
      <c r="AM22" s="104" t="s">
        <v>30</v>
      </c>
      <c r="AN22" s="104" t="s">
        <v>97</v>
      </c>
      <c r="AO22" s="104" t="s">
        <v>98</v>
      </c>
      <c r="AP22" s="104" t="s">
        <v>29</v>
      </c>
      <c r="AQ22" s="104" t="s">
        <v>99</v>
      </c>
      <c r="AR22" s="104" t="s">
        <v>100</v>
      </c>
      <c r="AS22" s="104" t="s">
        <v>27</v>
      </c>
      <c r="AT22" s="827" t="s">
        <v>26</v>
      </c>
      <c r="AU22" s="995"/>
      <c r="AV22" s="1001"/>
      <c r="AW22" s="999"/>
      <c r="AX22" s="798" t="s">
        <v>9</v>
      </c>
      <c r="AY22" s="131" t="s">
        <v>5</v>
      </c>
      <c r="AZ22" s="131" t="s">
        <v>8</v>
      </c>
      <c r="BA22" s="131" t="s">
        <v>4</v>
      </c>
      <c r="BB22" s="131" t="s">
        <v>10</v>
      </c>
      <c r="BC22" s="131" t="s">
        <v>6</v>
      </c>
      <c r="BD22" s="131" t="s">
        <v>7</v>
      </c>
      <c r="BE22" s="681" t="s">
        <v>96</v>
      </c>
      <c r="BF22" s="130" t="s">
        <v>28</v>
      </c>
      <c r="BG22" s="131" t="s">
        <v>30</v>
      </c>
      <c r="BH22" s="131" t="s">
        <v>97</v>
      </c>
      <c r="BI22" s="131" t="s">
        <v>98</v>
      </c>
      <c r="BJ22" s="131" t="s">
        <v>29</v>
      </c>
      <c r="BK22" s="131" t="s">
        <v>99</v>
      </c>
      <c r="BL22" s="131" t="s">
        <v>100</v>
      </c>
      <c r="BM22" s="131" t="s">
        <v>27</v>
      </c>
      <c r="BN22" s="682" t="s">
        <v>26</v>
      </c>
    </row>
    <row r="23" spans="2:66" x14ac:dyDescent="0.25">
      <c r="B23" s="725">
        <v>45</v>
      </c>
      <c r="C23" s="761">
        <v>36</v>
      </c>
      <c r="D23" s="834">
        <f>2*SIN(((2*PI())/B23)/2)*C23</f>
        <v>5.0224661095770218</v>
      </c>
      <c r="E23" s="835">
        <f>C23*COS(((2*PI())/B23)/2)</f>
        <v>35.912305809353668</v>
      </c>
      <c r="F23" s="695" t="s">
        <v>9</v>
      </c>
      <c r="G23" s="859">
        <f>2*SIN(((2*PI())/B23)/2)*C23</f>
        <v>5.0224661095770218</v>
      </c>
      <c r="H23" s="860">
        <f>C23*COS(((2*PI())/B23)/2)</f>
        <v>35.912305809353668</v>
      </c>
      <c r="I23" s="845" t="s">
        <v>9</v>
      </c>
      <c r="J23" s="764">
        <f>M23*100</f>
        <v>226.01097493096597</v>
      </c>
      <c r="K23" s="707">
        <f>M23/0.3048</f>
        <v>7.4150582326432399</v>
      </c>
      <c r="L23" s="707">
        <f>M23/2.54*100</f>
        <v>88.980698791718879</v>
      </c>
      <c r="M23" s="707">
        <f>D23*B23/100</f>
        <v>2.2601097493096596</v>
      </c>
      <c r="N23" s="707">
        <f>M23/63360/2.54*100</f>
        <v>1.4043670895157651E-3</v>
      </c>
      <c r="O23" s="707">
        <f>M23*1000</f>
        <v>2260.1097493096595</v>
      </c>
      <c r="P23" s="707">
        <f>M23/0.9144</f>
        <v>2.4716860775477469</v>
      </c>
      <c r="Q23" s="839">
        <f>M23*1000000</f>
        <v>2260109.7493096595</v>
      </c>
      <c r="R23" s="708">
        <f>W23/100</f>
        <v>4.0582876239955079E-3</v>
      </c>
      <c r="S23" s="707">
        <f>W23/4046.8564224</f>
        <v>1.002824711430886E-4</v>
      </c>
      <c r="T23" s="707">
        <f>W23*10000</f>
        <v>4058.2876239955081</v>
      </c>
      <c r="U23" s="707">
        <f>W23*100</f>
        <v>40.582876239955077</v>
      </c>
      <c r="V23" s="707">
        <f>W23/10000</f>
        <v>4.0582876239955078E-5</v>
      </c>
      <c r="W23" s="707">
        <f>(0.5*B23*C23^2*(SIN((2*PI())/B23)))/100^2</f>
        <v>0.40582876239955079</v>
      </c>
      <c r="X23" s="707">
        <f>W23*1000000</f>
        <v>405828.76239955082</v>
      </c>
      <c r="Y23" s="707">
        <f>W23/144*10000/(2.54*2.54)</f>
        <v>4.3683044429929394</v>
      </c>
      <c r="Z23" s="791">
        <f>W23*10000/(2.54 *2.54)</f>
        <v>629.03583979098335</v>
      </c>
      <c r="AA23" s="863">
        <v>5.0225</v>
      </c>
      <c r="AB23" s="864">
        <v>35.911999999999999</v>
      </c>
      <c r="AC23" s="853" t="s">
        <v>9</v>
      </c>
      <c r="AD23" s="744">
        <v>226.011</v>
      </c>
      <c r="AE23" s="711">
        <v>7.4150600000000004</v>
      </c>
      <c r="AF23" s="711">
        <v>88.980699999999999</v>
      </c>
      <c r="AG23" s="711">
        <v>2.2601100000000001</v>
      </c>
      <c r="AH23" s="711">
        <v>1.4043700000000001E-3</v>
      </c>
      <c r="AI23" s="711">
        <v>2260.11</v>
      </c>
      <c r="AJ23" s="711">
        <v>2.4716900000000002</v>
      </c>
      <c r="AK23" s="712">
        <v>2260110</v>
      </c>
      <c r="AL23" s="710">
        <v>4.05829E-3</v>
      </c>
      <c r="AM23" s="711">
        <v>1.00282E-4</v>
      </c>
      <c r="AN23" s="711">
        <v>4058.29</v>
      </c>
      <c r="AO23" s="711">
        <v>40.582900000000002</v>
      </c>
      <c r="AP23" s="711">
        <v>4.0582876239955098E-5</v>
      </c>
      <c r="AQ23" s="711">
        <v>0.405829</v>
      </c>
      <c r="AR23" s="711">
        <v>405829</v>
      </c>
      <c r="AS23" s="711">
        <v>4.3682999999999996</v>
      </c>
      <c r="AT23" s="828">
        <v>629.03599999999994</v>
      </c>
      <c r="AU23" s="869">
        <f>(G23-AA23)/G23</f>
        <v>-6.7477653883149948E-6</v>
      </c>
      <c r="AV23" s="870">
        <f>(H23-AB23)/H23</f>
        <v>8.5154474706485328E-6</v>
      </c>
      <c r="AW23" s="848" t="s">
        <v>9</v>
      </c>
      <c r="AX23" s="799">
        <f t="shared" ref="AX23:BN23" si="24">(J23-AD23)/J23</f>
        <v>-1.1091954287365778E-7</v>
      </c>
      <c r="AY23" s="683">
        <f t="shared" si="24"/>
        <v>-2.3834698326649255E-7</v>
      </c>
      <c r="AZ23" s="683">
        <f t="shared" si="24"/>
        <v>-1.3579137228744845E-8</v>
      </c>
      <c r="BA23" s="683">
        <f t="shared" si="24"/>
        <v>-1.1091954298369225E-7</v>
      </c>
      <c r="BB23" s="683">
        <f t="shared" si="24"/>
        <v>-2.0724526063311576E-6</v>
      </c>
      <c r="BC23" s="683">
        <f t="shared" si="24"/>
        <v>-1.1091954304971293E-7</v>
      </c>
      <c r="BD23" s="683">
        <f t="shared" si="24"/>
        <v>-1.5869540589539671E-6</v>
      </c>
      <c r="BE23" s="684">
        <f t="shared" si="24"/>
        <v>-1.1091954300303317E-7</v>
      </c>
      <c r="BF23" s="685">
        <f t="shared" si="24"/>
        <v>-5.8546971339950116E-7</v>
      </c>
      <c r="BG23" s="683">
        <f t="shared" si="24"/>
        <v>4.6981599399129116E-6</v>
      </c>
      <c r="BH23" s="683">
        <f t="shared" si="24"/>
        <v>-5.854697133486993E-7</v>
      </c>
      <c r="BI23" s="683">
        <f t="shared" si="24"/>
        <v>-5.8546971350277364E-7</v>
      </c>
      <c r="BJ23" s="683">
        <f t="shared" si="24"/>
        <v>-5.0092040332244596E-16</v>
      </c>
      <c r="BK23" s="683">
        <f t="shared" si="24"/>
        <v>-5.8546971338240317E-7</v>
      </c>
      <c r="BL23" s="683">
        <f t="shared" si="24"/>
        <v>-5.8546971332628851E-7</v>
      </c>
      <c r="BM23" s="683">
        <f t="shared" si="24"/>
        <v>1.0170978231396419E-6</v>
      </c>
      <c r="BN23" s="686">
        <f t="shared" si="24"/>
        <v>-2.5468980694659637E-7</v>
      </c>
    </row>
    <row r="24" spans="2:66" x14ac:dyDescent="0.25">
      <c r="B24" s="726">
        <v>34</v>
      </c>
      <c r="C24" s="762">
        <v>58</v>
      </c>
      <c r="D24" s="836">
        <f t="shared" ref="D24:D30" si="25">2*SIN(((2*PI())/B24)/2)*C24</f>
        <v>10.70312969774303</v>
      </c>
      <c r="E24" s="762">
        <f t="shared" ref="E24:E30" si="26">C24*COS(((2*PI())/B24)/2)</f>
        <v>57.752582225112</v>
      </c>
      <c r="F24" s="166" t="s">
        <v>5</v>
      </c>
      <c r="G24" s="861">
        <f t="shared" ref="G24:G30" si="27">2*SIN(((2*PI())/B24)/2)*C24</f>
        <v>10.70312969774303</v>
      </c>
      <c r="H24" s="862">
        <f t="shared" ref="H24:H30" si="28">C24*COS(((2*PI())/B24)/2)</f>
        <v>57.752582225112</v>
      </c>
      <c r="I24" s="846" t="s">
        <v>5</v>
      </c>
      <c r="J24" s="765">
        <f t="shared" ref="J24:J30" si="29">M24*100</f>
        <v>11091.867368365058</v>
      </c>
      <c r="K24" s="714">
        <f t="shared" ref="K24:K30" si="30">M24/0.3048</f>
        <v>363.90640972326304</v>
      </c>
      <c r="L24" s="714">
        <f t="shared" ref="L24:L30" si="31">M24/2.54*100</f>
        <v>4366.8769166791571</v>
      </c>
      <c r="M24" s="714">
        <f>D24*B24*0.3048</f>
        <v>110.91867368365058</v>
      </c>
      <c r="N24" s="714">
        <f t="shared" ref="N24:N30" si="32">M24/63360/2.54*100</f>
        <v>6.8921668508193756E-2</v>
      </c>
      <c r="O24" s="714">
        <f t="shared" ref="O24:O30" si="33">M24*1000</f>
        <v>110918.67368365059</v>
      </c>
      <c r="P24" s="714">
        <f t="shared" ref="P24:P30" si="34">M24/0.9144</f>
        <v>121.30213657442103</v>
      </c>
      <c r="Q24" s="840">
        <f t="shared" ref="Q24:Q30" si="35">M24*1000000</f>
        <v>110918673.68365058</v>
      </c>
      <c r="R24" s="713">
        <f t="shared" ref="R24:R30" si="36">W24/100</f>
        <v>9.7624998890562651</v>
      </c>
      <c r="S24" s="714">
        <f t="shared" ref="S24:S30" si="37">W24/4046.8564224</f>
        <v>0.24123662591584077</v>
      </c>
      <c r="T24" s="714">
        <f t="shared" ref="T24:T30" si="38">W24*10000</f>
        <v>9762499.8890562654</v>
      </c>
      <c r="U24" s="714">
        <f t="shared" ref="U24:U30" si="39">W24*100</f>
        <v>97624.998890562652</v>
      </c>
      <c r="V24" s="714">
        <f t="shared" ref="V24:V30" si="40">W24/10000</f>
        <v>9.7624998890562656E-2</v>
      </c>
      <c r="W24" s="714">
        <f>(0.5*B24*C24^2*(SIN((2*PI())/B24)))*0.3048^2</f>
        <v>976.24998890562654</v>
      </c>
      <c r="X24" s="714">
        <f t="shared" ref="X24:X30" si="41">W24*1000000</f>
        <v>976249988.90562654</v>
      </c>
      <c r="Y24" s="714">
        <f t="shared" ref="Y24:Y30" si="42">W24/144*10000/(2.54*2.54)</f>
        <v>10508.267424894024</v>
      </c>
      <c r="Z24" s="792">
        <f t="shared" ref="Z24:Z30" si="43">W24*10000/(2.54 *2.54)</f>
        <v>1513190.5091847396</v>
      </c>
      <c r="AA24" s="865">
        <v>10.702999999999999</v>
      </c>
      <c r="AB24" s="866">
        <v>57.753</v>
      </c>
      <c r="AC24" s="855" t="s">
        <v>5</v>
      </c>
      <c r="AD24" s="746">
        <v>11091.9</v>
      </c>
      <c r="AE24" s="717">
        <v>363.90600000000001</v>
      </c>
      <c r="AF24" s="717">
        <v>4366.88</v>
      </c>
      <c r="AG24" s="717">
        <v>110.919</v>
      </c>
      <c r="AH24" s="717">
        <v>6.8921700000000002E-2</v>
      </c>
      <c r="AI24" s="717">
        <v>110919</v>
      </c>
      <c r="AJ24" s="717">
        <v>121.30200000000001</v>
      </c>
      <c r="AK24" s="718">
        <v>110918674</v>
      </c>
      <c r="AL24" s="716">
        <v>9.7624999999999993</v>
      </c>
      <c r="AM24" s="717">
        <v>0.24123700000000001</v>
      </c>
      <c r="AN24" s="717">
        <v>9762500</v>
      </c>
      <c r="AO24" s="717">
        <v>97625</v>
      </c>
      <c r="AP24" s="717">
        <v>9.7625000000000003E-2</v>
      </c>
      <c r="AQ24" s="717">
        <v>976.25</v>
      </c>
      <c r="AR24" s="717">
        <v>976249989</v>
      </c>
      <c r="AS24" s="717">
        <v>10508.3</v>
      </c>
      <c r="AT24" s="829">
        <v>1513191</v>
      </c>
      <c r="AU24" s="875">
        <f t="shared" ref="AU24:AU30" si="44">(G24-AA24)/G24</f>
        <v>1.2117740015621936E-5</v>
      </c>
      <c r="AV24" s="876">
        <f t="shared" ref="AV24:AV30" si="45">(H24-AB24)/H24</f>
        <v>-7.2338737404195002E-6</v>
      </c>
      <c r="AW24" s="849" t="s">
        <v>5</v>
      </c>
      <c r="AX24" s="800">
        <f t="shared" ref="AX24:AX30" si="46">(J24-AD24)/J24</f>
        <v>-2.941942403224542E-6</v>
      </c>
      <c r="AY24" s="687">
        <f t="shared" ref="AY24:BN30" si="47">(K24-AE24)/K24</f>
        <v>1.1259028477802318E-6</v>
      </c>
      <c r="AZ24" s="687">
        <f t="shared" si="47"/>
        <v>-7.0607001337376924E-7</v>
      </c>
      <c r="BA24" s="687">
        <f t="shared" si="47"/>
        <v>-2.941942403188668E-6</v>
      </c>
      <c r="BB24" s="687">
        <f t="shared" si="47"/>
        <v>-4.5692170441753899E-7</v>
      </c>
      <c r="BC24" s="687">
        <f t="shared" si="47"/>
        <v>-2.9419424031589444E-6</v>
      </c>
      <c r="BD24" s="687">
        <f t="shared" si="47"/>
        <v>1.1259028478583336E-6</v>
      </c>
      <c r="BE24" s="688">
        <f t="shared" si="47"/>
        <v>-2.8520843827745532E-9</v>
      </c>
      <c r="BF24" s="689">
        <f t="shared" si="47"/>
        <v>-1.1364275079160472E-8</v>
      </c>
      <c r="BG24" s="687">
        <f t="shared" si="47"/>
        <v>-1.5506938791420235E-6</v>
      </c>
      <c r="BH24" s="687">
        <f t="shared" si="47"/>
        <v>-1.1364275124879757E-8</v>
      </c>
      <c r="BI24" s="687">
        <f t="shared" si="47"/>
        <v>-1.1364275136804503E-8</v>
      </c>
      <c r="BJ24" s="687">
        <f t="shared" si="47"/>
        <v>-1.1364275136022086E-8</v>
      </c>
      <c r="BK24" s="687">
        <f t="shared" si="47"/>
        <v>-1.1364275122830192E-8</v>
      </c>
      <c r="BL24" s="687">
        <f t="shared" si="47"/>
        <v>-9.6669363028769886E-11</v>
      </c>
      <c r="BM24" s="687">
        <f t="shared" si="47"/>
        <v>-3.0999502256900029E-6</v>
      </c>
      <c r="BN24" s="690">
        <f t="shared" si="47"/>
        <v>-3.2435787659810124E-7</v>
      </c>
    </row>
    <row r="25" spans="2:66" x14ac:dyDescent="0.25">
      <c r="B25" s="726">
        <v>23</v>
      </c>
      <c r="C25" s="762">
        <v>17</v>
      </c>
      <c r="D25" s="836">
        <f t="shared" si="25"/>
        <v>4.6296660692723846</v>
      </c>
      <c r="E25" s="762">
        <f t="shared" si="26"/>
        <v>16.841661082617623</v>
      </c>
      <c r="F25" s="166" t="s">
        <v>8</v>
      </c>
      <c r="G25" s="861">
        <f t="shared" si="27"/>
        <v>4.6296660692723846</v>
      </c>
      <c r="H25" s="862">
        <f t="shared" si="28"/>
        <v>16.841661082617623</v>
      </c>
      <c r="I25" s="846" t="s">
        <v>8</v>
      </c>
      <c r="J25" s="765">
        <f t="shared" si="29"/>
        <v>270.46509176689273</v>
      </c>
      <c r="K25" s="714">
        <f t="shared" si="30"/>
        <v>8.8735266327720694</v>
      </c>
      <c r="L25" s="714">
        <f t="shared" si="31"/>
        <v>106.48231959326483</v>
      </c>
      <c r="M25" s="714">
        <f>D25*B25*2.54/100</f>
        <v>2.7046509176689271</v>
      </c>
      <c r="N25" s="714">
        <f t="shared" si="32"/>
        <v>1.6805921652977406E-3</v>
      </c>
      <c r="O25" s="714">
        <f t="shared" si="33"/>
        <v>2704.6509176689269</v>
      </c>
      <c r="P25" s="714">
        <f t="shared" si="34"/>
        <v>2.9578422109240234</v>
      </c>
      <c r="Q25" s="840">
        <f t="shared" si="35"/>
        <v>2704650.917668927</v>
      </c>
      <c r="R25" s="713">
        <f t="shared" si="36"/>
        <v>5.7849533909756926E-3</v>
      </c>
      <c r="S25" s="714">
        <f t="shared" si="37"/>
        <v>1.4294931144468202E-4</v>
      </c>
      <c r="T25" s="714">
        <f t="shared" si="38"/>
        <v>5784.9533909756919</v>
      </c>
      <c r="U25" s="714">
        <f t="shared" si="39"/>
        <v>57.849533909756921</v>
      </c>
      <c r="V25" s="714">
        <f t="shared" si="40"/>
        <v>5.7849533909756922E-5</v>
      </c>
      <c r="W25" s="714">
        <f>(0.5*B25*C25^2*(SIN((2*PI())/B25)))*(2.54/100)^2</f>
        <v>0.57849533909756923</v>
      </c>
      <c r="X25" s="714">
        <f t="shared" si="41"/>
        <v>578495.33909756923</v>
      </c>
      <c r="Y25" s="714">
        <f t="shared" si="42"/>
        <v>6.2268720065303489</v>
      </c>
      <c r="Z25" s="792">
        <f t="shared" si="43"/>
        <v>896.66956894037014</v>
      </c>
      <c r="AA25" s="865">
        <v>4.6296999999999997</v>
      </c>
      <c r="AB25" s="866">
        <v>16.841999999999999</v>
      </c>
      <c r="AC25" s="855" t="s">
        <v>8</v>
      </c>
      <c r="AD25" s="746">
        <v>270.46499999999997</v>
      </c>
      <c r="AE25" s="717">
        <v>8.8735300000000006</v>
      </c>
      <c r="AF25" s="717">
        <v>106.482</v>
      </c>
      <c r="AG25" s="717">
        <v>2.70465</v>
      </c>
      <c r="AH25" s="717">
        <v>1.68059E-3</v>
      </c>
      <c r="AI25" s="717">
        <v>2704.65</v>
      </c>
      <c r="AJ25" s="717">
        <v>2.95784</v>
      </c>
      <c r="AK25" s="718">
        <v>2704651</v>
      </c>
      <c r="AL25" s="716">
        <v>5.7849499999999996E-3</v>
      </c>
      <c r="AM25" s="717">
        <v>1.4294899999999999E-4</v>
      </c>
      <c r="AN25" s="717">
        <v>5784.95</v>
      </c>
      <c r="AO25" s="717">
        <v>57.849499999999999</v>
      </c>
      <c r="AP25" s="717">
        <v>5.7849533909756902E-5</v>
      </c>
      <c r="AQ25" s="717">
        <v>0.57849499999999998</v>
      </c>
      <c r="AR25" s="717">
        <v>578495</v>
      </c>
      <c r="AS25" s="717">
        <v>6.2268699999999999</v>
      </c>
      <c r="AT25" s="829">
        <v>896.67</v>
      </c>
      <c r="AU25" s="875">
        <f t="shared" si="44"/>
        <v>-7.3289794787473354E-6</v>
      </c>
      <c r="AV25" s="876">
        <f t="shared" si="45"/>
        <v>-2.012375030663504E-5</v>
      </c>
      <c r="AW25" s="849" t="s">
        <v>8</v>
      </c>
      <c r="AX25" s="800">
        <f t="shared" si="46"/>
        <v>3.3929292742317225E-7</v>
      </c>
      <c r="AY25" s="687">
        <f t="shared" si="47"/>
        <v>-3.7946896093311006E-7</v>
      </c>
      <c r="AZ25" s="687">
        <f t="shared" si="47"/>
        <v>3.0013739938672289E-6</v>
      </c>
      <c r="BA25" s="687">
        <f t="shared" si="47"/>
        <v>3.3929292725897762E-7</v>
      </c>
      <c r="BB25" s="687">
        <f t="shared" si="47"/>
        <v>1.2884135635631344E-6</v>
      </c>
      <c r="BC25" s="687">
        <f t="shared" si="47"/>
        <v>3.3929292717096931E-7</v>
      </c>
      <c r="BD25" s="687">
        <f t="shared" si="47"/>
        <v>7.4747869080046025E-7</v>
      </c>
      <c r="BE25" s="688">
        <f t="shared" si="47"/>
        <v>-3.0440554256706647E-8</v>
      </c>
      <c r="BF25" s="689">
        <f t="shared" si="47"/>
        <v>5.8617165321310754E-7</v>
      </c>
      <c r="BG25" s="687">
        <f t="shared" si="47"/>
        <v>2.1787071156978074E-6</v>
      </c>
      <c r="BH25" s="687">
        <f t="shared" si="47"/>
        <v>5.8617165307110924E-7</v>
      </c>
      <c r="BI25" s="687">
        <f t="shared" si="47"/>
        <v>5.8617165309076136E-7</v>
      </c>
      <c r="BJ25" s="687">
        <f t="shared" si="47"/>
        <v>3.5140802976589836E-16</v>
      </c>
      <c r="BK25" s="687">
        <f t="shared" si="47"/>
        <v>5.8617165312914444E-7</v>
      </c>
      <c r="BL25" s="687">
        <f t="shared" si="47"/>
        <v>5.8617165310255269E-7</v>
      </c>
      <c r="BM25" s="687">
        <f t="shared" si="47"/>
        <v>3.222372881410553E-7</v>
      </c>
      <c r="BN25" s="690">
        <f t="shared" si="47"/>
        <v>-4.807340906279051E-7</v>
      </c>
    </row>
    <row r="26" spans="2:66" x14ac:dyDescent="0.25">
      <c r="B26" s="726">
        <v>8</v>
      </c>
      <c r="C26" s="762">
        <v>23</v>
      </c>
      <c r="D26" s="836">
        <f t="shared" si="25"/>
        <v>17.603437888794129</v>
      </c>
      <c r="E26" s="762">
        <f t="shared" si="26"/>
        <v>21.249229247759594</v>
      </c>
      <c r="F26" s="166" t="s">
        <v>4</v>
      </c>
      <c r="G26" s="861">
        <f t="shared" si="27"/>
        <v>17.603437888794129</v>
      </c>
      <c r="H26" s="862">
        <f t="shared" si="28"/>
        <v>21.249229247759594</v>
      </c>
      <c r="I26" s="846" t="s">
        <v>4</v>
      </c>
      <c r="J26" s="765">
        <f t="shared" si="29"/>
        <v>14082.750311035303</v>
      </c>
      <c r="K26" s="714">
        <f t="shared" si="30"/>
        <v>462.03249051953094</v>
      </c>
      <c r="L26" s="714">
        <f t="shared" si="31"/>
        <v>5544.3898862343713</v>
      </c>
      <c r="M26" s="714">
        <f>D26*B26</f>
        <v>140.82750311035304</v>
      </c>
      <c r="N26" s="714">
        <f t="shared" si="32"/>
        <v>8.7506153507486931E-2</v>
      </c>
      <c r="O26" s="714">
        <f t="shared" si="33"/>
        <v>140827.50311035305</v>
      </c>
      <c r="P26" s="714">
        <f t="shared" si="34"/>
        <v>154.010830173177</v>
      </c>
      <c r="Q26" s="840">
        <f t="shared" si="35"/>
        <v>140827503.11035302</v>
      </c>
      <c r="R26" s="713">
        <f t="shared" si="36"/>
        <v>14.962379489907343</v>
      </c>
      <c r="S26" s="714">
        <f t="shared" si="37"/>
        <v>0.3697284491510045</v>
      </c>
      <c r="T26" s="714">
        <f t="shared" si="38"/>
        <v>14962379.489907343</v>
      </c>
      <c r="U26" s="714">
        <f t="shared" si="39"/>
        <v>149623.79489907343</v>
      </c>
      <c r="V26" s="714">
        <f t="shared" si="40"/>
        <v>0.14962379489907343</v>
      </c>
      <c r="W26" s="714">
        <f>(0.5*B26*C26^2*(SIN((2*PI())/B26)))</f>
        <v>1496.2379489907344</v>
      </c>
      <c r="X26" s="714">
        <f t="shared" si="41"/>
        <v>1496237948.9907343</v>
      </c>
      <c r="Y26" s="714">
        <f t="shared" si="42"/>
        <v>16105.371245017755</v>
      </c>
      <c r="Z26" s="792">
        <f t="shared" si="43"/>
        <v>2319173.4592825565</v>
      </c>
      <c r="AA26" s="865">
        <v>17.603000000000002</v>
      </c>
      <c r="AB26" s="866">
        <v>21.248999999999999</v>
      </c>
      <c r="AC26" s="855" t="s">
        <v>4</v>
      </c>
      <c r="AD26" s="746">
        <v>14082.8</v>
      </c>
      <c r="AE26" s="717">
        <v>462.03199999999998</v>
      </c>
      <c r="AF26" s="717">
        <v>5544.39</v>
      </c>
      <c r="AG26" s="717">
        <v>140.828</v>
      </c>
      <c r="AH26" s="717">
        <v>8.7506200000000006E-2</v>
      </c>
      <c r="AI26" s="717">
        <v>140828</v>
      </c>
      <c r="AJ26" s="717">
        <v>154.011</v>
      </c>
      <c r="AK26" s="718">
        <v>140827503</v>
      </c>
      <c r="AL26" s="716">
        <v>14.962400000000001</v>
      </c>
      <c r="AM26" s="717">
        <v>0.369728</v>
      </c>
      <c r="AN26" s="717">
        <v>14962379</v>
      </c>
      <c r="AO26" s="717">
        <v>149624</v>
      </c>
      <c r="AP26" s="717">
        <v>0.14962400000000001</v>
      </c>
      <c r="AQ26" s="717">
        <v>1496.24</v>
      </c>
      <c r="AR26" s="717">
        <v>1496237949</v>
      </c>
      <c r="AS26" s="717">
        <v>16105.4</v>
      </c>
      <c r="AT26" s="829">
        <v>2319173</v>
      </c>
      <c r="AU26" s="875">
        <f t="shared" si="44"/>
        <v>2.4875186136602332E-5</v>
      </c>
      <c r="AV26" s="876">
        <f t="shared" si="45"/>
        <v>1.0788521170445168E-5</v>
      </c>
      <c r="AW26" s="849" t="s">
        <v>4</v>
      </c>
      <c r="AX26" s="800">
        <f t="shared" si="46"/>
        <v>-3.5283565780191631E-6</v>
      </c>
      <c r="AY26" s="687">
        <f t="shared" si="47"/>
        <v>1.0616559246830712E-6</v>
      </c>
      <c r="AZ26" s="687">
        <f t="shared" si="47"/>
        <v>-2.051905284458398E-8</v>
      </c>
      <c r="BA26" s="687">
        <f t="shared" si="47"/>
        <v>-3.5283565780353084E-6</v>
      </c>
      <c r="BB26" s="687">
        <f t="shared" si="47"/>
        <v>-5.3130564208330498E-7</v>
      </c>
      <c r="BC26" s="687">
        <f t="shared" si="47"/>
        <v>-3.528356577915831E-6</v>
      </c>
      <c r="BD26" s="687">
        <f t="shared" si="47"/>
        <v>-1.1026940300646665E-6</v>
      </c>
      <c r="BE26" s="688">
        <f t="shared" si="47"/>
        <v>7.8360419929709258E-10</v>
      </c>
      <c r="BF26" s="689">
        <f t="shared" si="47"/>
        <v>-1.3707774669776364E-6</v>
      </c>
      <c r="BG26" s="687">
        <f t="shared" si="47"/>
        <v>1.2148132109701861E-6</v>
      </c>
      <c r="BH26" s="687">
        <f t="shared" si="47"/>
        <v>3.274260910646123E-8</v>
      </c>
      <c r="BI26" s="687">
        <f t="shared" si="47"/>
        <v>-1.3707774669726976E-6</v>
      </c>
      <c r="BJ26" s="687">
        <f t="shared" si="47"/>
        <v>-1.3707774670073168E-6</v>
      </c>
      <c r="BK26" s="687">
        <f t="shared" si="47"/>
        <v>-1.3707774669301477E-6</v>
      </c>
      <c r="BL26" s="687">
        <f t="shared" si="47"/>
        <v>-6.1926388418861061E-12</v>
      </c>
      <c r="BM26" s="687">
        <f t="shared" si="47"/>
        <v>-1.7854280914576399E-6</v>
      </c>
      <c r="BN26" s="690">
        <f t="shared" si="47"/>
        <v>1.9803717342073893E-7</v>
      </c>
    </row>
    <row r="27" spans="2:66" x14ac:dyDescent="0.25">
      <c r="B27" s="726">
        <v>19</v>
      </c>
      <c r="C27" s="762">
        <v>28</v>
      </c>
      <c r="D27" s="836">
        <f t="shared" si="25"/>
        <v>9.2172970557210974</v>
      </c>
      <c r="E27" s="762">
        <f t="shared" si="26"/>
        <v>27.618116495276226</v>
      </c>
      <c r="F27" s="166" t="s">
        <v>10</v>
      </c>
      <c r="G27" s="861">
        <f t="shared" si="27"/>
        <v>9.2172970557210974</v>
      </c>
      <c r="H27" s="862">
        <f t="shared" si="28"/>
        <v>27.618116495276226</v>
      </c>
      <c r="I27" s="846" t="s">
        <v>10</v>
      </c>
      <c r="J27" s="765">
        <f t="shared" si="29"/>
        <v>28184223.254400585</v>
      </c>
      <c r="K27" s="714">
        <f t="shared" si="30"/>
        <v>924679.24062994041</v>
      </c>
      <c r="L27" s="714">
        <f t="shared" si="31"/>
        <v>11096150.887559285</v>
      </c>
      <c r="M27" s="714">
        <f>D27*B27*63360*2.54/100</f>
        <v>281842.23254400585</v>
      </c>
      <c r="N27" s="714">
        <f t="shared" si="32"/>
        <v>175.12864405870084</v>
      </c>
      <c r="O27" s="714">
        <f t="shared" si="33"/>
        <v>281842232.54400587</v>
      </c>
      <c r="P27" s="714">
        <f t="shared" si="34"/>
        <v>308226.41354331351</v>
      </c>
      <c r="Q27" s="840">
        <f t="shared" si="35"/>
        <v>281842232544.00586</v>
      </c>
      <c r="R27" s="713">
        <f t="shared" si="36"/>
        <v>62635279.112810805</v>
      </c>
      <c r="S27" s="714">
        <f t="shared" si="37"/>
        <v>1547751.4538473487</v>
      </c>
      <c r="T27" s="714">
        <f t="shared" si="38"/>
        <v>62635279112810.805</v>
      </c>
      <c r="U27" s="714">
        <f t="shared" si="39"/>
        <v>626352791128.10803</v>
      </c>
      <c r="V27" s="714">
        <f t="shared" si="40"/>
        <v>626352.79112810805</v>
      </c>
      <c r="W27" s="714">
        <f>(0.5*B27*C27^2*(SIN((2*PI())/B27)))*(63360*2.54/100)^2</f>
        <v>6263527911.2810802</v>
      </c>
      <c r="X27" s="714">
        <f t="shared" si="41"/>
        <v>6263527911281080</v>
      </c>
      <c r="Y27" s="714">
        <f t="shared" si="42"/>
        <v>67420053329.590508</v>
      </c>
      <c r="Z27" s="792">
        <f t="shared" si="43"/>
        <v>9708487679461.0332</v>
      </c>
      <c r="AA27" s="865">
        <v>9.2172999999999998</v>
      </c>
      <c r="AB27" s="866">
        <v>27.617999999999999</v>
      </c>
      <c r="AC27" s="855" t="s">
        <v>10</v>
      </c>
      <c r="AD27" s="746">
        <v>28184223</v>
      </c>
      <c r="AE27" s="717">
        <v>924679</v>
      </c>
      <c r="AF27" s="717">
        <v>11096151</v>
      </c>
      <c r="AG27" s="717">
        <v>281842</v>
      </c>
      <c r="AH27" s="717">
        <v>175.12899999999999</v>
      </c>
      <c r="AI27" s="717">
        <v>281842233</v>
      </c>
      <c r="AJ27" s="717">
        <v>308226</v>
      </c>
      <c r="AK27" s="718">
        <v>281842232544</v>
      </c>
      <c r="AL27" s="716">
        <v>62635279</v>
      </c>
      <c r="AM27" s="717">
        <v>1547751</v>
      </c>
      <c r="AN27" s="717">
        <v>62635279112811</v>
      </c>
      <c r="AO27" s="717">
        <v>626352791128</v>
      </c>
      <c r="AP27" s="717">
        <v>626353</v>
      </c>
      <c r="AQ27" s="717">
        <v>6263527911</v>
      </c>
      <c r="AR27" s="717">
        <v>6263527911281080</v>
      </c>
      <c r="AS27" s="717">
        <v>67420053330</v>
      </c>
      <c r="AT27" s="829">
        <v>9708487679461</v>
      </c>
      <c r="AU27" s="875">
        <f t="shared" si="44"/>
        <v>-3.1942975089795084E-7</v>
      </c>
      <c r="AV27" s="876">
        <f t="shared" si="45"/>
        <v>4.2180746195090378E-6</v>
      </c>
      <c r="AW27" s="849" t="s">
        <v>10</v>
      </c>
      <c r="AX27" s="800">
        <f t="shared" si="46"/>
        <v>9.0263472067485058E-9</v>
      </c>
      <c r="AY27" s="687">
        <f t="shared" si="47"/>
        <v>2.6023071551407901E-7</v>
      </c>
      <c r="AZ27" s="687">
        <f t="shared" si="47"/>
        <v>-1.0133308004910855E-8</v>
      </c>
      <c r="BA27" s="687">
        <f t="shared" si="47"/>
        <v>8.2508573590779642E-7</v>
      </c>
      <c r="BB27" s="687">
        <f t="shared" si="47"/>
        <v>-2.032456204186318E-6</v>
      </c>
      <c r="BC27" s="687">
        <f t="shared" si="47"/>
        <v>-1.6179056100462546E-9</v>
      </c>
      <c r="BD27" s="687">
        <f t="shared" si="47"/>
        <v>1.3416868098838004E-6</v>
      </c>
      <c r="BE27" s="688">
        <f t="shared" si="47"/>
        <v>2.0789556437696532E-14</v>
      </c>
      <c r="BF27" s="689">
        <f t="shared" si="47"/>
        <v>1.8010745228223278E-9</v>
      </c>
      <c r="BG27" s="687">
        <f t="shared" si="47"/>
        <v>2.9323012268014639E-7</v>
      </c>
      <c r="BH27" s="687">
        <f t="shared" si="47"/>
        <v>-3.1182506530900522E-15</v>
      </c>
      <c r="BI27" s="687">
        <f t="shared" si="47"/>
        <v>1.7247823924904352E-13</v>
      </c>
      <c r="BJ27" s="687">
        <f t="shared" si="47"/>
        <v>-3.3347323571228908E-7</v>
      </c>
      <c r="BK27" s="687">
        <f t="shared" si="47"/>
        <v>4.487570742128142E-11</v>
      </c>
      <c r="BL27" s="687">
        <f t="shared" si="47"/>
        <v>0</v>
      </c>
      <c r="BM27" s="687">
        <f t="shared" si="47"/>
        <v>-6.0737491659036693E-12</v>
      </c>
      <c r="BN27" s="690">
        <f t="shared" si="47"/>
        <v>3.4200100052908831E-15</v>
      </c>
    </row>
    <row r="28" spans="2:66" x14ac:dyDescent="0.25">
      <c r="B28" s="726">
        <v>52</v>
      </c>
      <c r="C28" s="762">
        <v>34</v>
      </c>
      <c r="D28" s="836">
        <f t="shared" si="25"/>
        <v>4.105737824715451</v>
      </c>
      <c r="E28" s="762">
        <f t="shared" si="26"/>
        <v>33.937968843592792</v>
      </c>
      <c r="F28" s="166" t="s">
        <v>6</v>
      </c>
      <c r="G28" s="861">
        <f t="shared" si="27"/>
        <v>4.105737824715451</v>
      </c>
      <c r="H28" s="862">
        <f t="shared" si="28"/>
        <v>33.937968843592792</v>
      </c>
      <c r="I28" s="846" t="s">
        <v>6</v>
      </c>
      <c r="J28" s="765">
        <f t="shared" si="29"/>
        <v>21.349836688520345</v>
      </c>
      <c r="K28" s="714">
        <f t="shared" si="30"/>
        <v>0.70045395959712409</v>
      </c>
      <c r="L28" s="714">
        <f t="shared" si="31"/>
        <v>8.4054475151654895</v>
      </c>
      <c r="M28" s="714">
        <f>D28*B28/1000</f>
        <v>0.21349836688520343</v>
      </c>
      <c r="N28" s="714">
        <f t="shared" si="32"/>
        <v>1.3266173477218259E-4</v>
      </c>
      <c r="O28" s="714">
        <f t="shared" si="33"/>
        <v>213.49836688520344</v>
      </c>
      <c r="P28" s="714">
        <f t="shared" si="34"/>
        <v>0.23348465319904138</v>
      </c>
      <c r="Q28" s="840">
        <f t="shared" si="35"/>
        <v>213498.36688520343</v>
      </c>
      <c r="R28" s="713">
        <f t="shared" si="36"/>
        <v>3.6228504617539892E-5</v>
      </c>
      <c r="S28" s="714">
        <f t="shared" si="37"/>
        <v>8.9522584535021558E-7</v>
      </c>
      <c r="T28" s="714">
        <f t="shared" si="38"/>
        <v>36.22850461753989</v>
      </c>
      <c r="U28" s="714">
        <f t="shared" si="39"/>
        <v>0.36228504617539892</v>
      </c>
      <c r="V28" s="714">
        <f t="shared" si="40"/>
        <v>3.622850461753989E-7</v>
      </c>
      <c r="W28" s="714">
        <f>(0.5*B28*C28^2*(SIN((2*PI())/B28)))/1000^2</f>
        <v>3.6228504617539892E-3</v>
      </c>
      <c r="X28" s="714">
        <f t="shared" si="41"/>
        <v>3622.8504617539893</v>
      </c>
      <c r="Y28" s="714">
        <f t="shared" si="42"/>
        <v>3.8996037823455391E-2</v>
      </c>
      <c r="Z28" s="792">
        <f t="shared" si="43"/>
        <v>5.6154294465775765</v>
      </c>
      <c r="AA28" s="865">
        <v>4.1056999999999997</v>
      </c>
      <c r="AB28" s="866">
        <v>33.938000000000002</v>
      </c>
      <c r="AC28" s="855" t="s">
        <v>6</v>
      </c>
      <c r="AD28" s="746">
        <v>21.349799999999998</v>
      </c>
      <c r="AE28" s="717">
        <v>0.70045400000000002</v>
      </c>
      <c r="AF28" s="717">
        <v>8.4054500000000001</v>
      </c>
      <c r="AG28" s="717">
        <v>0.21349799999999999</v>
      </c>
      <c r="AH28" s="717">
        <v>1.32662E-4</v>
      </c>
      <c r="AI28" s="717">
        <v>213.49799999999999</v>
      </c>
      <c r="AJ28" s="717">
        <v>0.233485</v>
      </c>
      <c r="AK28" s="718">
        <v>213498</v>
      </c>
      <c r="AL28" s="716">
        <v>3.6228504617539899E-5</v>
      </c>
      <c r="AM28" s="717">
        <v>8.9522584535021601E-7</v>
      </c>
      <c r="AN28" s="717">
        <v>36.228499999999997</v>
      </c>
      <c r="AO28" s="717">
        <v>0.36228500000000002</v>
      </c>
      <c r="AP28" s="717">
        <v>3.62285046175399E-7</v>
      </c>
      <c r="AQ28" s="717">
        <v>3.6228499999999999E-3</v>
      </c>
      <c r="AR28" s="717">
        <v>3622.85</v>
      </c>
      <c r="AS28" s="717">
        <v>3.8996000000000003E-2</v>
      </c>
      <c r="AT28" s="829">
        <v>5.6154299999999999</v>
      </c>
      <c r="AU28" s="875">
        <f t="shared" si="44"/>
        <v>9.2126475352698341E-6</v>
      </c>
      <c r="AV28" s="876">
        <f t="shared" si="45"/>
        <v>-9.1803983185377946E-7</v>
      </c>
      <c r="AW28" s="849" t="s">
        <v>6</v>
      </c>
      <c r="AX28" s="800">
        <f t="shared" si="46"/>
        <v>1.7184450111482425E-6</v>
      </c>
      <c r="AY28" s="687">
        <f t="shared" si="47"/>
        <v>-5.768098728002506E-8</v>
      </c>
      <c r="AZ28" s="687">
        <f t="shared" si="47"/>
        <v>-2.9562191734744705E-7</v>
      </c>
      <c r="BA28" s="687">
        <f t="shared" si="47"/>
        <v>1.7184450110442397E-6</v>
      </c>
      <c r="BB28" s="687">
        <f t="shared" si="47"/>
        <v>-1.9992789772119843E-6</v>
      </c>
      <c r="BC28" s="687">
        <f t="shared" si="47"/>
        <v>1.7184450110816807E-6</v>
      </c>
      <c r="BD28" s="687">
        <f t="shared" si="47"/>
        <v>-1.4853265680015579E-6</v>
      </c>
      <c r="BE28" s="688">
        <f t="shared" si="47"/>
        <v>1.7184450110050016E-6</v>
      </c>
      <c r="BF28" s="689">
        <f t="shared" si="47"/>
        <v>-1.8704232066905959E-16</v>
      </c>
      <c r="BG28" s="687">
        <f t="shared" si="47"/>
        <v>-4.7308338541261505E-16</v>
      </c>
      <c r="BH28" s="687">
        <f t="shared" si="47"/>
        <v>1.2745598920810211E-7</v>
      </c>
      <c r="BI28" s="687">
        <f t="shared" si="47"/>
        <v>1.2745598909165107E-7</v>
      </c>
      <c r="BJ28" s="687">
        <f t="shared" si="47"/>
        <v>-2.9225362604540562E-16</v>
      </c>
      <c r="BK28" s="687">
        <f t="shared" si="47"/>
        <v>1.2745598916826358E-7</v>
      </c>
      <c r="BL28" s="687">
        <f t="shared" si="47"/>
        <v>1.2745598921594722E-7</v>
      </c>
      <c r="BM28" s="687">
        <f t="shared" si="47"/>
        <v>9.6993072885477811E-7</v>
      </c>
      <c r="BN28" s="690">
        <f t="shared" si="47"/>
        <v>-9.8553891329023607E-8</v>
      </c>
    </row>
    <row r="29" spans="2:66" x14ac:dyDescent="0.25">
      <c r="B29" s="726">
        <v>97</v>
      </c>
      <c r="C29" s="762">
        <v>78</v>
      </c>
      <c r="D29" s="836">
        <f t="shared" si="25"/>
        <v>5.0515750355235207</v>
      </c>
      <c r="E29" s="762">
        <f t="shared" si="26"/>
        <v>77.959094385550159</v>
      </c>
      <c r="F29" s="166" t="s">
        <v>7</v>
      </c>
      <c r="G29" s="861">
        <f t="shared" si="27"/>
        <v>5.0515750355235207</v>
      </c>
      <c r="H29" s="862">
        <f t="shared" si="28"/>
        <v>77.959094385550159</v>
      </c>
      <c r="I29" s="846" t="s">
        <v>7</v>
      </c>
      <c r="J29" s="765">
        <f t="shared" si="29"/>
        <v>44805.85406108226</v>
      </c>
      <c r="K29" s="714">
        <f t="shared" si="30"/>
        <v>1470.0083353373445</v>
      </c>
      <c r="L29" s="714">
        <f t="shared" si="31"/>
        <v>17640.100024048133</v>
      </c>
      <c r="M29" s="714">
        <f>D29*B29*0.9144</f>
        <v>448.0585406108226</v>
      </c>
      <c r="N29" s="714">
        <f t="shared" si="32"/>
        <v>0.27841066957146676</v>
      </c>
      <c r="O29" s="714">
        <f t="shared" si="33"/>
        <v>448058.54061082262</v>
      </c>
      <c r="P29" s="714">
        <f t="shared" si="34"/>
        <v>490.00277844578153</v>
      </c>
      <c r="Q29" s="840">
        <f t="shared" si="35"/>
        <v>448058540.61082262</v>
      </c>
      <c r="R29" s="713">
        <f t="shared" si="36"/>
        <v>159.70104839994602</v>
      </c>
      <c r="S29" s="714">
        <f t="shared" si="37"/>
        <v>3.9462988485574892</v>
      </c>
      <c r="T29" s="714">
        <f t="shared" si="38"/>
        <v>159701048.399946</v>
      </c>
      <c r="U29" s="714">
        <f t="shared" si="39"/>
        <v>1597010.48399946</v>
      </c>
      <c r="V29" s="714">
        <f t="shared" si="40"/>
        <v>1.5970104839994601</v>
      </c>
      <c r="W29" s="714">
        <f>(0.5*B29*C29^2*(SIN((2*PI())/B29)))*0.9144^2</f>
        <v>15970.104839994601</v>
      </c>
      <c r="X29" s="714">
        <f t="shared" si="41"/>
        <v>15970104839.9946</v>
      </c>
      <c r="Y29" s="714">
        <f t="shared" si="42"/>
        <v>171900.77784316425</v>
      </c>
      <c r="Z29" s="792">
        <f t="shared" si="43"/>
        <v>24753712.009415649</v>
      </c>
      <c r="AA29" s="865">
        <v>5.0515999999999996</v>
      </c>
      <c r="AB29" s="866">
        <v>77.959000000000003</v>
      </c>
      <c r="AC29" s="855" t="s">
        <v>7</v>
      </c>
      <c r="AD29" s="746">
        <v>44805.9</v>
      </c>
      <c r="AE29" s="717">
        <v>1470.01</v>
      </c>
      <c r="AF29" s="717">
        <v>17640.099999999999</v>
      </c>
      <c r="AG29" s="717">
        <v>448.05900000000003</v>
      </c>
      <c r="AH29" s="717">
        <v>0.27841100000000002</v>
      </c>
      <c r="AI29" s="717">
        <v>448059</v>
      </c>
      <c r="AJ29" s="717">
        <v>490.00299999999999</v>
      </c>
      <c r="AK29" s="718">
        <v>448058541</v>
      </c>
      <c r="AL29" s="716">
        <v>159.70099999999999</v>
      </c>
      <c r="AM29" s="717">
        <v>3.9462999999999999</v>
      </c>
      <c r="AN29" s="717">
        <v>159701048</v>
      </c>
      <c r="AO29" s="717">
        <v>1597010</v>
      </c>
      <c r="AP29" s="717">
        <v>1.59701</v>
      </c>
      <c r="AQ29" s="717">
        <v>15970.1</v>
      </c>
      <c r="AR29" s="717">
        <v>15970104840</v>
      </c>
      <c r="AS29" s="717">
        <v>171901</v>
      </c>
      <c r="AT29" s="829">
        <v>24753712</v>
      </c>
      <c r="AU29" s="875">
        <f t="shared" si="44"/>
        <v>-4.9419193624510575E-6</v>
      </c>
      <c r="AV29" s="876">
        <f t="shared" si="45"/>
        <v>1.2107060875960675E-6</v>
      </c>
      <c r="AW29" s="849" t="s">
        <v>7</v>
      </c>
      <c r="AX29" s="800">
        <f t="shared" si="46"/>
        <v>-1.0252882955577402E-6</v>
      </c>
      <c r="AY29" s="687">
        <f t="shared" si="47"/>
        <v>-1.1324171539989875E-6</v>
      </c>
      <c r="AZ29" s="687">
        <f t="shared" si="47"/>
        <v>1.3632652260312114E-9</v>
      </c>
      <c r="BA29" s="687">
        <f t="shared" si="47"/>
        <v>-1.0252882955780387E-6</v>
      </c>
      <c r="BB29" s="687">
        <f t="shared" si="47"/>
        <v>-1.1868386142164206E-6</v>
      </c>
      <c r="BC29" s="687">
        <f t="shared" si="47"/>
        <v>-1.0252882954927847E-6</v>
      </c>
      <c r="BD29" s="687">
        <f t="shared" si="47"/>
        <v>-4.5214890241757377E-7</v>
      </c>
      <c r="BE29" s="688">
        <f t="shared" si="47"/>
        <v>-8.6858601436720324E-10</v>
      </c>
      <c r="BF29" s="689">
        <f t="shared" si="47"/>
        <v>3.0306592542296094E-7</v>
      </c>
      <c r="BG29" s="687">
        <f t="shared" si="47"/>
        <v>-2.9177782901380563E-7</v>
      </c>
      <c r="BH29" s="687">
        <f t="shared" si="47"/>
        <v>2.504341757047809E-9</v>
      </c>
      <c r="BI29" s="687">
        <f t="shared" si="47"/>
        <v>3.0306592527318296E-7</v>
      </c>
      <c r="BJ29" s="687">
        <f t="shared" si="47"/>
        <v>3.0306592531173085E-7</v>
      </c>
      <c r="BK29" s="687">
        <f t="shared" si="47"/>
        <v>3.0306592532329878E-7</v>
      </c>
      <c r="BL29" s="687">
        <f t="shared" si="47"/>
        <v>-3.3811324556677192E-13</v>
      </c>
      <c r="BM29" s="687">
        <f t="shared" si="47"/>
        <v>-1.2923550349012054E-6</v>
      </c>
      <c r="BN29" s="690">
        <f t="shared" si="47"/>
        <v>3.8037320923986013E-10</v>
      </c>
    </row>
    <row r="30" spans="2:66" ht="15.75" thickBot="1" x14ac:dyDescent="0.3">
      <c r="B30" s="731">
        <v>15</v>
      </c>
      <c r="C30" s="763">
        <v>3</v>
      </c>
      <c r="D30" s="837">
        <f t="shared" si="25"/>
        <v>1.2474701449065559</v>
      </c>
      <c r="E30" s="763">
        <f t="shared" si="26"/>
        <v>2.9344428022014171</v>
      </c>
      <c r="F30" s="703" t="s">
        <v>96</v>
      </c>
      <c r="G30" s="880">
        <f t="shared" si="27"/>
        <v>1.2474701449065559</v>
      </c>
      <c r="H30" s="881">
        <f t="shared" si="28"/>
        <v>2.9344428022014171</v>
      </c>
      <c r="I30" s="847" t="s">
        <v>96</v>
      </c>
      <c r="J30" s="770">
        <f t="shared" si="29"/>
        <v>1.8712052173598338E-3</v>
      </c>
      <c r="K30" s="720">
        <f t="shared" si="30"/>
        <v>6.1391247288708454E-5</v>
      </c>
      <c r="L30" s="720">
        <f t="shared" si="31"/>
        <v>7.366949674645015E-4</v>
      </c>
      <c r="M30" s="720">
        <f>D30*B30/1000000</f>
        <v>1.8712052173598337E-5</v>
      </c>
      <c r="N30" s="720">
        <f t="shared" si="32"/>
        <v>1.1627130168315995E-8</v>
      </c>
      <c r="O30" s="720">
        <f t="shared" si="33"/>
        <v>1.8712052173598337E-2</v>
      </c>
      <c r="P30" s="720">
        <f t="shared" si="34"/>
        <v>2.0463749096236152E-5</v>
      </c>
      <c r="Q30" s="841">
        <f t="shared" si="35"/>
        <v>18.712052173598337</v>
      </c>
      <c r="R30" s="719">
        <f t="shared" si="36"/>
        <v>2.745472340761651E-13</v>
      </c>
      <c r="S30" s="720">
        <f t="shared" si="37"/>
        <v>6.7842099007145911E-15</v>
      </c>
      <c r="T30" s="720">
        <f t="shared" si="38"/>
        <v>2.745472340761651E-7</v>
      </c>
      <c r="U30" s="720">
        <f t="shared" si="39"/>
        <v>2.7454723407616511E-9</v>
      </c>
      <c r="V30" s="720">
        <f t="shared" si="40"/>
        <v>2.7454723407616511E-15</v>
      </c>
      <c r="W30" s="720">
        <f>(0.5*B30*C30^2*(SIN((2*PI())/B30)))/1000000^2</f>
        <v>2.745472340761651E-11</v>
      </c>
      <c r="X30" s="720">
        <f t="shared" si="41"/>
        <v>2.7454723407616509E-5</v>
      </c>
      <c r="Y30" s="720">
        <f t="shared" si="42"/>
        <v>2.955201832751276E-10</v>
      </c>
      <c r="Z30" s="797">
        <f t="shared" si="43"/>
        <v>4.2554906391618374E-8</v>
      </c>
      <c r="AA30" s="867">
        <v>1.2475000000000001</v>
      </c>
      <c r="AB30" s="868">
        <v>2.9344000000000001</v>
      </c>
      <c r="AC30" s="858" t="s">
        <v>96</v>
      </c>
      <c r="AD30" s="760">
        <v>1.8712100000000001E-3</v>
      </c>
      <c r="AE30" s="723">
        <v>6.1391247288708495E-5</v>
      </c>
      <c r="AF30" s="723">
        <v>7.3669499999999999E-4</v>
      </c>
      <c r="AG30" s="723">
        <v>1.87120521735983E-5</v>
      </c>
      <c r="AH30" s="723">
        <v>1.1627130168316E-8</v>
      </c>
      <c r="AI30" s="723">
        <v>1.8712099999999999E-2</v>
      </c>
      <c r="AJ30" s="723">
        <v>2.04637490962362E-5</v>
      </c>
      <c r="AK30" s="724">
        <v>18.7121</v>
      </c>
      <c r="AL30" s="722">
        <v>2.7454723407616499E-13</v>
      </c>
      <c r="AM30" s="723">
        <v>6.7842099007145903E-15</v>
      </c>
      <c r="AN30" s="723">
        <v>2.74547234076165E-7</v>
      </c>
      <c r="AO30" s="723">
        <v>2.7454723407616498E-9</v>
      </c>
      <c r="AP30" s="723">
        <v>2.7454723407616499E-15</v>
      </c>
      <c r="AQ30" s="723">
        <v>2.74547234076165E-11</v>
      </c>
      <c r="AR30" s="723">
        <v>2.7454723407616499E-5</v>
      </c>
      <c r="AS30" s="723">
        <v>2.9552018327512801E-10</v>
      </c>
      <c r="AT30" s="830">
        <v>4.25549063916184E-8</v>
      </c>
      <c r="AU30" s="882">
        <f t="shared" si="44"/>
        <v>-2.3932511383945956E-5</v>
      </c>
      <c r="AV30" s="883">
        <f t="shared" si="45"/>
        <v>1.4586142686044841E-5</v>
      </c>
      <c r="AW30" s="850" t="s">
        <v>96</v>
      </c>
      <c r="AX30" s="805">
        <f t="shared" si="46"/>
        <v>-2.5559142962563187E-6</v>
      </c>
      <c r="AY30" s="691">
        <f t="shared" si="47"/>
        <v>-6.622700020575159E-16</v>
      </c>
      <c r="AZ30" s="691">
        <f t="shared" si="47"/>
        <v>-4.4164138387405284E-8</v>
      </c>
      <c r="BA30" s="691">
        <f t="shared" si="47"/>
        <v>1.9917350236856615E-15</v>
      </c>
      <c r="BB30" s="691">
        <f t="shared" si="47"/>
        <v>-4.2685371226363331E-16</v>
      </c>
      <c r="BC30" s="691">
        <f t="shared" si="47"/>
        <v>-2.5559142962099656E-6</v>
      </c>
      <c r="BD30" s="691">
        <f t="shared" si="47"/>
        <v>-2.3179450072013055E-15</v>
      </c>
      <c r="BE30" s="692">
        <f t="shared" si="47"/>
        <v>-2.555914296220349E-6</v>
      </c>
      <c r="BF30" s="693">
        <f t="shared" si="47"/>
        <v>3.6778442226184356E-16</v>
      </c>
      <c r="BG30" s="691">
        <f t="shared" si="47"/>
        <v>1.1627896494445431E-16</v>
      </c>
      <c r="BH30" s="691">
        <f t="shared" si="47"/>
        <v>3.8564991835763486E-16</v>
      </c>
      <c r="BI30" s="691">
        <f t="shared" si="47"/>
        <v>4.5193349807535333E-16</v>
      </c>
      <c r="BJ30" s="691">
        <f t="shared" si="47"/>
        <v>4.3099736983809792E-16</v>
      </c>
      <c r="BK30" s="691">
        <f t="shared" si="47"/>
        <v>3.5307304537136981E-16</v>
      </c>
      <c r="BL30" s="691">
        <f t="shared" si="47"/>
        <v>3.7022392162332947E-16</v>
      </c>
      <c r="BM30" s="691">
        <f t="shared" si="47"/>
        <v>-1.399533194967816E-15</v>
      </c>
      <c r="BN30" s="694">
        <f t="shared" si="47"/>
        <v>-6.2201475331902927E-16</v>
      </c>
    </row>
    <row r="31" spans="2:66" ht="15.75" thickTop="1" x14ac:dyDescent="0.25"/>
    <row r="32" spans="2:66" ht="15.75" thickBot="1" x14ac:dyDescent="0.3"/>
    <row r="33" spans="2:66" ht="17.100000000000001" customHeight="1" thickTop="1" thickBot="1" x14ac:dyDescent="0.3">
      <c r="B33" s="950" t="s">
        <v>103</v>
      </c>
      <c r="C33" s="951"/>
      <c r="D33" s="951"/>
      <c r="E33" s="951"/>
      <c r="F33" s="951"/>
      <c r="G33" s="970" t="s">
        <v>113</v>
      </c>
      <c r="H33" s="971"/>
      <c r="I33" s="972"/>
      <c r="J33" s="963" t="s">
        <v>92</v>
      </c>
      <c r="K33" s="964"/>
      <c r="L33" s="964"/>
      <c r="M33" s="964"/>
      <c r="N33" s="964"/>
      <c r="O33" s="964"/>
      <c r="P33" s="964"/>
      <c r="Q33" s="965"/>
      <c r="R33" s="967" t="s">
        <v>93</v>
      </c>
      <c r="S33" s="961"/>
      <c r="T33" s="961"/>
      <c r="U33" s="961"/>
      <c r="V33" s="961"/>
      <c r="W33" s="961"/>
      <c r="X33" s="961"/>
      <c r="Y33" s="961"/>
      <c r="Z33" s="968"/>
      <c r="AA33" s="950" t="s">
        <v>113</v>
      </c>
      <c r="AB33" s="987"/>
      <c r="AC33" s="988"/>
      <c r="AD33" s="960" t="s">
        <v>1</v>
      </c>
      <c r="AE33" s="961"/>
      <c r="AF33" s="961"/>
      <c r="AG33" s="961"/>
      <c r="AH33" s="961"/>
      <c r="AI33" s="961"/>
      <c r="AJ33" s="961"/>
      <c r="AK33" s="962"/>
      <c r="AL33" s="983" t="s">
        <v>0</v>
      </c>
      <c r="AM33" s="961"/>
      <c r="AN33" s="961"/>
      <c r="AO33" s="961"/>
      <c r="AP33" s="961"/>
      <c r="AQ33" s="961"/>
      <c r="AR33" s="961"/>
      <c r="AS33" s="961"/>
      <c r="AT33" s="968"/>
      <c r="AU33" s="991" t="s">
        <v>113</v>
      </c>
      <c r="AV33" s="992"/>
      <c r="AW33" s="993"/>
      <c r="AX33" s="984" t="s">
        <v>1</v>
      </c>
      <c r="AY33" s="961"/>
      <c r="AZ33" s="961"/>
      <c r="BA33" s="961"/>
      <c r="BB33" s="961"/>
      <c r="BC33" s="961"/>
      <c r="BD33" s="961"/>
      <c r="BE33" s="961"/>
      <c r="BF33" s="989" t="s">
        <v>0</v>
      </c>
      <c r="BG33" s="961"/>
      <c r="BH33" s="961"/>
      <c r="BI33" s="961"/>
      <c r="BJ33" s="961"/>
      <c r="BK33" s="961"/>
      <c r="BL33" s="961"/>
      <c r="BM33" s="961"/>
      <c r="BN33" s="968"/>
    </row>
    <row r="34" spans="2:66" ht="15.75" customHeight="1" thickBot="1" x14ac:dyDescent="0.3">
      <c r="B34" s="952" t="s">
        <v>94</v>
      </c>
      <c r="C34" s="954" t="s">
        <v>104</v>
      </c>
      <c r="D34" s="954" t="s">
        <v>95</v>
      </c>
      <c r="E34" s="954" t="s">
        <v>102</v>
      </c>
      <c r="F34" s="958" t="s">
        <v>15</v>
      </c>
      <c r="G34" s="973" t="s">
        <v>95</v>
      </c>
      <c r="H34" s="985" t="s">
        <v>102</v>
      </c>
      <c r="I34" s="977" t="s">
        <v>15</v>
      </c>
      <c r="J34" s="966"/>
      <c r="K34" s="892"/>
      <c r="L34" s="892"/>
      <c r="M34" s="892"/>
      <c r="N34" s="892"/>
      <c r="O34" s="892"/>
      <c r="P34" s="892"/>
      <c r="Q34" s="893"/>
      <c r="R34" s="906"/>
      <c r="S34" s="904"/>
      <c r="T34" s="904"/>
      <c r="U34" s="904"/>
      <c r="V34" s="904"/>
      <c r="W34" s="904"/>
      <c r="X34" s="904"/>
      <c r="Y34" s="904"/>
      <c r="Z34" s="969"/>
      <c r="AA34" s="954" t="s">
        <v>95</v>
      </c>
      <c r="AB34" s="956" t="s">
        <v>102</v>
      </c>
      <c r="AC34" s="981" t="s">
        <v>15</v>
      </c>
      <c r="AD34" s="904"/>
      <c r="AE34" s="904"/>
      <c r="AF34" s="904"/>
      <c r="AG34" s="904"/>
      <c r="AH34" s="904"/>
      <c r="AI34" s="904"/>
      <c r="AJ34" s="904"/>
      <c r="AK34" s="905"/>
      <c r="AL34" s="906"/>
      <c r="AM34" s="904"/>
      <c r="AN34" s="904"/>
      <c r="AO34" s="904"/>
      <c r="AP34" s="904"/>
      <c r="AQ34" s="904"/>
      <c r="AR34" s="904"/>
      <c r="AS34" s="904"/>
      <c r="AT34" s="969"/>
      <c r="AU34" s="994" t="s">
        <v>95</v>
      </c>
      <c r="AV34" s="996" t="s">
        <v>102</v>
      </c>
      <c r="AW34" s="998" t="s">
        <v>15</v>
      </c>
      <c r="AX34" s="904"/>
      <c r="AY34" s="904"/>
      <c r="AZ34" s="904"/>
      <c r="BA34" s="904"/>
      <c r="BB34" s="904"/>
      <c r="BC34" s="904"/>
      <c r="BD34" s="904"/>
      <c r="BE34" s="904"/>
      <c r="BF34" s="906"/>
      <c r="BG34" s="904"/>
      <c r="BH34" s="904"/>
      <c r="BI34" s="904"/>
      <c r="BJ34" s="904"/>
      <c r="BK34" s="904"/>
      <c r="BL34" s="904"/>
      <c r="BM34" s="904"/>
      <c r="BN34" s="969"/>
    </row>
    <row r="35" spans="2:66" ht="18" thickBot="1" x14ac:dyDescent="0.3">
      <c r="B35" s="953"/>
      <c r="C35" s="955"/>
      <c r="D35" s="955"/>
      <c r="E35" s="955"/>
      <c r="F35" s="959"/>
      <c r="G35" s="974"/>
      <c r="H35" s="986"/>
      <c r="I35" s="978"/>
      <c r="J35" s="838" t="s">
        <v>9</v>
      </c>
      <c r="K35" s="110" t="s">
        <v>5</v>
      </c>
      <c r="L35" s="110" t="s">
        <v>8</v>
      </c>
      <c r="M35" s="110" t="s">
        <v>4</v>
      </c>
      <c r="N35" s="110" t="s">
        <v>10</v>
      </c>
      <c r="O35" s="110" t="s">
        <v>6</v>
      </c>
      <c r="P35" s="110" t="s">
        <v>7</v>
      </c>
      <c r="Q35" s="678" t="s">
        <v>96</v>
      </c>
      <c r="R35" s="679" t="s">
        <v>28</v>
      </c>
      <c r="S35" s="110" t="s">
        <v>30</v>
      </c>
      <c r="T35" s="110" t="s">
        <v>97</v>
      </c>
      <c r="U35" s="110" t="s">
        <v>98</v>
      </c>
      <c r="V35" s="110" t="s">
        <v>29</v>
      </c>
      <c r="W35" s="110" t="s">
        <v>99</v>
      </c>
      <c r="X35" s="110" t="s">
        <v>100</v>
      </c>
      <c r="Y35" s="110" t="s">
        <v>27</v>
      </c>
      <c r="Z35" s="817" t="s">
        <v>26</v>
      </c>
      <c r="AA35" s="955"/>
      <c r="AB35" s="990"/>
      <c r="AC35" s="982"/>
      <c r="AD35" s="826" t="s">
        <v>9</v>
      </c>
      <c r="AE35" s="104" t="s">
        <v>5</v>
      </c>
      <c r="AF35" s="104" t="s">
        <v>8</v>
      </c>
      <c r="AG35" s="104" t="s">
        <v>4</v>
      </c>
      <c r="AH35" s="104" t="s">
        <v>10</v>
      </c>
      <c r="AI35" s="104" t="s">
        <v>6</v>
      </c>
      <c r="AJ35" s="104" t="s">
        <v>7</v>
      </c>
      <c r="AK35" s="680" t="s">
        <v>96</v>
      </c>
      <c r="AL35" s="103" t="s">
        <v>28</v>
      </c>
      <c r="AM35" s="104" t="s">
        <v>30</v>
      </c>
      <c r="AN35" s="104" t="s">
        <v>97</v>
      </c>
      <c r="AO35" s="104" t="s">
        <v>98</v>
      </c>
      <c r="AP35" s="104" t="s">
        <v>29</v>
      </c>
      <c r="AQ35" s="104" t="s">
        <v>99</v>
      </c>
      <c r="AR35" s="104" t="s">
        <v>100</v>
      </c>
      <c r="AS35" s="104" t="s">
        <v>27</v>
      </c>
      <c r="AT35" s="827" t="s">
        <v>26</v>
      </c>
      <c r="AU35" s="995"/>
      <c r="AV35" s="997"/>
      <c r="AW35" s="999"/>
      <c r="AX35" s="798" t="s">
        <v>9</v>
      </c>
      <c r="AY35" s="131" t="s">
        <v>5</v>
      </c>
      <c r="AZ35" s="131" t="s">
        <v>8</v>
      </c>
      <c r="BA35" s="131" t="s">
        <v>4</v>
      </c>
      <c r="BB35" s="131" t="s">
        <v>10</v>
      </c>
      <c r="BC35" s="131" t="s">
        <v>6</v>
      </c>
      <c r="BD35" s="131" t="s">
        <v>7</v>
      </c>
      <c r="BE35" s="681" t="s">
        <v>96</v>
      </c>
      <c r="BF35" s="130" t="s">
        <v>28</v>
      </c>
      <c r="BG35" s="131" t="s">
        <v>30</v>
      </c>
      <c r="BH35" s="131" t="s">
        <v>97</v>
      </c>
      <c r="BI35" s="131" t="s">
        <v>98</v>
      </c>
      <c r="BJ35" s="131" t="s">
        <v>29</v>
      </c>
      <c r="BK35" s="131" t="s">
        <v>99</v>
      </c>
      <c r="BL35" s="131" t="s">
        <v>100</v>
      </c>
      <c r="BM35" s="131" t="s">
        <v>27</v>
      </c>
      <c r="BN35" s="682" t="s">
        <v>26</v>
      </c>
    </row>
    <row r="36" spans="2:66" x14ac:dyDescent="0.25">
      <c r="B36" s="725">
        <v>678</v>
      </c>
      <c r="C36" s="761">
        <v>89</v>
      </c>
      <c r="D36" s="831">
        <f>2*SIN(((2*PI())/B36)/2)*E36</f>
        <v>0.82478981487161496</v>
      </c>
      <c r="E36" s="831">
        <f>C36/COS(((2*PI())/B36)/2)</f>
        <v>89.000955441836012</v>
      </c>
      <c r="F36" s="695" t="s">
        <v>9</v>
      </c>
      <c r="G36" s="842">
        <f>2*SIN(((2*PI())/B36)/2)*(C36/COS(((2*PI())/B36)/2))</f>
        <v>0.82478981487161496</v>
      </c>
      <c r="H36" s="844">
        <f>C36/COS(((2*PI())/B36)/2)</f>
        <v>89.000955441836012</v>
      </c>
      <c r="I36" s="845" t="s">
        <v>9</v>
      </c>
      <c r="J36" s="764">
        <f>M36*100</f>
        <v>559.20749448295498</v>
      </c>
      <c r="K36" s="707">
        <f>M36/0.3048</f>
        <v>18.346702574900096</v>
      </c>
      <c r="L36" s="707">
        <f>M36/2.54*100</f>
        <v>220.16043089880117</v>
      </c>
      <c r="M36" s="707">
        <f>D36*B36/100</f>
        <v>5.5920749448295499</v>
      </c>
      <c r="N36" s="707">
        <f>M36/63360/2.54*100</f>
        <v>3.4747542755492605E-3</v>
      </c>
      <c r="O36" s="707">
        <f>M36*1000</f>
        <v>5592.0749448295501</v>
      </c>
      <c r="P36" s="707">
        <f>M36/0.9144</f>
        <v>6.1155675249666999</v>
      </c>
      <c r="Q36" s="839">
        <f>M36*1000000</f>
        <v>5592074.9448295496</v>
      </c>
      <c r="R36" s="708">
        <f>W36/100</f>
        <v>2.4884733504491496E-2</v>
      </c>
      <c r="S36" s="707">
        <f>W36/4046.8564224</f>
        <v>6.1491515653361209E-4</v>
      </c>
      <c r="T36" s="707">
        <f>W36*10000</f>
        <v>24884.733504491498</v>
      </c>
      <c r="U36" s="707">
        <f>W36*100</f>
        <v>248.84733504491496</v>
      </c>
      <c r="V36" s="707">
        <f>W36/10000</f>
        <v>2.4884733504491495E-4</v>
      </c>
      <c r="W36" s="707">
        <f>(0.5*B36*E36^2*(SIN(((2*PI()/B36)))))/100^2</f>
        <v>2.4884733504491496</v>
      </c>
      <c r="X36" s="707">
        <f>W36*1000000</f>
        <v>2488473.3504491495</v>
      </c>
      <c r="Y36" s="707">
        <f>W36/144*10000/(2.54*2.54)</f>
        <v>26.785704218604145</v>
      </c>
      <c r="Z36" s="791">
        <f>W36*10000/(2.54 *2.54)</f>
        <v>3857.1414074789973</v>
      </c>
      <c r="AA36" s="851">
        <v>0.82479999999999998</v>
      </c>
      <c r="AB36" s="852">
        <v>89.001000000000005</v>
      </c>
      <c r="AC36" s="853" t="s">
        <v>9</v>
      </c>
      <c r="AD36" s="744">
        <v>559.20699999999999</v>
      </c>
      <c r="AE36" s="711">
        <v>18.346699999999998</v>
      </c>
      <c r="AF36" s="711">
        <v>220.16</v>
      </c>
      <c r="AG36" s="711">
        <v>5.5920699999999997</v>
      </c>
      <c r="AH36" s="711">
        <v>3.47475E-3</v>
      </c>
      <c r="AI36" s="711">
        <v>5592.07</v>
      </c>
      <c r="AJ36" s="711">
        <v>6.11557</v>
      </c>
      <c r="AK36" s="712">
        <v>5592075</v>
      </c>
      <c r="AL36" s="710">
        <v>2.4884699999999999E-2</v>
      </c>
      <c r="AM36" s="711">
        <v>6.1491499999999995E-4</v>
      </c>
      <c r="AN36" s="711">
        <v>24884.7</v>
      </c>
      <c r="AO36" s="711">
        <v>248.84700000000001</v>
      </c>
      <c r="AP36" s="711">
        <v>2.4884700000000001E-4</v>
      </c>
      <c r="AQ36" s="711">
        <v>2.48847</v>
      </c>
      <c r="AR36" s="711">
        <v>2488473</v>
      </c>
      <c r="AS36" s="711">
        <v>26.785699999999999</v>
      </c>
      <c r="AT36" s="828">
        <v>3857.14</v>
      </c>
      <c r="AU36" s="871">
        <f>(G36-AA36)/G36</f>
        <v>-1.2348756254472081E-5</v>
      </c>
      <c r="AV36" s="872">
        <f>(H36-AB36)/H36</f>
        <v>-5.0064815339439537E-7</v>
      </c>
      <c r="AW36" s="848" t="s">
        <v>9</v>
      </c>
      <c r="AX36" s="799">
        <f t="shared" ref="AX36:BN36" si="48">(J36-AD36)/J36</f>
        <v>8.8425666656797411E-7</v>
      </c>
      <c r="AY36" s="683">
        <f t="shared" si="48"/>
        <v>1.4034675098007403E-7</v>
      </c>
      <c r="AZ36" s="683">
        <f t="shared" si="48"/>
        <v>1.9572036601261666E-6</v>
      </c>
      <c r="BA36" s="683">
        <f t="shared" si="48"/>
        <v>8.8425666663150529E-7</v>
      </c>
      <c r="BB36" s="683">
        <f t="shared" si="48"/>
        <v>1.2304608963692438E-6</v>
      </c>
      <c r="BC36" s="683">
        <f t="shared" si="48"/>
        <v>8.8425666664929404E-7</v>
      </c>
      <c r="BD36" s="683">
        <f t="shared" si="48"/>
        <v>-4.0471032164756778E-7</v>
      </c>
      <c r="BE36" s="684">
        <f t="shared" si="48"/>
        <v>-9.8658281414117455E-9</v>
      </c>
      <c r="BF36" s="685">
        <f t="shared" si="48"/>
        <v>1.3463873941474504E-6</v>
      </c>
      <c r="BG36" s="683">
        <f t="shared" si="48"/>
        <v>2.5456131707352472E-7</v>
      </c>
      <c r="BH36" s="683">
        <f t="shared" si="48"/>
        <v>1.3463873941527058E-6</v>
      </c>
      <c r="BI36" s="683">
        <f t="shared" si="48"/>
        <v>1.3463873940521981E-6</v>
      </c>
      <c r="BJ36" s="683">
        <f t="shared" si="48"/>
        <v>1.346387393999316E-6</v>
      </c>
      <c r="BK36" s="683">
        <f t="shared" si="48"/>
        <v>1.3463873941307198E-6</v>
      </c>
      <c r="BL36" s="683">
        <f t="shared" si="48"/>
        <v>1.4082897429204942E-7</v>
      </c>
      <c r="BM36" s="683">
        <f t="shared" si="48"/>
        <v>1.5749461401016288E-7</v>
      </c>
      <c r="BN36" s="686">
        <f t="shared" si="48"/>
        <v>3.6490209943518021E-7</v>
      </c>
    </row>
    <row r="37" spans="2:66" x14ac:dyDescent="0.25">
      <c r="B37" s="726">
        <v>256</v>
      </c>
      <c r="C37" s="762">
        <v>35</v>
      </c>
      <c r="D37" s="832">
        <f t="shared" ref="D37:D43" si="49">2*SIN(((2*PI())/B37)/2)*E37</f>
        <v>0.85907236656963926</v>
      </c>
      <c r="E37" s="832">
        <f t="shared" ref="E37:E43" si="50">C37/COS(((2*PI())/B37)/2)</f>
        <v>35.002635634088342</v>
      </c>
      <c r="F37" s="166" t="s">
        <v>5</v>
      </c>
      <c r="G37" s="843">
        <f t="shared" ref="G37:G43" si="51">2*SIN(((2*PI())/B37)/2)*(C37/COS(((2*PI())/B37)/2))</f>
        <v>0.85907236656963926</v>
      </c>
      <c r="H37" s="42">
        <f t="shared" ref="H37:H43" si="52">C37/COS(((2*PI())/B37)/2)</f>
        <v>35.002635634088342</v>
      </c>
      <c r="I37" s="846" t="s">
        <v>5</v>
      </c>
      <c r="J37" s="765">
        <f t="shared" ref="J37:J43" si="53">M37*100</f>
        <v>6703.2385876589078</v>
      </c>
      <c r="K37" s="714">
        <f t="shared" ref="K37:K43" si="54">M37/0.3048</f>
        <v>219.92252584182765</v>
      </c>
      <c r="L37" s="714">
        <f t="shared" ref="L37:L43" si="55">M37/2.54*100</f>
        <v>2639.0703101019321</v>
      </c>
      <c r="M37" s="714">
        <f>D37*B37*0.3048</f>
        <v>67.032385876589075</v>
      </c>
      <c r="N37" s="714">
        <f t="shared" ref="N37:N43" si="56">M37/63360/2.54*100</f>
        <v>4.1651993530649176E-2</v>
      </c>
      <c r="O37" s="714">
        <f t="shared" ref="O37:O43" si="57">M37*1000</f>
        <v>67032.385876589076</v>
      </c>
      <c r="P37" s="714">
        <f t="shared" ref="P37:P43" si="58">M37/0.9144</f>
        <v>73.307508613942559</v>
      </c>
      <c r="Q37" s="840">
        <f t="shared" ref="Q37:Q43" si="59">M37*1000000</f>
        <v>67032385.876589075</v>
      </c>
      <c r="R37" s="713">
        <f t="shared" ref="R37:R43" si="60">W37/100</f>
        <v>3.5755074626572623</v>
      </c>
      <c r="S37" s="714">
        <f t="shared" ref="S37:S43" si="61">W37/4046.8564224</f>
        <v>8.8352713549861919E-2</v>
      </c>
      <c r="T37" s="714">
        <f t="shared" ref="T37:T43" si="62">W37*10000</f>
        <v>3575507.4626572621</v>
      </c>
      <c r="U37" s="714">
        <f t="shared" ref="U37:U43" si="63">W37*100</f>
        <v>35755.074626572619</v>
      </c>
      <c r="V37" s="714">
        <f t="shared" ref="V37:V43" si="64">W37/10000</f>
        <v>3.5755074626572625E-2</v>
      </c>
      <c r="W37" s="714">
        <f>(0.5*B37*E37^2*(SIN(((2*PI()/B37)))))*0.3048^2</f>
        <v>357.55074626572622</v>
      </c>
      <c r="X37" s="714">
        <f t="shared" ref="X37:X43" si="65">W37*1000000</f>
        <v>357550746.26572621</v>
      </c>
      <c r="Y37" s="714">
        <f t="shared" ref="Y37:Y43" si="66">W37/144*10000/(2.54*2.54)</f>
        <v>3848.6442022319857</v>
      </c>
      <c r="Z37" s="792">
        <f t="shared" ref="Z37:Z43" si="67">W37*10000/(2.54 *2.54)</f>
        <v>554204.76512140583</v>
      </c>
      <c r="AA37" s="854">
        <v>0.85909999999999997</v>
      </c>
      <c r="AB37" s="6">
        <v>35.003</v>
      </c>
      <c r="AC37" s="855" t="s">
        <v>5</v>
      </c>
      <c r="AD37" s="746">
        <v>6703.24</v>
      </c>
      <c r="AE37" s="717">
        <v>219.923</v>
      </c>
      <c r="AF37" s="717">
        <v>2639.07</v>
      </c>
      <c r="AG37" s="717">
        <v>67.032399999999996</v>
      </c>
      <c r="AH37" s="717">
        <v>4.1652000000000002E-2</v>
      </c>
      <c r="AI37" s="717">
        <v>67032.399999999994</v>
      </c>
      <c r="AJ37" s="717">
        <v>73.307500000000005</v>
      </c>
      <c r="AK37" s="718">
        <v>67032386</v>
      </c>
      <c r="AL37" s="716">
        <v>3.57551</v>
      </c>
      <c r="AM37" s="717">
        <v>8.8352700000000006E-2</v>
      </c>
      <c r="AN37" s="717">
        <v>3575507</v>
      </c>
      <c r="AO37" s="717">
        <v>35755.1</v>
      </c>
      <c r="AP37" s="717">
        <v>3.5755099999999998E-2</v>
      </c>
      <c r="AQ37" s="717">
        <v>357.55099999999999</v>
      </c>
      <c r="AR37" s="717">
        <v>357550746</v>
      </c>
      <c r="AS37" s="717">
        <v>3848.64</v>
      </c>
      <c r="AT37" s="829">
        <v>554205</v>
      </c>
      <c r="AU37" s="874">
        <f t="shared" ref="AU37:AU43" si="68">(G37-AA37)/G37</f>
        <v>-3.216659205447549E-5</v>
      </c>
      <c r="AV37" s="688">
        <f t="shared" ref="AV37:AV43" si="69">(H37-AB37)/H37</f>
        <v>-1.0409670730704147E-5</v>
      </c>
      <c r="AW37" s="849" t="s">
        <v>5</v>
      </c>
      <c r="AX37" s="800">
        <f t="shared" ref="AX37:AX43" si="70">(J37-AD37)/J37</f>
        <v>-2.1069533382922759E-7</v>
      </c>
      <c r="AY37" s="687">
        <f t="shared" ref="AY37:BN43" si="71">(K37-AE37)/K37</f>
        <v>-2.1560236748700027E-6</v>
      </c>
      <c r="AZ37" s="687">
        <f t="shared" si="71"/>
        <v>1.175042327541919E-7</v>
      </c>
      <c r="BA37" s="687">
        <f t="shared" si="71"/>
        <v>-2.1069533384618757E-7</v>
      </c>
      <c r="BB37" s="687">
        <f t="shared" si="71"/>
        <v>-1.5531911626551303E-7</v>
      </c>
      <c r="BC37" s="687">
        <f t="shared" si="71"/>
        <v>-2.1069533380209161E-7</v>
      </c>
      <c r="BD37" s="687">
        <f t="shared" si="71"/>
        <v>1.175042327541919E-7</v>
      </c>
      <c r="BE37" s="688">
        <f t="shared" si="71"/>
        <v>-1.8410641909171236E-9</v>
      </c>
      <c r="BF37" s="689">
        <f t="shared" si="71"/>
        <v>-7.0964548786328676E-7</v>
      </c>
      <c r="BG37" s="687">
        <f t="shared" si="71"/>
        <v>1.5336101596240905E-7</v>
      </c>
      <c r="BH37" s="687">
        <f t="shared" si="71"/>
        <v>1.2939625128391005E-7</v>
      </c>
      <c r="BI37" s="687">
        <f t="shared" si="71"/>
        <v>-7.0964548792687882E-7</v>
      </c>
      <c r="BJ37" s="687">
        <f t="shared" si="71"/>
        <v>-7.0964548775460894E-7</v>
      </c>
      <c r="BK37" s="687">
        <f t="shared" si="71"/>
        <v>-7.0964548786328676E-7</v>
      </c>
      <c r="BL37" s="687">
        <f t="shared" si="71"/>
        <v>7.4318460096107585E-10</v>
      </c>
      <c r="BM37" s="687">
        <f t="shared" si="71"/>
        <v>1.0918733364241784E-6</v>
      </c>
      <c r="BN37" s="690">
        <f t="shared" si="71"/>
        <v>-4.2381193550498237E-7</v>
      </c>
    </row>
    <row r="38" spans="2:66" x14ac:dyDescent="0.25">
      <c r="B38" s="726">
        <v>6</v>
      </c>
      <c r="C38" s="762">
        <v>23</v>
      </c>
      <c r="D38" s="832">
        <f t="shared" si="49"/>
        <v>26.558112382722779</v>
      </c>
      <c r="E38" s="832">
        <f t="shared" si="50"/>
        <v>26.558112382722783</v>
      </c>
      <c r="F38" s="166" t="s">
        <v>8</v>
      </c>
      <c r="G38" s="843">
        <f t="shared" si="51"/>
        <v>26.558112382722779</v>
      </c>
      <c r="H38" s="42">
        <f t="shared" si="52"/>
        <v>26.558112382722783</v>
      </c>
      <c r="I38" s="846" t="s">
        <v>8</v>
      </c>
      <c r="J38" s="765">
        <f t="shared" si="53"/>
        <v>404.74563271269517</v>
      </c>
      <c r="K38" s="714">
        <f t="shared" si="54"/>
        <v>13.27905619136139</v>
      </c>
      <c r="L38" s="714">
        <f t="shared" si="55"/>
        <v>159.34867429633667</v>
      </c>
      <c r="M38" s="714">
        <f>D38*B38*2.54/100</f>
        <v>4.0474563271269517</v>
      </c>
      <c r="N38" s="714">
        <f t="shared" si="56"/>
        <v>2.5149727635154144E-3</v>
      </c>
      <c r="O38" s="714">
        <f t="shared" si="57"/>
        <v>4047.4563271269517</v>
      </c>
      <c r="P38" s="714">
        <f t="shared" si="58"/>
        <v>4.4263520637871299</v>
      </c>
      <c r="Q38" s="840">
        <f t="shared" si="59"/>
        <v>4047456.3271269519</v>
      </c>
      <c r="R38" s="713">
        <f t="shared" si="60"/>
        <v>1.1822619931537827E-2</v>
      </c>
      <c r="S38" s="714">
        <f t="shared" si="61"/>
        <v>2.9214330081239672E-4</v>
      </c>
      <c r="T38" s="714">
        <f t="shared" si="62"/>
        <v>11822.619931537827</v>
      </c>
      <c r="U38" s="714">
        <f t="shared" si="63"/>
        <v>118.22619931537828</v>
      </c>
      <c r="V38" s="714">
        <f t="shared" si="64"/>
        <v>1.1822619931537828E-4</v>
      </c>
      <c r="W38" s="714">
        <f>(0.5*B38*E38^2*(SIN(((2*PI()/B38)))))*(2.54/100)^2</f>
        <v>1.1822619931537828</v>
      </c>
      <c r="X38" s="714">
        <f t="shared" si="65"/>
        <v>1182261.9931537828</v>
      </c>
      <c r="Y38" s="714">
        <f t="shared" si="66"/>
        <v>12.725762183387999</v>
      </c>
      <c r="Z38" s="792">
        <f t="shared" si="67"/>
        <v>1832.5097544078719</v>
      </c>
      <c r="AA38" s="854">
        <v>26.558</v>
      </c>
      <c r="AB38" s="6">
        <v>26.558</v>
      </c>
      <c r="AC38" s="855" t="s">
        <v>8</v>
      </c>
      <c r="AD38" s="746">
        <v>404.74599999999998</v>
      </c>
      <c r="AE38" s="717">
        <v>13.2791</v>
      </c>
      <c r="AF38" s="717">
        <v>159.34899999999999</v>
      </c>
      <c r="AG38" s="717">
        <v>4.0474600000000001</v>
      </c>
      <c r="AH38" s="717">
        <v>2.5149700000000001E-3</v>
      </c>
      <c r="AI38" s="717">
        <v>4047.46</v>
      </c>
      <c r="AJ38" s="717">
        <v>4.4263500000000002</v>
      </c>
      <c r="AK38" s="718">
        <v>4047456</v>
      </c>
      <c r="AL38" s="716">
        <v>1.1822600000000001E-2</v>
      </c>
      <c r="AM38" s="717">
        <v>2.9214300000000003E-4</v>
      </c>
      <c r="AN38" s="717">
        <v>11822.6</v>
      </c>
      <c r="AO38" s="717">
        <v>118.226</v>
      </c>
      <c r="AP38" s="717">
        <v>1.18226E-4</v>
      </c>
      <c r="AQ38" s="717">
        <v>1.1822600000000001</v>
      </c>
      <c r="AR38" s="717">
        <v>1182262</v>
      </c>
      <c r="AS38" s="717">
        <v>12.7258</v>
      </c>
      <c r="AT38" s="829">
        <v>1832.51</v>
      </c>
      <c r="AU38" s="874">
        <f t="shared" si="68"/>
        <v>4.2315779510168894E-6</v>
      </c>
      <c r="AV38" s="688">
        <f t="shared" si="69"/>
        <v>4.2315779511506605E-6</v>
      </c>
      <c r="AW38" s="849" t="s">
        <v>8</v>
      </c>
      <c r="AX38" s="800">
        <f t="shared" si="70"/>
        <v>-9.0745217520961052E-7</v>
      </c>
      <c r="AY38" s="687">
        <f t="shared" si="71"/>
        <v>-3.2990777340476365E-6</v>
      </c>
      <c r="AZ38" s="687">
        <f t="shared" si="71"/>
        <v>-2.0439684532035489E-6</v>
      </c>
      <c r="BA38" s="687">
        <f t="shared" si="71"/>
        <v>-9.0745217527105408E-7</v>
      </c>
      <c r="BB38" s="687">
        <f t="shared" si="71"/>
        <v>1.0988251858730914E-6</v>
      </c>
      <c r="BC38" s="687">
        <f t="shared" si="71"/>
        <v>-9.0745217526578744E-7</v>
      </c>
      <c r="BD38" s="687">
        <f t="shared" si="71"/>
        <v>4.6625010841774109E-7</v>
      </c>
      <c r="BE38" s="688">
        <f t="shared" si="71"/>
        <v>8.0822849080724123E-8</v>
      </c>
      <c r="BF38" s="689">
        <f t="shared" si="71"/>
        <v>1.6858816355317156E-6</v>
      </c>
      <c r="BG38" s="687">
        <f t="shared" si="71"/>
        <v>1.0296741217641106E-6</v>
      </c>
      <c r="BH38" s="687">
        <f t="shared" si="71"/>
        <v>1.685881635559418E-6</v>
      </c>
      <c r="BI38" s="687">
        <f t="shared" si="71"/>
        <v>1.6858816356796184E-6</v>
      </c>
      <c r="BJ38" s="687">
        <f t="shared" si="71"/>
        <v>1.6858816356234213E-6</v>
      </c>
      <c r="BK38" s="687">
        <f t="shared" si="71"/>
        <v>1.6858816355669306E-6</v>
      </c>
      <c r="BL38" s="687">
        <f t="shared" si="71"/>
        <v>-5.790778393784871E-9</v>
      </c>
      <c r="BM38" s="687">
        <f t="shared" si="71"/>
        <v>-2.9716579215546516E-6</v>
      </c>
      <c r="BN38" s="690">
        <f t="shared" si="71"/>
        <v>-1.3401954749563141E-7</v>
      </c>
    </row>
    <row r="39" spans="2:66" x14ac:dyDescent="0.25">
      <c r="B39" s="726">
        <v>17</v>
      </c>
      <c r="C39" s="762">
        <v>7</v>
      </c>
      <c r="D39" s="832">
        <f t="shared" si="49"/>
        <v>2.6170535595116799</v>
      </c>
      <c r="E39" s="832">
        <f t="shared" si="50"/>
        <v>7.1212528626175171</v>
      </c>
      <c r="F39" s="166" t="s">
        <v>4</v>
      </c>
      <c r="G39" s="843">
        <f t="shared" si="51"/>
        <v>2.6170535595116799</v>
      </c>
      <c r="H39" s="42">
        <f t="shared" si="52"/>
        <v>7.1212528626175171</v>
      </c>
      <c r="I39" s="846" t="s">
        <v>4</v>
      </c>
      <c r="J39" s="765">
        <f t="shared" si="53"/>
        <v>4448.9910511698563</v>
      </c>
      <c r="K39" s="714">
        <f t="shared" si="54"/>
        <v>145.96427333234436</v>
      </c>
      <c r="L39" s="714">
        <f t="shared" si="55"/>
        <v>1751.5712799881323</v>
      </c>
      <c r="M39" s="714">
        <f>D39*B39</f>
        <v>44.489910511698561</v>
      </c>
      <c r="N39" s="714">
        <f t="shared" si="56"/>
        <v>2.764474873718643E-2</v>
      </c>
      <c r="O39" s="714">
        <f t="shared" si="57"/>
        <v>44489.910511698559</v>
      </c>
      <c r="P39" s="714">
        <f t="shared" si="58"/>
        <v>48.654757777448118</v>
      </c>
      <c r="Q39" s="840">
        <f t="shared" si="59"/>
        <v>44489910.511698559</v>
      </c>
      <c r="R39" s="713">
        <f t="shared" si="60"/>
        <v>1.5571468679094493</v>
      </c>
      <c r="S39" s="714">
        <f t="shared" si="61"/>
        <v>3.8477937079516619E-2</v>
      </c>
      <c r="T39" s="714">
        <f t="shared" si="62"/>
        <v>1557146.8679094494</v>
      </c>
      <c r="U39" s="714">
        <f t="shared" si="63"/>
        <v>15571.468679094494</v>
      </c>
      <c r="V39" s="714">
        <f t="shared" si="64"/>
        <v>1.5571468679094494E-2</v>
      </c>
      <c r="W39" s="714">
        <f>0.5*B39*E39^2*(SIN(((2*PI()/B39))))</f>
        <v>155.71468679094494</v>
      </c>
      <c r="X39" s="714">
        <f t="shared" si="65"/>
        <v>155714686.79094493</v>
      </c>
      <c r="Y39" s="714">
        <f t="shared" si="66"/>
        <v>1676.0989391837441</v>
      </c>
      <c r="Z39" s="792">
        <f t="shared" si="67"/>
        <v>241358.24724245913</v>
      </c>
      <c r="AA39" s="854">
        <v>2.6171000000000002</v>
      </c>
      <c r="AB39" s="6">
        <v>7.1212999999999997</v>
      </c>
      <c r="AC39" s="855" t="s">
        <v>4</v>
      </c>
      <c r="AD39" s="746">
        <v>4448.99</v>
      </c>
      <c r="AE39" s="717">
        <v>145.964</v>
      </c>
      <c r="AF39" s="717">
        <v>1751.57</v>
      </c>
      <c r="AG39" s="717">
        <v>44.489899999999999</v>
      </c>
      <c r="AH39" s="717">
        <v>2.7644700000000001E-2</v>
      </c>
      <c r="AI39" s="717">
        <v>44489.9</v>
      </c>
      <c r="AJ39" s="717">
        <v>48.654800000000002</v>
      </c>
      <c r="AK39" s="718">
        <v>44489911</v>
      </c>
      <c r="AL39" s="716">
        <v>1.55715</v>
      </c>
      <c r="AM39" s="717">
        <v>3.8477900000000002E-2</v>
      </c>
      <c r="AN39" s="717">
        <v>1557147</v>
      </c>
      <c r="AO39" s="717">
        <v>15571.5</v>
      </c>
      <c r="AP39" s="717">
        <v>1.55715E-2</v>
      </c>
      <c r="AQ39" s="717">
        <v>155.715</v>
      </c>
      <c r="AR39" s="717">
        <v>155714687</v>
      </c>
      <c r="AS39" s="717">
        <v>1676.1</v>
      </c>
      <c r="AT39" s="829">
        <v>241358</v>
      </c>
      <c r="AU39" s="874">
        <f t="shared" si="68"/>
        <v>-1.7745333545607469E-5</v>
      </c>
      <c r="AV39" s="688">
        <f t="shared" si="69"/>
        <v>-6.6192541385625702E-6</v>
      </c>
      <c r="AW39" s="849" t="s">
        <v>4</v>
      </c>
      <c r="AX39" s="800">
        <f t="shared" si="70"/>
        <v>2.3627151514122639E-7</v>
      </c>
      <c r="AY39" s="687">
        <f t="shared" si="71"/>
        <v>1.8725975755807413E-6</v>
      </c>
      <c r="AZ39" s="687">
        <f t="shared" si="71"/>
        <v>7.3076565426363835E-7</v>
      </c>
      <c r="BA39" s="687">
        <f t="shared" si="71"/>
        <v>2.3627151507734292E-7</v>
      </c>
      <c r="BB39" s="687">
        <f t="shared" si="71"/>
        <v>1.7629817110045754E-6</v>
      </c>
      <c r="BC39" s="687">
        <f t="shared" si="71"/>
        <v>2.3627151497768468E-7</v>
      </c>
      <c r="BD39" s="687">
        <f t="shared" si="71"/>
        <v>-8.6779903573607922E-7</v>
      </c>
      <c r="BE39" s="688">
        <f t="shared" si="71"/>
        <v>-1.0975554579841635E-8</v>
      </c>
      <c r="BF39" s="689">
        <f t="shared" si="71"/>
        <v>-2.0114291177298192E-6</v>
      </c>
      <c r="BG39" s="687">
        <f t="shared" si="71"/>
        <v>9.6365656350622719E-7</v>
      </c>
      <c r="BH39" s="687">
        <f t="shared" si="71"/>
        <v>-8.4828575477828456E-8</v>
      </c>
      <c r="BI39" s="687">
        <f t="shared" si="71"/>
        <v>-2.0114291176501926E-6</v>
      </c>
      <c r="BJ39" s="687">
        <f t="shared" si="71"/>
        <v>-2.0114291176897135E-6</v>
      </c>
      <c r="BK39" s="687">
        <f t="shared" si="71"/>
        <v>-2.0114291177012996E-6</v>
      </c>
      <c r="BL39" s="687">
        <f t="shared" si="71"/>
        <v>-1.342552012382563E-9</v>
      </c>
      <c r="BM39" s="687">
        <f t="shared" si="71"/>
        <v>-6.3290789765365148E-7</v>
      </c>
      <c r="BN39" s="690">
        <f t="shared" si="71"/>
        <v>1.0243795766247348E-6</v>
      </c>
    </row>
    <row r="40" spans="2:66" x14ac:dyDescent="0.25">
      <c r="B40" s="726">
        <v>34</v>
      </c>
      <c r="C40" s="762">
        <v>456</v>
      </c>
      <c r="D40" s="832">
        <f t="shared" si="49"/>
        <v>84.509245372731158</v>
      </c>
      <c r="E40" s="832">
        <f t="shared" si="50"/>
        <v>457.95354910554755</v>
      </c>
      <c r="F40" s="166" t="s">
        <v>10</v>
      </c>
      <c r="G40" s="843">
        <f t="shared" si="51"/>
        <v>84.509245372731158</v>
      </c>
      <c r="H40" s="42">
        <f t="shared" si="52"/>
        <v>457.95354910554755</v>
      </c>
      <c r="I40" s="846" t="s">
        <v>10</v>
      </c>
      <c r="J40" s="765">
        <f t="shared" si="53"/>
        <v>462415119.74945104</v>
      </c>
      <c r="K40" s="714">
        <f t="shared" si="54"/>
        <v>15171099.729312697</v>
      </c>
      <c r="L40" s="714">
        <f t="shared" si="55"/>
        <v>182053196.75175238</v>
      </c>
      <c r="M40" s="714">
        <f>D40*B40*63360*2.54/100</f>
        <v>4624151.1974945106</v>
      </c>
      <c r="N40" s="714">
        <f t="shared" si="56"/>
        <v>2873.3143426728598</v>
      </c>
      <c r="O40" s="714">
        <f t="shared" si="57"/>
        <v>4624151197.4945107</v>
      </c>
      <c r="P40" s="714">
        <f t="shared" si="58"/>
        <v>5057033.2431042334</v>
      </c>
      <c r="Q40" s="840">
        <f t="shared" si="59"/>
        <v>4624151197494.5107</v>
      </c>
      <c r="R40" s="713">
        <f t="shared" si="60"/>
        <v>16967417965.299786</v>
      </c>
      <c r="S40" s="714">
        <f t="shared" si="61"/>
        <v>419274028.88282377</v>
      </c>
      <c r="T40" s="714">
        <f t="shared" si="62"/>
        <v>1.6967417965299786E+16</v>
      </c>
      <c r="U40" s="714">
        <f t="shared" si="63"/>
        <v>169674179652997.84</v>
      </c>
      <c r="V40" s="714">
        <f t="shared" si="64"/>
        <v>169674179.65299785</v>
      </c>
      <c r="W40" s="714">
        <f>(0.5*B40*E40^2*(SIN(((2*PI()/B40)))))*(63360*2.54/100)^2</f>
        <v>1696741796529.9785</v>
      </c>
      <c r="X40" s="714">
        <f t="shared" si="65"/>
        <v>1.6967417965299786E+18</v>
      </c>
      <c r="Y40" s="714">
        <f t="shared" si="66"/>
        <v>18263576698135.805</v>
      </c>
      <c r="Z40" s="792">
        <f t="shared" si="67"/>
        <v>2629955044531556</v>
      </c>
      <c r="AA40" s="854">
        <v>84.509</v>
      </c>
      <c r="AB40" s="6">
        <v>457.95</v>
      </c>
      <c r="AC40" s="855" t="s">
        <v>10</v>
      </c>
      <c r="AD40" s="746">
        <v>462415120</v>
      </c>
      <c r="AE40" s="717">
        <v>15171100</v>
      </c>
      <c r="AF40" s="717">
        <v>182053197</v>
      </c>
      <c r="AG40" s="717">
        <v>4624151</v>
      </c>
      <c r="AH40" s="717">
        <v>2873.31</v>
      </c>
      <c r="AI40" s="717">
        <v>4624151197</v>
      </c>
      <c r="AJ40" s="717">
        <v>5057033</v>
      </c>
      <c r="AK40" s="718">
        <v>4624151197495</v>
      </c>
      <c r="AL40" s="716">
        <v>16967417965</v>
      </c>
      <c r="AM40" s="717">
        <v>419274029</v>
      </c>
      <c r="AN40" s="717">
        <v>1.69674179652998E+16</v>
      </c>
      <c r="AO40" s="717">
        <v>169674179652998</v>
      </c>
      <c r="AP40" s="717">
        <v>169674180</v>
      </c>
      <c r="AQ40" s="717">
        <v>1696741796530</v>
      </c>
      <c r="AR40" s="717">
        <v>1.6967417965299799E+18</v>
      </c>
      <c r="AS40" s="717">
        <v>18263576698136</v>
      </c>
      <c r="AT40" s="829">
        <v>2629955044531550</v>
      </c>
      <c r="AU40" s="874">
        <f t="shared" si="68"/>
        <v>2.9035016237018726E-6</v>
      </c>
      <c r="AV40" s="688">
        <f t="shared" si="69"/>
        <v>7.7499247565503035E-6</v>
      </c>
      <c r="AW40" s="849" t="s">
        <v>10</v>
      </c>
      <c r="AX40" s="800">
        <f t="shared" si="70"/>
        <v>-5.418269171521371E-10</v>
      </c>
      <c r="AY40" s="687">
        <f t="shared" si="71"/>
        <v>-1.7842299332559883E-8</v>
      </c>
      <c r="AZ40" s="687">
        <f t="shared" si="71"/>
        <v>-1.363599364762124E-9</v>
      </c>
      <c r="BA40" s="687">
        <f t="shared" si="71"/>
        <v>4.2709354025498917E-8</v>
      </c>
      <c r="BB40" s="687">
        <f t="shared" si="71"/>
        <v>1.5113810540411969E-6</v>
      </c>
      <c r="BC40" s="687">
        <f t="shared" si="71"/>
        <v>1.0694084806368459E-10</v>
      </c>
      <c r="BD40" s="687">
        <f t="shared" si="71"/>
        <v>4.8072500559093787E-8</v>
      </c>
      <c r="BE40" s="688">
        <f t="shared" si="71"/>
        <v>-1.0580489080138492E-13</v>
      </c>
      <c r="BF40" s="689">
        <f t="shared" si="71"/>
        <v>1.766831079583034E-11</v>
      </c>
      <c r="BG40" s="687">
        <f t="shared" si="71"/>
        <v>-2.794741067896795E-10</v>
      </c>
      <c r="BH40" s="687">
        <f t="shared" si="71"/>
        <v>-8.2511081112232411E-16</v>
      </c>
      <c r="BI40" s="687">
        <f t="shared" si="71"/>
        <v>-9.208826016990224E-16</v>
      </c>
      <c r="BJ40" s="687">
        <f t="shared" si="71"/>
        <v>-2.0451087451130866E-9</v>
      </c>
      <c r="BK40" s="687">
        <f t="shared" si="71"/>
        <v>-1.2662135773361559E-14</v>
      </c>
      <c r="BL40" s="687">
        <f t="shared" si="71"/>
        <v>-7.5438702731183918E-16</v>
      </c>
      <c r="BM40" s="687">
        <f t="shared" si="71"/>
        <v>-1.0694099147618543E-14</v>
      </c>
      <c r="BN40" s="690">
        <f t="shared" si="71"/>
        <v>2.2814078181586225E-15</v>
      </c>
    </row>
    <row r="41" spans="2:66" x14ac:dyDescent="0.25">
      <c r="B41" s="726">
        <v>56</v>
      </c>
      <c r="C41" s="762">
        <v>667</v>
      </c>
      <c r="D41" s="832">
        <f t="shared" si="49"/>
        <v>74.915833077939823</v>
      </c>
      <c r="E41" s="832">
        <f t="shared" si="50"/>
        <v>668.05096774979711</v>
      </c>
      <c r="F41" s="166" t="s">
        <v>6</v>
      </c>
      <c r="G41" s="843">
        <f t="shared" si="51"/>
        <v>74.915833077939823</v>
      </c>
      <c r="H41" s="42">
        <f t="shared" si="52"/>
        <v>668.05096774979711</v>
      </c>
      <c r="I41" s="846" t="s">
        <v>6</v>
      </c>
      <c r="J41" s="765">
        <f t="shared" si="53"/>
        <v>419.52866523646304</v>
      </c>
      <c r="K41" s="714">
        <f t="shared" si="54"/>
        <v>13.764063820093931</v>
      </c>
      <c r="L41" s="714">
        <f t="shared" si="55"/>
        <v>165.16876584112717</v>
      </c>
      <c r="M41" s="714">
        <f>D41*B41/1000</f>
        <v>4.1952866523646302</v>
      </c>
      <c r="N41" s="714">
        <f t="shared" si="56"/>
        <v>2.6068302689571839E-3</v>
      </c>
      <c r="O41" s="714">
        <f t="shared" si="57"/>
        <v>4195.2866523646298</v>
      </c>
      <c r="P41" s="714">
        <f t="shared" si="58"/>
        <v>4.5880212733646433</v>
      </c>
      <c r="Q41" s="840">
        <f t="shared" si="59"/>
        <v>4195286.6523646303</v>
      </c>
      <c r="R41" s="713">
        <f t="shared" si="60"/>
        <v>1.3991280985636042E-2</v>
      </c>
      <c r="S41" s="714">
        <f t="shared" si="61"/>
        <v>3.4573208251698908E-4</v>
      </c>
      <c r="T41" s="714">
        <f t="shared" si="62"/>
        <v>13991.280985636042</v>
      </c>
      <c r="U41" s="714">
        <f t="shared" si="63"/>
        <v>139.91280985636041</v>
      </c>
      <c r="V41" s="714">
        <f t="shared" si="64"/>
        <v>1.399128098563604E-4</v>
      </c>
      <c r="W41" s="714">
        <f>(0.5*B41*E41^2*(SIN(((2*PI()/B41)))))/1000^2</f>
        <v>1.3991280985636041</v>
      </c>
      <c r="X41" s="714">
        <f t="shared" si="65"/>
        <v>1399128.0985636041</v>
      </c>
      <c r="Y41" s="714">
        <f t="shared" si="66"/>
        <v>15.060089514440044</v>
      </c>
      <c r="Z41" s="792">
        <f t="shared" si="67"/>
        <v>2168.6528900793664</v>
      </c>
      <c r="AA41" s="854">
        <v>74.915999999999997</v>
      </c>
      <c r="AB41" s="6">
        <v>668.05</v>
      </c>
      <c r="AC41" s="855" t="s">
        <v>6</v>
      </c>
      <c r="AD41" s="746">
        <v>419.529</v>
      </c>
      <c r="AE41" s="717">
        <v>13.764099999999999</v>
      </c>
      <c r="AF41" s="717">
        <v>165.16900000000001</v>
      </c>
      <c r="AG41" s="717">
        <v>4.19529</v>
      </c>
      <c r="AH41" s="717">
        <v>2.6068300000000001E-3</v>
      </c>
      <c r="AI41" s="717">
        <v>4195.29</v>
      </c>
      <c r="AJ41" s="717">
        <v>4.5880200000000002</v>
      </c>
      <c r="AK41" s="718">
        <v>4195287</v>
      </c>
      <c r="AL41" s="716">
        <v>1.39913E-2</v>
      </c>
      <c r="AM41" s="717">
        <v>3.4573200000000002E-4</v>
      </c>
      <c r="AN41" s="717">
        <v>13991.3</v>
      </c>
      <c r="AO41" s="717">
        <v>139.91300000000001</v>
      </c>
      <c r="AP41" s="717">
        <v>1.39913E-4</v>
      </c>
      <c r="AQ41" s="717">
        <v>1.39913</v>
      </c>
      <c r="AR41" s="717">
        <v>1399128</v>
      </c>
      <c r="AS41" s="717">
        <v>15.0601</v>
      </c>
      <c r="AT41" s="829">
        <v>2168.65</v>
      </c>
      <c r="AU41" s="874">
        <f t="shared" si="68"/>
        <v>-2.2281279312537555E-6</v>
      </c>
      <c r="AV41" s="688">
        <f t="shared" si="69"/>
        <v>1.4486167132050933E-6</v>
      </c>
      <c r="AW41" s="849" t="s">
        <v>6</v>
      </c>
      <c r="AX41" s="800">
        <f t="shared" si="70"/>
        <v>-7.9795152201665556E-7</v>
      </c>
      <c r="AY41" s="687">
        <f t="shared" si="71"/>
        <v>-2.6285773258035602E-6</v>
      </c>
      <c r="AZ41" s="687">
        <f t="shared" si="71"/>
        <v>-1.4176946328215591E-6</v>
      </c>
      <c r="BA41" s="687">
        <f t="shared" si="71"/>
        <v>-7.9795152207593411E-7</v>
      </c>
      <c r="BB41" s="687">
        <f t="shared" si="71"/>
        <v>1.0317402977253642E-7</v>
      </c>
      <c r="BC41" s="687">
        <f t="shared" si="71"/>
        <v>-7.9795152215214928E-7</v>
      </c>
      <c r="BD41" s="687">
        <f t="shared" si="71"/>
        <v>2.7754113749520567E-7</v>
      </c>
      <c r="BE41" s="688">
        <f t="shared" si="71"/>
        <v>-8.2863317468887612E-8</v>
      </c>
      <c r="BF41" s="689">
        <f t="shared" si="71"/>
        <v>-1.3590152308332712E-6</v>
      </c>
      <c r="BG41" s="687">
        <f t="shared" si="71"/>
        <v>2.3867321905286061E-7</v>
      </c>
      <c r="BH41" s="687">
        <f t="shared" si="71"/>
        <v>-1.3590152307703617E-6</v>
      </c>
      <c r="BI41" s="687">
        <f t="shared" si="71"/>
        <v>-1.3590152309491239E-6</v>
      </c>
      <c r="BJ41" s="687">
        <f t="shared" si="71"/>
        <v>-1.3590152309727557E-6</v>
      </c>
      <c r="BK41" s="687">
        <f t="shared" si="71"/>
        <v>-1.3590152308729469E-6</v>
      </c>
      <c r="BL41" s="687">
        <f t="shared" si="71"/>
        <v>7.0446447439676302E-8</v>
      </c>
      <c r="BM41" s="687">
        <f t="shared" si="71"/>
        <v>-6.9624818273850312E-7</v>
      </c>
      <c r="BN41" s="690">
        <f t="shared" si="71"/>
        <v>1.3326611093795972E-6</v>
      </c>
    </row>
    <row r="42" spans="2:66" x14ac:dyDescent="0.25">
      <c r="B42" s="726">
        <v>123</v>
      </c>
      <c r="C42" s="762">
        <v>236</v>
      </c>
      <c r="D42" s="832">
        <f t="shared" si="49"/>
        <v>12.058164756042803</v>
      </c>
      <c r="E42" s="832">
        <f t="shared" si="50"/>
        <v>236.07699979947427</v>
      </c>
      <c r="F42" s="166" t="s">
        <v>7</v>
      </c>
      <c r="G42" s="843">
        <f t="shared" si="51"/>
        <v>12.058164756042803</v>
      </c>
      <c r="H42" s="42">
        <f t="shared" si="52"/>
        <v>236.07699979947427</v>
      </c>
      <c r="I42" s="846" t="s">
        <v>7</v>
      </c>
      <c r="J42" s="765">
        <f t="shared" si="53"/>
        <v>135619.62599098412</v>
      </c>
      <c r="K42" s="714">
        <f t="shared" si="54"/>
        <v>4449.4627949797941</v>
      </c>
      <c r="L42" s="714">
        <f t="shared" si="55"/>
        <v>53393.553539757537</v>
      </c>
      <c r="M42" s="714">
        <f>D42*B42*0.9144</f>
        <v>1356.1962599098413</v>
      </c>
      <c r="N42" s="714">
        <f t="shared" si="56"/>
        <v>0.84270128692799129</v>
      </c>
      <c r="O42" s="714">
        <f t="shared" si="57"/>
        <v>1356196.2599098412</v>
      </c>
      <c r="P42" s="714">
        <f t="shared" si="58"/>
        <v>1483.1542649932649</v>
      </c>
      <c r="Q42" s="840">
        <f t="shared" si="59"/>
        <v>1356196259.9098413</v>
      </c>
      <c r="R42" s="713">
        <f t="shared" si="60"/>
        <v>1463.3249148726393</v>
      </c>
      <c r="S42" s="714">
        <f t="shared" si="61"/>
        <v>36.159546130001075</v>
      </c>
      <c r="T42" s="714">
        <f t="shared" si="62"/>
        <v>1463324914.8726394</v>
      </c>
      <c r="U42" s="714">
        <f t="shared" si="63"/>
        <v>14633249.148726393</v>
      </c>
      <c r="V42" s="714">
        <f t="shared" si="64"/>
        <v>14.633249148726394</v>
      </c>
      <c r="W42" s="714">
        <f>(0.5*B42*E42^2*(SIN(((2*PI()/B42)))))*0.9144^2</f>
        <v>146332.49148726393</v>
      </c>
      <c r="X42" s="714">
        <f t="shared" si="65"/>
        <v>146332491487.26395</v>
      </c>
      <c r="Y42" s="714">
        <f t="shared" si="66"/>
        <v>1575109.8294228471</v>
      </c>
      <c r="Z42" s="792">
        <f t="shared" si="67"/>
        <v>226815815.43688998</v>
      </c>
      <c r="AA42" s="854">
        <v>12.058</v>
      </c>
      <c r="AB42" s="6">
        <v>236.08</v>
      </c>
      <c r="AC42" s="855" t="s">
        <v>7</v>
      </c>
      <c r="AD42" s="746">
        <v>135620</v>
      </c>
      <c r="AE42" s="717">
        <v>4449.46</v>
      </c>
      <c r="AF42" s="717">
        <v>53393.599999999999</v>
      </c>
      <c r="AG42" s="717">
        <v>1356.2</v>
      </c>
      <c r="AH42" s="717">
        <v>0.84270100000000003</v>
      </c>
      <c r="AI42" s="717">
        <v>1356196</v>
      </c>
      <c r="AJ42" s="717">
        <v>1483.15</v>
      </c>
      <c r="AK42" s="718">
        <v>1356196260</v>
      </c>
      <c r="AL42" s="716">
        <v>1463.32</v>
      </c>
      <c r="AM42" s="717">
        <v>36.159500000000001</v>
      </c>
      <c r="AN42" s="717">
        <v>1463324915</v>
      </c>
      <c r="AO42" s="717">
        <v>14633249</v>
      </c>
      <c r="AP42" s="717">
        <v>14.6332</v>
      </c>
      <c r="AQ42" s="717">
        <v>146332</v>
      </c>
      <c r="AR42" s="717">
        <v>146332491487</v>
      </c>
      <c r="AS42" s="717">
        <v>1575110</v>
      </c>
      <c r="AT42" s="829">
        <v>226815815</v>
      </c>
      <c r="AU42" s="874">
        <f t="shared" si="68"/>
        <v>1.3663442666160212E-5</v>
      </c>
      <c r="AV42" s="688">
        <f t="shared" si="69"/>
        <v>-1.270856766349804E-5</v>
      </c>
      <c r="AW42" s="849" t="s">
        <v>7</v>
      </c>
      <c r="AX42" s="800">
        <f t="shared" si="70"/>
        <v>-2.7577794375239199E-6</v>
      </c>
      <c r="AY42" s="687">
        <f t="shared" si="71"/>
        <v>6.2816117874783826E-7</v>
      </c>
      <c r="AZ42" s="687">
        <f t="shared" si="71"/>
        <v>-8.7014703801588123E-7</v>
      </c>
      <c r="BA42" s="687">
        <f t="shared" si="71"/>
        <v>-2.7577794374836824E-6</v>
      </c>
      <c r="BB42" s="687">
        <f t="shared" si="71"/>
        <v>3.4048600103766237E-7</v>
      </c>
      <c r="BC42" s="687">
        <f t="shared" si="71"/>
        <v>1.9164618640762241E-7</v>
      </c>
      <c r="BD42" s="687">
        <f t="shared" si="71"/>
        <v>2.8756235042000257E-6</v>
      </c>
      <c r="BE42" s="688">
        <f t="shared" si="71"/>
        <v>-6.6479095694443832E-11</v>
      </c>
      <c r="BF42" s="689">
        <f t="shared" si="71"/>
        <v>3.3587022194415615E-6</v>
      </c>
      <c r="BG42" s="687">
        <f t="shared" si="71"/>
        <v>1.2757350689157276E-6</v>
      </c>
      <c r="BH42" s="687">
        <f t="shared" si="71"/>
        <v>-8.7035067234380689E-11</v>
      </c>
      <c r="BI42" s="687">
        <f t="shared" si="71"/>
        <v>1.0163593268026866E-8</v>
      </c>
      <c r="BJ42" s="687">
        <f t="shared" si="71"/>
        <v>3.3587022194512727E-6</v>
      </c>
      <c r="BK42" s="687">
        <f t="shared" si="71"/>
        <v>3.3587022194415615E-6</v>
      </c>
      <c r="BL42" s="687">
        <f t="shared" si="71"/>
        <v>1.8037452278744095E-12</v>
      </c>
      <c r="BM42" s="687">
        <f t="shared" si="71"/>
        <v>-1.0829540244029238E-7</v>
      </c>
      <c r="BN42" s="690">
        <f t="shared" si="71"/>
        <v>1.9261883278355783E-9</v>
      </c>
    </row>
    <row r="43" spans="2:66" ht="15.75" thickBot="1" x14ac:dyDescent="0.3">
      <c r="B43" s="731">
        <v>77</v>
      </c>
      <c r="C43" s="763">
        <v>99</v>
      </c>
      <c r="D43" s="833">
        <f t="shared" si="49"/>
        <v>8.0828666070820052</v>
      </c>
      <c r="E43" s="833">
        <f t="shared" si="50"/>
        <v>99.08245648522734</v>
      </c>
      <c r="F43" s="703" t="s">
        <v>96</v>
      </c>
      <c r="G43" s="877">
        <f t="shared" si="51"/>
        <v>8.0828666070820052</v>
      </c>
      <c r="H43" s="878">
        <f t="shared" si="52"/>
        <v>99.08245648522734</v>
      </c>
      <c r="I43" s="847" t="s">
        <v>96</v>
      </c>
      <c r="J43" s="770">
        <f t="shared" si="53"/>
        <v>6.2238072874531439E-2</v>
      </c>
      <c r="K43" s="720">
        <f t="shared" si="54"/>
        <v>2.0419315247549685E-3</v>
      </c>
      <c r="L43" s="720">
        <f t="shared" si="55"/>
        <v>2.4503178297059624E-2</v>
      </c>
      <c r="M43" s="720">
        <f>D43*B43/1000000</f>
        <v>6.2238072874531438E-4</v>
      </c>
      <c r="N43" s="720">
        <f t="shared" si="56"/>
        <v>3.8672945544601674E-7</v>
      </c>
      <c r="O43" s="720">
        <f t="shared" si="57"/>
        <v>0.62238072874531436</v>
      </c>
      <c r="P43" s="720">
        <f t="shared" si="58"/>
        <v>6.806438415849895E-4</v>
      </c>
      <c r="Q43" s="841">
        <f t="shared" si="59"/>
        <v>622.3807287453144</v>
      </c>
      <c r="R43" s="719">
        <f t="shared" si="60"/>
        <v>3.0807846072893058E-10</v>
      </c>
      <c r="S43" s="720">
        <f t="shared" si="61"/>
        <v>7.6127845560239509E-12</v>
      </c>
      <c r="T43" s="720">
        <f t="shared" si="62"/>
        <v>3.0807846072893058E-4</v>
      </c>
      <c r="U43" s="720">
        <f t="shared" si="63"/>
        <v>3.0807846072893058E-6</v>
      </c>
      <c r="V43" s="720">
        <f t="shared" si="64"/>
        <v>3.0807846072893057E-12</v>
      </c>
      <c r="W43" s="720">
        <f>(0.5*B43*E43^2*(SIN(((2*PI()/B43)))))/1000000^2</f>
        <v>3.0807846072893059E-8</v>
      </c>
      <c r="X43" s="720">
        <f t="shared" si="65"/>
        <v>3.0807846072893059E-2</v>
      </c>
      <c r="Y43" s="720">
        <f t="shared" si="66"/>
        <v>3.316128952604033E-7</v>
      </c>
      <c r="Z43" s="797">
        <f t="shared" si="67"/>
        <v>4.7752256917498072E-5</v>
      </c>
      <c r="AA43" s="856">
        <v>8.0829000000000004</v>
      </c>
      <c r="AB43" s="857">
        <v>99.081999999999994</v>
      </c>
      <c r="AC43" s="858" t="s">
        <v>96</v>
      </c>
      <c r="AD43" s="760">
        <v>6.2238099999999998E-2</v>
      </c>
      <c r="AE43" s="723">
        <v>2.04193E-3</v>
      </c>
      <c r="AF43" s="723">
        <v>2.4503199999999999E-2</v>
      </c>
      <c r="AG43" s="723">
        <v>6.2238099999999998E-4</v>
      </c>
      <c r="AH43" s="723">
        <v>3.8672945544601701E-7</v>
      </c>
      <c r="AI43" s="723">
        <v>0.62238099999999996</v>
      </c>
      <c r="AJ43" s="723">
        <v>6.80644E-4</v>
      </c>
      <c r="AK43" s="724">
        <v>622.38099999999997</v>
      </c>
      <c r="AL43" s="722">
        <v>3.0807846072893099E-10</v>
      </c>
      <c r="AM43" s="723">
        <v>7.6127845560239493E-12</v>
      </c>
      <c r="AN43" s="723">
        <v>3.0807799999999999E-4</v>
      </c>
      <c r="AO43" s="723">
        <v>3.08078460728931E-6</v>
      </c>
      <c r="AP43" s="723">
        <v>3.0807846072893102E-12</v>
      </c>
      <c r="AQ43" s="723">
        <v>3.0807846072893099E-8</v>
      </c>
      <c r="AR43" s="723">
        <v>3.08078E-2</v>
      </c>
      <c r="AS43" s="723">
        <v>3.3161289526040298E-7</v>
      </c>
      <c r="AT43" s="830">
        <v>4.7752256917498099E-5</v>
      </c>
      <c r="AU43" s="879">
        <f t="shared" si="68"/>
        <v>-4.1313211782986487E-6</v>
      </c>
      <c r="AV43" s="692">
        <f t="shared" si="69"/>
        <v>4.6071246468758305E-6</v>
      </c>
      <c r="AW43" s="850" t="s">
        <v>96</v>
      </c>
      <c r="AX43" s="805">
        <f t="shared" si="70"/>
        <v>-4.3583400491051597E-7</v>
      </c>
      <c r="AY43" s="691">
        <f t="shared" si="71"/>
        <v>7.4672189055663753E-7</v>
      </c>
      <c r="AZ43" s="691">
        <f t="shared" si="71"/>
        <v>-8.8571939983823811E-7</v>
      </c>
      <c r="BA43" s="691">
        <f t="shared" si="71"/>
        <v>-4.3583400492445221E-7</v>
      </c>
      <c r="BB43" s="691">
        <f t="shared" si="71"/>
        <v>-6.8445212095802672E-16</v>
      </c>
      <c r="BC43" s="691">
        <f t="shared" si="71"/>
        <v>-4.358340049328139E-7</v>
      </c>
      <c r="BD43" s="691">
        <f t="shared" si="71"/>
        <v>-2.3274288374400416E-7</v>
      </c>
      <c r="BE43" s="692">
        <f t="shared" si="71"/>
        <v>-4.3583400488429363E-7</v>
      </c>
      <c r="BF43" s="693">
        <f t="shared" si="71"/>
        <v>-1.3424836819099149E-15</v>
      </c>
      <c r="BG43" s="691">
        <f t="shared" si="71"/>
        <v>2.1222026211345069E-16</v>
      </c>
      <c r="BH43" s="691">
        <f t="shared" si="71"/>
        <v>1.4954921856683179E-6</v>
      </c>
      <c r="BI43" s="691">
        <f t="shared" si="71"/>
        <v>-1.3747032902757529E-15</v>
      </c>
      <c r="BJ43" s="691">
        <f t="shared" si="71"/>
        <v>-1.4421211426766664E-15</v>
      </c>
      <c r="BK43" s="691">
        <f t="shared" si="71"/>
        <v>-1.2887843346335183E-15</v>
      </c>
      <c r="BL43" s="691">
        <f t="shared" si="71"/>
        <v>1.4954921856823948E-6</v>
      </c>
      <c r="BM43" s="691">
        <f t="shared" si="71"/>
        <v>9.5785586073464911E-16</v>
      </c>
      <c r="BN43" s="694">
        <f t="shared" si="71"/>
        <v>-5.6761828784275499E-16</v>
      </c>
    </row>
    <row r="44" spans="2:66" ht="15.75" thickTop="1" x14ac:dyDescent="0.25"/>
  </sheetData>
  <mergeCells count="81">
    <mergeCell ref="G7:I7"/>
    <mergeCell ref="AU7:AW7"/>
    <mergeCell ref="AU8:AU9"/>
    <mergeCell ref="AV8:AV9"/>
    <mergeCell ref="AW8:AW9"/>
    <mergeCell ref="AA7:AC7"/>
    <mergeCell ref="AC8:AC9"/>
    <mergeCell ref="C1:E1"/>
    <mergeCell ref="AU2:BN2"/>
    <mergeCell ref="AA2:AT2"/>
    <mergeCell ref="G2:Z2"/>
    <mergeCell ref="AX7:BE8"/>
    <mergeCell ref="BF7:BN8"/>
    <mergeCell ref="D5:E5"/>
    <mergeCell ref="I8:I9"/>
    <mergeCell ref="G8:G9"/>
    <mergeCell ref="H8:H9"/>
    <mergeCell ref="AA8:AA9"/>
    <mergeCell ref="AB8:AB9"/>
    <mergeCell ref="J7:Q8"/>
    <mergeCell ref="R7:Z8"/>
    <mergeCell ref="AD7:AK8"/>
    <mergeCell ref="AL7:AT8"/>
    <mergeCell ref="BF33:BN34"/>
    <mergeCell ref="BF20:BN21"/>
    <mergeCell ref="AL20:AT21"/>
    <mergeCell ref="AX20:BE21"/>
    <mergeCell ref="AA34:AA35"/>
    <mergeCell ref="AB34:AB35"/>
    <mergeCell ref="AC34:AC35"/>
    <mergeCell ref="AU33:AW33"/>
    <mergeCell ref="AU34:AU35"/>
    <mergeCell ref="AV34:AV35"/>
    <mergeCell ref="AW34:AW35"/>
    <mergeCell ref="AU21:AU22"/>
    <mergeCell ref="AV21:AV22"/>
    <mergeCell ref="AW21:AW22"/>
    <mergeCell ref="AU20:AW20"/>
    <mergeCell ref="AA20:AC20"/>
    <mergeCell ref="B34:B35"/>
    <mergeCell ref="C34:C35"/>
    <mergeCell ref="F34:F35"/>
    <mergeCell ref="B33:F33"/>
    <mergeCell ref="J33:Q34"/>
    <mergeCell ref="R33:Z34"/>
    <mergeCell ref="AD33:AK34"/>
    <mergeCell ref="AL33:AT34"/>
    <mergeCell ref="AX33:BE34"/>
    <mergeCell ref="D34:D35"/>
    <mergeCell ref="E34:E35"/>
    <mergeCell ref="G33:I33"/>
    <mergeCell ref="G34:G35"/>
    <mergeCell ref="H34:H35"/>
    <mergeCell ref="I34:I35"/>
    <mergeCell ref="AA33:AC33"/>
    <mergeCell ref="B21:B22"/>
    <mergeCell ref="C21:C22"/>
    <mergeCell ref="F21:F22"/>
    <mergeCell ref="AD20:AK21"/>
    <mergeCell ref="B20:F20"/>
    <mergeCell ref="J20:Q21"/>
    <mergeCell ref="R20:Z21"/>
    <mergeCell ref="E21:E22"/>
    <mergeCell ref="D21:D22"/>
    <mergeCell ref="G20:I20"/>
    <mergeCell ref="G21:G22"/>
    <mergeCell ref="H21:H22"/>
    <mergeCell ref="I21:I22"/>
    <mergeCell ref="AA21:AA22"/>
    <mergeCell ref="AB21:AB22"/>
    <mergeCell ref="AC21:AC22"/>
    <mergeCell ref="B8:B9"/>
    <mergeCell ref="C8:C9"/>
    <mergeCell ref="F8:F9"/>
    <mergeCell ref="D8:D9"/>
    <mergeCell ref="E8:E9"/>
    <mergeCell ref="B4:C4"/>
    <mergeCell ref="D4:E4"/>
    <mergeCell ref="B5:C5"/>
    <mergeCell ref="B2:F2"/>
    <mergeCell ref="B7:F7"/>
  </mergeCells>
  <conditionalFormatting sqref="AX36:BN43 AX23:BN30 AX10:BN17 AU10:AV17 AU23:AV30 AU36:AV43">
    <cfRule type="cellIs" dxfId="1" priority="2" operator="notBetween">
      <formula>0.0001</formula>
      <formula>-0.0001</formula>
    </cfRule>
  </conditionalFormatting>
  <pageMargins left="0.7" right="0.7" top="0.78740157499999996" bottom="0.78740157499999996" header="0.3" footer="0.3"/>
  <pageSetup paperSize="9" orientation="portrait" horizontalDpi="300" verticalDpi="3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65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2.140625" bestFit="1" customWidth="1"/>
    <col min="2" max="3" width="16.7109375" bestFit="1" customWidth="1"/>
    <col min="4" max="4" width="14.42578125" bestFit="1" customWidth="1"/>
    <col min="5" max="5" width="9" bestFit="1" customWidth="1"/>
    <col min="6" max="6" width="11.5703125" bestFit="1" customWidth="1"/>
    <col min="7" max="7" width="10" bestFit="1" customWidth="1"/>
    <col min="8" max="8" width="9" bestFit="1" customWidth="1"/>
    <col min="9" max="9" width="24" bestFit="1" customWidth="1"/>
    <col min="10" max="10" width="10" bestFit="1" customWidth="1"/>
    <col min="11" max="11" width="11.5703125" bestFit="1" customWidth="1"/>
    <col min="12" max="12" width="13.140625" bestFit="1" customWidth="1"/>
    <col min="13" max="13" width="17.28515625" bestFit="1" customWidth="1"/>
    <col min="14" max="14" width="20.85546875" bestFit="1" customWidth="1"/>
    <col min="15" max="15" width="23" bestFit="1" customWidth="1"/>
    <col min="16" max="16" width="25" bestFit="1" customWidth="1"/>
    <col min="17" max="17" width="23" bestFit="1" customWidth="1"/>
    <col min="18" max="19" width="27.140625" bestFit="1" customWidth="1"/>
    <col min="20" max="20" width="28.140625" bestFit="1" customWidth="1"/>
    <col min="21" max="21" width="30.28515625" bestFit="1" customWidth="1"/>
    <col min="22" max="22" width="8" bestFit="1" customWidth="1"/>
    <col min="23" max="23" width="9" bestFit="1" customWidth="1"/>
    <col min="24" max="24" width="8.140625" bestFit="1" customWidth="1"/>
    <col min="25" max="25" width="12.42578125" bestFit="1" customWidth="1"/>
    <col min="26" max="26" width="11.42578125" bestFit="1" customWidth="1"/>
    <col min="27" max="27" width="9" bestFit="1" customWidth="1"/>
    <col min="28" max="28" width="11.5703125" bestFit="1" customWidth="1"/>
    <col min="29" max="29" width="10" bestFit="1" customWidth="1"/>
    <col min="30" max="30" width="8.5703125" bestFit="1" customWidth="1"/>
    <col min="31" max="31" width="24" bestFit="1" customWidth="1"/>
    <col min="32" max="32" width="10" bestFit="1" customWidth="1"/>
    <col min="33" max="33" width="11.5703125" bestFit="1" customWidth="1"/>
    <col min="34" max="34" width="13.140625" bestFit="1" customWidth="1"/>
    <col min="35" max="35" width="17.28515625" bestFit="1" customWidth="1"/>
    <col min="36" max="37" width="12" bestFit="1" customWidth="1"/>
    <col min="38" max="38" width="13.7109375" bestFit="1" customWidth="1"/>
    <col min="39" max="40" width="20.5703125" bestFit="1" customWidth="1"/>
    <col min="41" max="41" width="12.5703125" bestFit="1" customWidth="1"/>
    <col min="42" max="42" width="14.7109375" bestFit="1" customWidth="1"/>
    <col min="43" max="43" width="25" bestFit="1" customWidth="1"/>
    <col min="44" max="44" width="14.42578125" bestFit="1" customWidth="1"/>
    <col min="45" max="62" width="23.7109375" bestFit="1" customWidth="1"/>
  </cols>
  <sheetData>
    <row r="1" spans="1:62" ht="21.75" thickBot="1" x14ac:dyDescent="0.3">
      <c r="A1" s="894" t="s">
        <v>33</v>
      </c>
      <c r="B1" s="938"/>
      <c r="C1" s="895"/>
      <c r="D1" s="895"/>
      <c r="E1" s="895"/>
      <c r="F1" s="895"/>
      <c r="G1" s="895"/>
      <c r="H1" s="895"/>
      <c r="I1" s="895"/>
      <c r="J1" s="895"/>
      <c r="K1" s="895"/>
      <c r="L1" s="895"/>
      <c r="M1" s="895"/>
      <c r="N1" s="895"/>
      <c r="O1" s="895"/>
      <c r="P1" s="895"/>
      <c r="Q1" s="895"/>
      <c r="R1" s="895"/>
      <c r="S1" s="895"/>
      <c r="T1" s="895"/>
      <c r="U1" s="896"/>
      <c r="V1" s="894" t="s">
        <v>34</v>
      </c>
      <c r="W1" s="895"/>
      <c r="X1" s="895"/>
      <c r="Y1" s="895"/>
      <c r="Z1" s="895"/>
      <c r="AA1" s="895"/>
      <c r="AB1" s="895"/>
      <c r="AC1" s="895"/>
      <c r="AD1" s="895"/>
      <c r="AE1" s="895"/>
      <c r="AF1" s="895"/>
      <c r="AG1" s="895"/>
      <c r="AH1" s="895"/>
      <c r="AI1" s="895"/>
      <c r="AJ1" s="895"/>
      <c r="AK1" s="895"/>
      <c r="AL1" s="895"/>
      <c r="AM1" s="895"/>
      <c r="AN1" s="895"/>
      <c r="AO1" s="895"/>
      <c r="AP1" s="895"/>
      <c r="AQ1" s="896"/>
      <c r="AR1" s="894" t="s">
        <v>35</v>
      </c>
      <c r="AS1" s="895"/>
      <c r="AT1" s="895"/>
      <c r="AU1" s="895"/>
      <c r="AV1" s="895"/>
      <c r="AW1" s="895"/>
      <c r="AX1" s="895"/>
      <c r="AY1" s="895"/>
      <c r="AZ1" s="895"/>
      <c r="BA1" s="895"/>
      <c r="BB1" s="895"/>
      <c r="BC1" s="895"/>
      <c r="BD1" s="895"/>
      <c r="BE1" s="895"/>
      <c r="BF1" s="895"/>
      <c r="BG1" s="895"/>
      <c r="BH1" s="895"/>
      <c r="BI1" s="895"/>
      <c r="BJ1" s="896"/>
    </row>
    <row r="2" spans="1:62" x14ac:dyDescent="0.25">
      <c r="A2" s="145"/>
      <c r="B2" s="507"/>
    </row>
    <row r="3" spans="1:62" ht="18.75" x14ac:dyDescent="0.3">
      <c r="A3" s="625"/>
      <c r="B3" s="625"/>
      <c r="C3" s="633">
        <v>1</v>
      </c>
      <c r="D3" s="625"/>
      <c r="E3" s="625"/>
      <c r="F3" s="625"/>
      <c r="G3" s="625"/>
      <c r="H3" s="625"/>
      <c r="I3" s="635">
        <v>2</v>
      </c>
      <c r="J3" s="625"/>
      <c r="K3" s="625"/>
      <c r="L3" s="625"/>
      <c r="M3" s="632"/>
      <c r="N3" s="633">
        <v>3</v>
      </c>
      <c r="O3" s="625"/>
      <c r="P3" s="625"/>
      <c r="Q3" s="633">
        <v>4</v>
      </c>
      <c r="R3" s="625"/>
      <c r="S3" s="652">
        <v>5</v>
      </c>
      <c r="T3" s="625"/>
      <c r="U3" s="633">
        <v>6</v>
      </c>
      <c r="V3" s="625"/>
      <c r="W3" s="625"/>
      <c r="X3" s="632"/>
      <c r="Y3" s="633"/>
      <c r="Z3" s="633">
        <v>7</v>
      </c>
      <c r="AA3" s="625"/>
      <c r="AB3" s="625"/>
      <c r="AC3" s="625"/>
      <c r="AD3" s="632"/>
      <c r="AE3" s="633">
        <v>8</v>
      </c>
      <c r="AF3" s="625"/>
      <c r="AG3" s="625"/>
      <c r="AH3" s="625"/>
    </row>
    <row r="4" spans="1:62" x14ac:dyDescent="0.25">
      <c r="A4" s="636"/>
      <c r="B4" s="636"/>
      <c r="C4" s="637"/>
      <c r="D4" s="625"/>
      <c r="E4" s="625"/>
      <c r="F4" s="625"/>
      <c r="G4" s="625"/>
      <c r="H4" s="625"/>
      <c r="I4" s="625"/>
      <c r="J4" s="625"/>
      <c r="K4" s="625"/>
      <c r="L4" s="625"/>
      <c r="M4" s="625"/>
      <c r="N4" s="625"/>
      <c r="O4" s="625"/>
      <c r="P4" s="625"/>
      <c r="Q4" s="625"/>
      <c r="R4" s="625"/>
      <c r="S4" s="625"/>
      <c r="T4" s="625"/>
      <c r="U4" s="625"/>
      <c r="V4" s="625"/>
      <c r="W4" s="625"/>
      <c r="X4" s="625"/>
      <c r="Y4" s="625"/>
      <c r="Z4" s="625"/>
      <c r="AA4" s="625"/>
      <c r="AB4" s="625"/>
      <c r="AC4" s="625"/>
      <c r="AD4" s="625"/>
      <c r="AE4" s="625"/>
      <c r="AF4" s="625"/>
      <c r="AG4" s="625"/>
      <c r="AH4" s="625"/>
    </row>
    <row r="5" spans="1:62" x14ac:dyDescent="0.25">
      <c r="A5" s="625"/>
      <c r="B5" s="625"/>
      <c r="C5" s="625"/>
      <c r="D5" s="625"/>
      <c r="E5" s="625"/>
      <c r="F5" s="625"/>
      <c r="G5" s="625"/>
      <c r="H5" s="625"/>
      <c r="I5" s="625"/>
      <c r="J5" s="625"/>
      <c r="K5" s="625"/>
      <c r="L5" s="625"/>
      <c r="M5" s="625"/>
      <c r="N5" s="625"/>
      <c r="O5" s="625"/>
      <c r="P5" s="625"/>
      <c r="Q5" s="625"/>
      <c r="R5" s="625"/>
      <c r="S5" s="625"/>
      <c r="T5" s="625"/>
      <c r="U5" s="625"/>
      <c r="V5" s="625"/>
      <c r="W5" s="625"/>
      <c r="X5" s="625"/>
      <c r="Y5" s="625"/>
      <c r="Z5" s="625"/>
      <c r="AA5" s="625"/>
      <c r="AB5" s="625"/>
      <c r="AC5" s="625"/>
      <c r="AD5" s="625"/>
      <c r="AE5" s="625"/>
      <c r="AF5" s="625"/>
      <c r="AG5" s="625"/>
      <c r="AH5" s="625"/>
    </row>
    <row r="6" spans="1:62" ht="18.75" x14ac:dyDescent="0.3">
      <c r="A6" s="625"/>
      <c r="B6" s="632"/>
      <c r="C6" s="625"/>
      <c r="D6" s="625"/>
      <c r="E6" s="625"/>
      <c r="F6" s="625"/>
      <c r="G6" s="625"/>
      <c r="H6" s="632"/>
      <c r="I6" s="625"/>
      <c r="J6" s="625"/>
      <c r="K6" s="625"/>
      <c r="L6" s="632"/>
      <c r="M6" s="625"/>
      <c r="N6" s="625"/>
      <c r="O6" s="625"/>
      <c r="P6" s="625"/>
      <c r="Q6" s="634"/>
      <c r="R6" s="625"/>
      <c r="S6" s="625"/>
      <c r="T6" s="625"/>
      <c r="U6" s="625"/>
      <c r="V6" s="625"/>
      <c r="W6" s="625"/>
      <c r="X6" s="625"/>
      <c r="Y6" s="625"/>
      <c r="Z6" s="625"/>
      <c r="AA6" s="625"/>
      <c r="AB6" s="625"/>
      <c r="AC6" s="625"/>
      <c r="AD6" s="625"/>
      <c r="AE6" s="625"/>
      <c r="AF6" s="625"/>
      <c r="AG6" s="625"/>
      <c r="AH6" s="625"/>
    </row>
    <row r="7" spans="1:62" x14ac:dyDescent="0.25">
      <c r="A7" s="625"/>
      <c r="B7" s="625"/>
      <c r="C7" s="625"/>
      <c r="D7" s="625"/>
      <c r="E7" s="625"/>
      <c r="F7" s="625"/>
      <c r="G7" s="625"/>
      <c r="H7" s="625"/>
      <c r="I7" s="625"/>
      <c r="J7" s="625"/>
      <c r="K7" s="625"/>
      <c r="L7" s="625"/>
      <c r="M7" s="625"/>
      <c r="N7" s="625"/>
      <c r="O7" s="625"/>
      <c r="P7" s="625"/>
      <c r="Q7" s="625"/>
      <c r="R7" s="625"/>
      <c r="S7" s="625"/>
      <c r="T7" s="625"/>
      <c r="U7" s="625"/>
      <c r="V7" s="625"/>
      <c r="W7" s="625"/>
      <c r="X7" s="625"/>
      <c r="Y7" s="625"/>
      <c r="Z7" s="625"/>
      <c r="AA7" s="625"/>
      <c r="AB7" s="625"/>
      <c r="AC7" s="625"/>
      <c r="AD7" s="625"/>
      <c r="AE7" s="625"/>
      <c r="AF7" s="625"/>
      <c r="AG7" s="625"/>
      <c r="AH7" s="625"/>
    </row>
    <row r="8" spans="1:62" x14ac:dyDescent="0.25">
      <c r="A8" s="625"/>
      <c r="B8" s="625"/>
      <c r="C8" s="625"/>
      <c r="D8" s="625"/>
      <c r="E8" s="625"/>
      <c r="F8" s="625"/>
      <c r="G8" s="625"/>
      <c r="H8" s="625"/>
      <c r="I8" s="625"/>
      <c r="J8" s="625"/>
      <c r="K8" s="625"/>
      <c r="L8" s="625"/>
      <c r="M8" s="625"/>
      <c r="N8" s="625"/>
      <c r="O8" s="625"/>
      <c r="P8" s="625"/>
      <c r="Q8" s="625"/>
      <c r="R8" s="625"/>
      <c r="S8" s="625"/>
      <c r="T8" s="625"/>
      <c r="U8" s="625"/>
      <c r="V8" s="625"/>
      <c r="W8" s="625"/>
      <c r="X8" s="625"/>
      <c r="Y8" s="625"/>
      <c r="Z8" s="625"/>
      <c r="AA8" s="625"/>
      <c r="AB8" s="625"/>
      <c r="AC8" s="625"/>
      <c r="AD8" s="625"/>
      <c r="AE8" s="625"/>
      <c r="AF8" s="625"/>
      <c r="AG8" s="625"/>
      <c r="AH8" s="625"/>
    </row>
    <row r="9" spans="1:62" x14ac:dyDescent="0.25">
      <c r="A9" s="625"/>
      <c r="B9" s="625"/>
      <c r="C9" s="625"/>
      <c r="D9" s="625"/>
      <c r="E9" s="625"/>
      <c r="F9" s="625"/>
      <c r="G9" s="625"/>
      <c r="H9" s="625"/>
      <c r="I9" s="625"/>
      <c r="J9" s="625"/>
      <c r="K9" s="625"/>
      <c r="L9" s="625"/>
      <c r="M9" s="625"/>
      <c r="N9" s="625"/>
      <c r="O9" s="625"/>
      <c r="P9" s="625"/>
      <c r="Q9" s="625"/>
      <c r="R9" s="625"/>
      <c r="S9" s="625"/>
      <c r="T9" s="625"/>
      <c r="U9" s="625"/>
      <c r="V9" s="625"/>
      <c r="W9" s="625"/>
      <c r="X9" s="625"/>
      <c r="Y9" s="625"/>
      <c r="Z9" s="625"/>
      <c r="AA9" s="625"/>
      <c r="AB9" s="625"/>
      <c r="AC9" s="625"/>
      <c r="AD9" s="625"/>
      <c r="AE9" s="625"/>
      <c r="AF9" s="625"/>
      <c r="AG9" s="625"/>
      <c r="AH9" s="625"/>
    </row>
    <row r="10" spans="1:62" x14ac:dyDescent="0.25">
      <c r="A10" s="625"/>
      <c r="B10" s="625"/>
      <c r="C10" s="625"/>
      <c r="D10" s="625"/>
      <c r="E10" s="625"/>
      <c r="F10" s="625"/>
      <c r="G10" s="625"/>
      <c r="H10" s="625"/>
      <c r="I10" s="625"/>
      <c r="J10" s="625"/>
      <c r="K10" s="625"/>
      <c r="L10" s="625"/>
      <c r="M10" s="625"/>
      <c r="N10" s="625"/>
      <c r="O10" s="625"/>
      <c r="P10" s="625"/>
      <c r="Q10" s="625"/>
      <c r="R10" s="625"/>
      <c r="S10" s="625"/>
      <c r="T10" s="625"/>
      <c r="U10" s="625"/>
      <c r="V10" s="625"/>
      <c r="W10" s="625"/>
      <c r="X10" s="625"/>
      <c r="Y10" s="625"/>
      <c r="Z10" s="625"/>
      <c r="AA10" s="625"/>
      <c r="AB10" s="625"/>
      <c r="AC10" s="625"/>
      <c r="AD10" s="625"/>
      <c r="AE10" s="625"/>
      <c r="AF10" s="625"/>
      <c r="AG10" s="625"/>
      <c r="AH10" s="625"/>
    </row>
    <row r="11" spans="1:62" x14ac:dyDescent="0.25">
      <c r="A11" s="625"/>
      <c r="B11" s="625"/>
      <c r="C11" s="625"/>
      <c r="D11" s="625"/>
      <c r="E11" s="625"/>
      <c r="F11" s="625"/>
      <c r="G11" s="625"/>
      <c r="H11" s="625"/>
      <c r="I11" s="625"/>
      <c r="J11" s="625"/>
      <c r="K11" s="625"/>
      <c r="L11" s="625"/>
      <c r="M11" s="625"/>
      <c r="N11" s="625"/>
      <c r="O11" s="625"/>
      <c r="P11" s="625"/>
      <c r="Q11" s="625"/>
      <c r="R11" s="625"/>
      <c r="S11" s="625"/>
      <c r="T11" s="625"/>
      <c r="U11" s="625"/>
      <c r="V11" s="625"/>
      <c r="W11" s="625"/>
      <c r="X11" s="625"/>
      <c r="Y11" s="625"/>
      <c r="Z11" s="625"/>
      <c r="AA11" s="625"/>
      <c r="AB11" s="625"/>
      <c r="AC11" s="625"/>
      <c r="AD11" s="625"/>
      <c r="AE11" s="625"/>
      <c r="AF11" s="625"/>
      <c r="AG11" s="625"/>
      <c r="AH11" s="625"/>
    </row>
    <row r="12" spans="1:62" x14ac:dyDescent="0.25">
      <c r="A12" s="625"/>
      <c r="B12" s="625"/>
      <c r="C12" s="625"/>
      <c r="D12" s="625"/>
      <c r="E12" s="625"/>
      <c r="F12" s="625"/>
      <c r="G12" s="625"/>
      <c r="H12" s="625"/>
      <c r="I12" s="625"/>
      <c r="J12" s="625"/>
      <c r="K12" s="625"/>
      <c r="L12" s="625"/>
      <c r="M12" s="625"/>
      <c r="N12" s="625"/>
      <c r="O12" s="625"/>
      <c r="P12" s="625"/>
      <c r="Q12" s="625"/>
      <c r="R12" s="625"/>
      <c r="S12" s="625"/>
      <c r="T12" s="625"/>
      <c r="U12" s="625"/>
      <c r="V12" s="625"/>
      <c r="W12" s="625"/>
      <c r="X12" s="625"/>
      <c r="Y12" s="625"/>
      <c r="Z12" s="625"/>
      <c r="AA12" s="625"/>
      <c r="AB12" s="625"/>
      <c r="AC12" s="625"/>
      <c r="AD12" s="625"/>
      <c r="AE12" s="625"/>
      <c r="AF12" s="625"/>
      <c r="AG12" s="625"/>
      <c r="AH12" s="625"/>
    </row>
    <row r="13" spans="1:62" x14ac:dyDescent="0.25">
      <c r="A13" s="625"/>
      <c r="B13" s="625"/>
      <c r="C13" s="625"/>
      <c r="D13" s="625"/>
      <c r="E13" s="625"/>
      <c r="F13" s="625"/>
      <c r="G13" s="625"/>
      <c r="H13" s="625"/>
      <c r="I13" s="625"/>
      <c r="J13" s="625"/>
      <c r="K13" s="625"/>
      <c r="L13" s="625"/>
      <c r="M13" s="625"/>
      <c r="N13" s="625"/>
      <c r="O13" s="625"/>
      <c r="P13" s="625"/>
      <c r="Q13" s="625"/>
      <c r="R13" s="625"/>
      <c r="S13" s="625"/>
      <c r="T13" s="625"/>
      <c r="U13" s="625"/>
      <c r="V13" s="625"/>
      <c r="W13" s="625"/>
      <c r="X13" s="625"/>
      <c r="Y13" s="625"/>
      <c r="Z13" s="625"/>
      <c r="AA13" s="625"/>
      <c r="AB13" s="625"/>
      <c r="AC13" s="625"/>
      <c r="AD13" s="625"/>
      <c r="AE13" s="625"/>
      <c r="AF13" s="625"/>
      <c r="AG13" s="625"/>
      <c r="AH13" s="625"/>
    </row>
    <row r="14" spans="1:62" x14ac:dyDescent="0.25">
      <c r="A14" s="625"/>
      <c r="B14" s="625"/>
      <c r="C14" s="625"/>
      <c r="D14" s="625"/>
      <c r="E14" s="625"/>
      <c r="F14" s="625"/>
      <c r="G14" s="625"/>
      <c r="H14" s="625"/>
      <c r="I14" s="625"/>
      <c r="J14" s="625"/>
      <c r="K14" s="625"/>
      <c r="L14" s="625"/>
      <c r="M14" s="625"/>
      <c r="N14" s="625"/>
      <c r="O14" s="625"/>
      <c r="P14" s="625"/>
      <c r="Q14" s="625"/>
      <c r="R14" s="625"/>
      <c r="S14" s="625"/>
      <c r="T14" s="625"/>
      <c r="U14" s="625"/>
      <c r="V14" s="625"/>
      <c r="W14" s="625"/>
      <c r="X14" s="625"/>
      <c r="Y14" s="625"/>
      <c r="Z14" s="625"/>
      <c r="AA14" s="625"/>
      <c r="AB14" s="625"/>
      <c r="AC14" s="625"/>
      <c r="AD14" s="625"/>
      <c r="AE14" s="625"/>
      <c r="AF14" s="625"/>
      <c r="AG14" s="625"/>
      <c r="AH14" s="625"/>
    </row>
    <row r="15" spans="1:62" x14ac:dyDescent="0.25">
      <c r="A15" s="625"/>
      <c r="B15" s="625"/>
      <c r="C15" s="625"/>
      <c r="D15" s="625"/>
      <c r="E15" s="625"/>
      <c r="F15" s="625"/>
      <c r="G15" s="625"/>
      <c r="H15" s="625"/>
      <c r="I15" s="625"/>
      <c r="J15" s="625"/>
      <c r="K15" s="625"/>
      <c r="L15" s="625"/>
      <c r="M15" s="625"/>
      <c r="N15" s="625"/>
      <c r="O15" s="625"/>
      <c r="P15" s="625"/>
      <c r="Q15" s="625"/>
      <c r="R15" s="625"/>
      <c r="S15" s="625"/>
      <c r="T15" s="625"/>
      <c r="U15" s="625"/>
      <c r="V15" s="625"/>
      <c r="W15" s="625"/>
      <c r="X15" s="625"/>
      <c r="Y15" s="625"/>
      <c r="Z15" s="625"/>
      <c r="AA15" s="625"/>
      <c r="AB15" s="625"/>
      <c r="AC15" s="625"/>
      <c r="AD15" s="625"/>
      <c r="AE15" s="625"/>
      <c r="AF15" s="625"/>
      <c r="AG15" s="625"/>
      <c r="AH15" s="625"/>
    </row>
    <row r="16" spans="1:62" x14ac:dyDescent="0.25">
      <c r="A16" s="625"/>
      <c r="B16" s="625"/>
      <c r="C16" s="625"/>
      <c r="D16" s="625"/>
      <c r="E16" s="625"/>
      <c r="F16" s="625"/>
      <c r="G16" s="625"/>
      <c r="H16" s="625"/>
      <c r="I16" s="625"/>
      <c r="J16" s="625"/>
      <c r="K16" s="625"/>
      <c r="L16" s="625"/>
      <c r="M16" s="625"/>
      <c r="N16" s="625"/>
      <c r="O16" s="625"/>
      <c r="P16" s="625"/>
      <c r="Q16" s="625"/>
      <c r="R16" s="625"/>
      <c r="S16" s="625"/>
      <c r="T16" s="625"/>
      <c r="U16" s="625"/>
      <c r="V16" s="625"/>
      <c r="W16" s="625"/>
      <c r="X16" s="625"/>
      <c r="Y16" s="625"/>
      <c r="Z16" s="625"/>
      <c r="AA16" s="625"/>
      <c r="AB16" s="625"/>
      <c r="AC16" s="625"/>
      <c r="AD16" s="625"/>
      <c r="AE16" s="625"/>
      <c r="AF16" s="625"/>
      <c r="AG16" s="625"/>
      <c r="AH16" s="625"/>
    </row>
    <row r="17" spans="1:62" x14ac:dyDescent="0.25">
      <c r="A17" s="625"/>
      <c r="B17" s="625"/>
      <c r="C17" s="625"/>
      <c r="D17" s="625"/>
      <c r="E17" s="625"/>
      <c r="F17" s="625"/>
      <c r="G17" s="625"/>
      <c r="H17" s="625"/>
      <c r="I17" s="625"/>
      <c r="J17" s="625"/>
      <c r="K17" s="625"/>
      <c r="L17" s="625"/>
      <c r="M17" s="625"/>
      <c r="N17" s="625"/>
      <c r="O17" s="625"/>
      <c r="P17" s="625"/>
      <c r="Q17" s="625"/>
      <c r="R17" s="625"/>
      <c r="S17" s="625"/>
      <c r="T17" s="625"/>
      <c r="U17" s="625"/>
      <c r="V17" s="625"/>
      <c r="W17" s="625"/>
      <c r="X17" s="625"/>
      <c r="Y17" s="625"/>
      <c r="Z17" s="625"/>
      <c r="AA17" s="625"/>
      <c r="AB17" s="625"/>
      <c r="AC17" s="625"/>
      <c r="AD17" s="625"/>
      <c r="AE17" s="625"/>
      <c r="AF17" s="625"/>
      <c r="AG17" s="625"/>
      <c r="AH17" s="625"/>
    </row>
    <row r="18" spans="1:62" x14ac:dyDescent="0.25">
      <c r="A18" s="625"/>
      <c r="B18" s="625"/>
      <c r="C18" s="625"/>
      <c r="D18" s="625"/>
      <c r="E18" s="625"/>
      <c r="F18" s="625"/>
      <c r="G18" s="625"/>
      <c r="H18" s="625"/>
      <c r="I18" s="625"/>
      <c r="J18" s="625"/>
      <c r="K18" s="625"/>
      <c r="L18" s="625"/>
      <c r="M18" s="625"/>
      <c r="N18" s="625"/>
      <c r="O18" s="625"/>
      <c r="P18" s="625"/>
      <c r="Q18" s="625"/>
      <c r="R18" s="625"/>
      <c r="S18" s="625"/>
      <c r="T18" s="625"/>
      <c r="U18" s="625"/>
      <c r="V18" s="625"/>
      <c r="W18" s="625"/>
      <c r="X18" s="625"/>
      <c r="Y18" s="625"/>
      <c r="Z18" s="625"/>
      <c r="AA18" s="625"/>
      <c r="AB18" s="625"/>
      <c r="AC18" s="625"/>
      <c r="AD18" s="625"/>
      <c r="AE18" s="625"/>
      <c r="AF18" s="625"/>
      <c r="AG18" s="625"/>
      <c r="AH18" s="625"/>
    </row>
    <row r="19" spans="1:62" ht="15.75" thickBot="1" x14ac:dyDescent="0.3"/>
    <row r="20" spans="1:62" ht="14.25" customHeight="1" thickBot="1" x14ac:dyDescent="0.3">
      <c r="A20" s="915" t="s">
        <v>50</v>
      </c>
      <c r="B20" s="916"/>
      <c r="C20" s="916"/>
      <c r="D20" s="916"/>
      <c r="E20" s="917" t="s">
        <v>1</v>
      </c>
      <c r="F20" s="902"/>
      <c r="G20" s="902"/>
      <c r="H20" s="902"/>
      <c r="I20" s="902"/>
      <c r="J20" s="902"/>
      <c r="K20" s="902"/>
      <c r="L20" s="903"/>
      <c r="M20" s="917" t="s">
        <v>0</v>
      </c>
      <c r="N20" s="902"/>
      <c r="O20" s="902"/>
      <c r="P20" s="902"/>
      <c r="Q20" s="902"/>
      <c r="R20" s="902"/>
      <c r="S20" s="902"/>
      <c r="T20" s="902"/>
      <c r="U20" s="903"/>
      <c r="V20" s="918"/>
      <c r="W20" s="919"/>
      <c r="X20" s="919"/>
      <c r="Y20" s="919"/>
      <c r="Z20" s="919"/>
      <c r="AA20" s="888" t="s">
        <v>51</v>
      </c>
      <c r="AB20" s="889"/>
      <c r="AC20" s="889"/>
      <c r="AD20" s="889"/>
      <c r="AE20" s="889"/>
      <c r="AF20" s="889"/>
      <c r="AG20" s="889"/>
      <c r="AH20" s="890"/>
      <c r="AI20" s="888" t="s">
        <v>52</v>
      </c>
      <c r="AJ20" s="902"/>
      <c r="AK20" s="902"/>
      <c r="AL20" s="902"/>
      <c r="AM20" s="902"/>
      <c r="AN20" s="902"/>
      <c r="AO20" s="902"/>
      <c r="AP20" s="902"/>
      <c r="AQ20" s="903"/>
      <c r="AR20" s="900"/>
      <c r="AS20" s="900"/>
      <c r="AT20" s="901" t="s">
        <v>1</v>
      </c>
      <c r="AU20" s="902"/>
      <c r="AV20" s="902"/>
      <c r="AW20" s="902"/>
      <c r="AX20" s="902"/>
      <c r="AY20" s="902"/>
      <c r="AZ20" s="902"/>
      <c r="BA20" s="903"/>
      <c r="BB20" s="901" t="s">
        <v>0</v>
      </c>
      <c r="BC20" s="902"/>
      <c r="BD20" s="902"/>
      <c r="BE20" s="902"/>
      <c r="BF20" s="902"/>
      <c r="BG20" s="902"/>
      <c r="BH20" s="902"/>
      <c r="BI20" s="902"/>
      <c r="BJ20" s="903"/>
    </row>
    <row r="21" spans="1:62" ht="15" customHeight="1" thickBot="1" x14ac:dyDescent="0.3">
      <c r="A21" s="907" t="s">
        <v>12</v>
      </c>
      <c r="B21" s="907" t="s">
        <v>13</v>
      </c>
      <c r="C21" s="909" t="s">
        <v>47</v>
      </c>
      <c r="D21" s="911" t="s">
        <v>15</v>
      </c>
      <c r="E21" s="906"/>
      <c r="F21" s="904"/>
      <c r="G21" s="904"/>
      <c r="H21" s="904"/>
      <c r="I21" s="904"/>
      <c r="J21" s="904"/>
      <c r="K21" s="904"/>
      <c r="L21" s="905"/>
      <c r="M21" s="906"/>
      <c r="N21" s="904"/>
      <c r="O21" s="904"/>
      <c r="P21" s="904"/>
      <c r="Q21" s="904"/>
      <c r="R21" s="904"/>
      <c r="S21" s="904"/>
      <c r="T21" s="904"/>
      <c r="U21" s="905"/>
      <c r="V21" s="912" t="s">
        <v>40</v>
      </c>
      <c r="W21" s="914" t="s">
        <v>12</v>
      </c>
      <c r="X21" s="914" t="s">
        <v>13</v>
      </c>
      <c r="Y21" s="914" t="s">
        <v>47</v>
      </c>
      <c r="Z21" s="912" t="s">
        <v>41</v>
      </c>
      <c r="AA21" s="891"/>
      <c r="AB21" s="892"/>
      <c r="AC21" s="892"/>
      <c r="AD21" s="892"/>
      <c r="AE21" s="892"/>
      <c r="AF21" s="892"/>
      <c r="AG21" s="892"/>
      <c r="AH21" s="893"/>
      <c r="AI21" s="906"/>
      <c r="AJ21" s="904"/>
      <c r="AK21" s="904"/>
      <c r="AL21" s="904"/>
      <c r="AM21" s="904"/>
      <c r="AN21" s="904"/>
      <c r="AO21" s="904"/>
      <c r="AP21" s="904"/>
      <c r="AQ21" s="905"/>
      <c r="AR21" s="897" t="s">
        <v>15</v>
      </c>
      <c r="AS21" s="899" t="s">
        <v>47</v>
      </c>
      <c r="AT21" s="904"/>
      <c r="AU21" s="904"/>
      <c r="AV21" s="904"/>
      <c r="AW21" s="904"/>
      <c r="AX21" s="904"/>
      <c r="AY21" s="904"/>
      <c r="AZ21" s="904"/>
      <c r="BA21" s="905"/>
      <c r="BB21" s="906"/>
      <c r="BC21" s="904"/>
      <c r="BD21" s="904"/>
      <c r="BE21" s="904"/>
      <c r="BF21" s="904"/>
      <c r="BG21" s="904"/>
      <c r="BH21" s="904"/>
      <c r="BI21" s="904"/>
      <c r="BJ21" s="905"/>
    </row>
    <row r="22" spans="1:62" ht="15.75" thickBot="1" x14ac:dyDescent="0.3">
      <c r="A22" s="908"/>
      <c r="B22" s="908"/>
      <c r="C22" s="910"/>
      <c r="D22" s="910"/>
      <c r="E22" s="103" t="s">
        <v>9</v>
      </c>
      <c r="F22" s="104" t="s">
        <v>5</v>
      </c>
      <c r="G22" s="104" t="s">
        <v>8</v>
      </c>
      <c r="H22" s="104" t="s">
        <v>4</v>
      </c>
      <c r="I22" s="104" t="s">
        <v>10</v>
      </c>
      <c r="J22" s="104" t="s">
        <v>6</v>
      </c>
      <c r="K22" s="104" t="s">
        <v>7</v>
      </c>
      <c r="L22" s="105" t="s">
        <v>20</v>
      </c>
      <c r="M22" s="103" t="s">
        <v>22</v>
      </c>
      <c r="N22" s="104" t="s">
        <v>23</v>
      </c>
      <c r="O22" s="104" t="s">
        <v>24</v>
      </c>
      <c r="P22" s="104" t="s">
        <v>25</v>
      </c>
      <c r="Q22" s="104" t="s">
        <v>26</v>
      </c>
      <c r="R22" s="104" t="s">
        <v>27</v>
      </c>
      <c r="S22" s="104" t="s">
        <v>28</v>
      </c>
      <c r="T22" s="104" t="s">
        <v>29</v>
      </c>
      <c r="U22" s="105" t="s">
        <v>30</v>
      </c>
      <c r="V22" s="913"/>
      <c r="W22" s="913"/>
      <c r="X22" s="913"/>
      <c r="Y22" s="913"/>
      <c r="Z22" s="913"/>
      <c r="AA22" s="109" t="s">
        <v>9</v>
      </c>
      <c r="AB22" s="110" t="s">
        <v>5</v>
      </c>
      <c r="AC22" s="110" t="s">
        <v>8</v>
      </c>
      <c r="AD22" s="110" t="s">
        <v>4</v>
      </c>
      <c r="AE22" s="110" t="s">
        <v>10</v>
      </c>
      <c r="AF22" s="110" t="s">
        <v>6</v>
      </c>
      <c r="AG22" s="110" t="s">
        <v>7</v>
      </c>
      <c r="AH22" s="111" t="s">
        <v>20</v>
      </c>
      <c r="AI22" s="106" t="s">
        <v>22</v>
      </c>
      <c r="AJ22" s="107" t="s">
        <v>23</v>
      </c>
      <c r="AK22" s="107" t="s">
        <v>24</v>
      </c>
      <c r="AL22" s="107" t="s">
        <v>25</v>
      </c>
      <c r="AM22" s="107" t="s">
        <v>26</v>
      </c>
      <c r="AN22" s="107" t="s">
        <v>27</v>
      </c>
      <c r="AO22" s="107" t="s">
        <v>28</v>
      </c>
      <c r="AP22" s="107" t="s">
        <v>29</v>
      </c>
      <c r="AQ22" s="108" t="s">
        <v>30</v>
      </c>
      <c r="AR22" s="898"/>
      <c r="AS22" s="920"/>
      <c r="AT22" s="132" t="s">
        <v>9</v>
      </c>
      <c r="AU22" s="132" t="s">
        <v>5</v>
      </c>
      <c r="AV22" s="132" t="s">
        <v>8</v>
      </c>
      <c r="AW22" s="132" t="s">
        <v>4</v>
      </c>
      <c r="AX22" s="132" t="s">
        <v>10</v>
      </c>
      <c r="AY22" s="132" t="s">
        <v>6</v>
      </c>
      <c r="AZ22" s="132" t="s">
        <v>7</v>
      </c>
      <c r="BA22" s="132" t="s">
        <v>20</v>
      </c>
      <c r="BB22" s="131" t="s">
        <v>22</v>
      </c>
      <c r="BC22" s="131" t="s">
        <v>23</v>
      </c>
      <c r="BD22" s="131" t="s">
        <v>24</v>
      </c>
      <c r="BE22" s="131" t="s">
        <v>25</v>
      </c>
      <c r="BF22" s="131" t="s">
        <v>26</v>
      </c>
      <c r="BG22" s="131" t="s">
        <v>27</v>
      </c>
      <c r="BH22" s="131" t="s">
        <v>28</v>
      </c>
      <c r="BI22" s="131" t="s">
        <v>29</v>
      </c>
      <c r="BJ22" s="132" t="s">
        <v>30</v>
      </c>
    </row>
    <row r="23" spans="1:62" x14ac:dyDescent="0.25">
      <c r="A23" s="310">
        <v>100</v>
      </c>
      <c r="B23" s="246">
        <v>50</v>
      </c>
      <c r="C23" s="369">
        <v>111.803398874989</v>
      </c>
      <c r="D23" s="210" t="s">
        <v>9</v>
      </c>
      <c r="E23" s="114">
        <v>300</v>
      </c>
      <c r="F23" s="115">
        <v>9.8425200000000004</v>
      </c>
      <c r="G23" s="115">
        <v>118.11</v>
      </c>
      <c r="H23" s="115">
        <v>3</v>
      </c>
      <c r="I23" s="311">
        <v>1.86411E-3</v>
      </c>
      <c r="J23" s="115">
        <v>3000</v>
      </c>
      <c r="K23" s="115">
        <v>3.28084</v>
      </c>
      <c r="L23" s="117">
        <v>3000000</v>
      </c>
      <c r="M23" s="114">
        <v>500000</v>
      </c>
      <c r="N23" s="115">
        <v>5000</v>
      </c>
      <c r="O23" s="115">
        <v>50</v>
      </c>
      <c r="P23" s="115">
        <v>0.5</v>
      </c>
      <c r="Q23" s="115">
        <v>775.00199999999995</v>
      </c>
      <c r="R23" s="115">
        <v>5.3819600000000003</v>
      </c>
      <c r="S23" s="367">
        <v>5.0000000000000001E-3</v>
      </c>
      <c r="T23" s="365">
        <v>5.0000000000000002E-5</v>
      </c>
      <c r="U23" s="364">
        <v>1.2355299999999999E-4</v>
      </c>
      <c r="V23" s="142">
        <v>1</v>
      </c>
      <c r="W23" s="13">
        <v>100</v>
      </c>
      <c r="X23" s="12">
        <v>50</v>
      </c>
      <c r="Y23" s="359">
        <v>111.80337</v>
      </c>
      <c r="Z23" s="18" t="s">
        <v>9</v>
      </c>
      <c r="AA23" s="13">
        <f>2*(W23+X23)</f>
        <v>300</v>
      </c>
      <c r="AB23" s="7">
        <v>9.8425200000000004</v>
      </c>
      <c r="AC23" s="7">
        <v>118.11</v>
      </c>
      <c r="AD23" s="7">
        <v>3</v>
      </c>
      <c r="AE23" s="301">
        <v>1.86411E-3</v>
      </c>
      <c r="AF23" s="7">
        <v>3000</v>
      </c>
      <c r="AG23" s="7">
        <v>3.28084</v>
      </c>
      <c r="AH23" s="14">
        <v>3000000</v>
      </c>
      <c r="AI23" s="8">
        <v>500000</v>
      </c>
      <c r="AJ23" s="262">
        <f>W23*X23</f>
        <v>5000</v>
      </c>
      <c r="AK23" s="7">
        <v>50</v>
      </c>
      <c r="AL23" s="7">
        <v>0.5</v>
      </c>
      <c r="AM23" s="7">
        <v>775.00199999999995</v>
      </c>
      <c r="AN23" s="7">
        <v>5.3819600000000003</v>
      </c>
      <c r="AO23" s="358">
        <v>5.0000000000000001E-3</v>
      </c>
      <c r="AP23" s="359">
        <v>5.0000000000000002E-5</v>
      </c>
      <c r="AQ23" s="361">
        <v>1.2355299999999999E-4</v>
      </c>
      <c r="AR23" s="237" t="s">
        <v>9</v>
      </c>
      <c r="AS23" s="354">
        <f>(100*(C23-Y23))/Y23</f>
        <v>2.5826581970606393E-5</v>
      </c>
      <c r="AT23" s="216">
        <f t="shared" ref="AT23:BJ23" si="0">(100*(E23-AA23))/AA23</f>
        <v>0</v>
      </c>
      <c r="AU23" s="90">
        <f t="shared" si="0"/>
        <v>0</v>
      </c>
      <c r="AV23" s="90">
        <f t="shared" si="0"/>
        <v>0</v>
      </c>
      <c r="AW23" s="90">
        <f t="shared" si="0"/>
        <v>0</v>
      </c>
      <c r="AX23" s="90">
        <f t="shared" si="0"/>
        <v>0</v>
      </c>
      <c r="AY23" s="90">
        <f t="shared" si="0"/>
        <v>0</v>
      </c>
      <c r="AZ23" s="90">
        <f t="shared" si="0"/>
        <v>0</v>
      </c>
      <c r="BA23" s="229">
        <f t="shared" si="0"/>
        <v>0</v>
      </c>
      <c r="BB23" s="138">
        <f t="shared" si="0"/>
        <v>0</v>
      </c>
      <c r="BC23" s="93">
        <f t="shared" si="0"/>
        <v>0</v>
      </c>
      <c r="BD23" s="93">
        <f t="shared" si="0"/>
        <v>0</v>
      </c>
      <c r="BE23" s="93">
        <f t="shared" si="0"/>
        <v>0</v>
      </c>
      <c r="BF23" s="93">
        <f t="shared" si="0"/>
        <v>0</v>
      </c>
      <c r="BG23" s="93">
        <f t="shared" si="0"/>
        <v>0</v>
      </c>
      <c r="BH23" s="93">
        <f t="shared" si="0"/>
        <v>0</v>
      </c>
      <c r="BI23" s="93">
        <f t="shared" si="0"/>
        <v>0</v>
      </c>
      <c r="BJ23" s="95">
        <f t="shared" si="0"/>
        <v>0</v>
      </c>
    </row>
    <row r="24" spans="1:62" x14ac:dyDescent="0.25">
      <c r="A24" s="118">
        <v>50</v>
      </c>
      <c r="B24" s="56">
        <v>25</v>
      </c>
      <c r="C24" s="1">
        <v>55.901699437494699</v>
      </c>
      <c r="D24" s="211" t="s">
        <v>5</v>
      </c>
      <c r="E24" s="118">
        <v>4572</v>
      </c>
      <c r="F24" s="1">
        <v>150</v>
      </c>
      <c r="G24" s="1">
        <v>1800</v>
      </c>
      <c r="H24" s="1">
        <v>45.72</v>
      </c>
      <c r="I24" s="326">
        <v>2.84091E-2</v>
      </c>
      <c r="J24" s="1">
        <v>45720</v>
      </c>
      <c r="K24" s="1">
        <v>50</v>
      </c>
      <c r="L24" s="119">
        <v>45720000</v>
      </c>
      <c r="M24" s="118">
        <v>116128800</v>
      </c>
      <c r="N24" s="1">
        <v>1161288</v>
      </c>
      <c r="O24" s="1">
        <v>11612.9</v>
      </c>
      <c r="P24" s="1">
        <v>116.129</v>
      </c>
      <c r="Q24" s="1">
        <v>180000</v>
      </c>
      <c r="R24" s="59">
        <v>1250</v>
      </c>
      <c r="S24" s="348">
        <v>1.1612899999999999</v>
      </c>
      <c r="T24" s="78">
        <v>1.1612900000000001E-2</v>
      </c>
      <c r="U24" s="370">
        <v>2.8696099999999999E-2</v>
      </c>
      <c r="V24" s="143">
        <v>2</v>
      </c>
      <c r="W24" s="15">
        <v>50</v>
      </c>
      <c r="X24" s="34">
        <v>25</v>
      </c>
      <c r="Y24" s="34">
        <v>55.901670000000003</v>
      </c>
      <c r="Z24" s="19" t="s">
        <v>5</v>
      </c>
      <c r="AA24" s="15">
        <v>4572</v>
      </c>
      <c r="AB24" s="2">
        <f>2*(W24+X24)</f>
        <v>150</v>
      </c>
      <c r="AC24" s="2">
        <v>1800</v>
      </c>
      <c r="AD24" s="2">
        <v>45.72</v>
      </c>
      <c r="AE24" s="2">
        <v>2.84091E-2</v>
      </c>
      <c r="AF24" s="2">
        <v>45720</v>
      </c>
      <c r="AG24" s="2">
        <v>50</v>
      </c>
      <c r="AH24" s="16">
        <v>45720000</v>
      </c>
      <c r="AI24" s="15">
        <v>116128800</v>
      </c>
      <c r="AJ24" s="2">
        <v>1161288</v>
      </c>
      <c r="AK24" s="2">
        <v>11612.9</v>
      </c>
      <c r="AL24" s="2">
        <v>116.129</v>
      </c>
      <c r="AM24" s="2">
        <v>180000</v>
      </c>
      <c r="AN24" s="2">
        <f>W24*X24</f>
        <v>1250</v>
      </c>
      <c r="AO24" s="2">
        <v>1.1612899999999999</v>
      </c>
      <c r="AP24" s="342">
        <v>1.1612900000000001E-2</v>
      </c>
      <c r="AQ24" s="42">
        <v>2.8696099999999999E-2</v>
      </c>
      <c r="AR24" s="238" t="s">
        <v>5</v>
      </c>
      <c r="AS24" s="355">
        <f t="shared" ref="AS24:AS30" si="1">(100*(C24-Y24))/Y24</f>
        <v>5.2659419112314392E-5</v>
      </c>
      <c r="AT24" s="217">
        <f t="shared" ref="AT24:AT30" si="2">(100*(E24-AA24))/AA24</f>
        <v>0</v>
      </c>
      <c r="AU24" s="73">
        <f t="shared" ref="AU24:AU30" si="3">(100*(F24-AB24))/AB24</f>
        <v>0</v>
      </c>
      <c r="AV24" s="73">
        <f t="shared" ref="AV24:AV30" si="4">(100*(G24-AC24))/AC24</f>
        <v>0</v>
      </c>
      <c r="AW24" s="73">
        <f t="shared" ref="AW24:AW30" si="5">(100*(H24-AD24))/AD24</f>
        <v>0</v>
      </c>
      <c r="AX24" s="73">
        <f t="shared" ref="AX24:AX30" si="6">(100*(I24-AE24))/AE24</f>
        <v>0</v>
      </c>
      <c r="AY24" s="73">
        <f t="shared" ref="AY24:AY30" si="7">(100*(J24-AF24))/AF24</f>
        <v>0</v>
      </c>
      <c r="AZ24" s="73">
        <f t="shared" ref="AZ24:AZ30" si="8">(100*(K24-AG24))/AG24</f>
        <v>0</v>
      </c>
      <c r="BA24" s="230">
        <f t="shared" ref="BA24:BA30" si="9">(100*(L24-AH24))/AH24</f>
        <v>0</v>
      </c>
      <c r="BB24" s="139">
        <f t="shared" ref="BB24:BB30" si="10">(100*(M24-AI24))/AI24</f>
        <v>0</v>
      </c>
      <c r="BC24" s="80">
        <f t="shared" ref="BC24:BC30" si="11">(100*(N24-AJ24))/AJ24</f>
        <v>0</v>
      </c>
      <c r="BD24" s="80">
        <f t="shared" ref="BD24:BD30" si="12">(100*(O24-AK24))/AK24</f>
        <v>0</v>
      </c>
      <c r="BE24" s="80">
        <f t="shared" ref="BE24:BE30" si="13">(100*(P24-AL24))/AL24</f>
        <v>0</v>
      </c>
      <c r="BF24" s="80">
        <f t="shared" ref="BF24:BF30" si="14">(100*(Q24-AM24))/AM24</f>
        <v>0</v>
      </c>
      <c r="BG24" s="80">
        <f t="shared" ref="BG24:BG30" si="15">(100*(R24-AN24))/AN24</f>
        <v>0</v>
      </c>
      <c r="BH24" s="80">
        <f t="shared" ref="BH24:BH30" si="16">(100*(S24-AO24))/AO24</f>
        <v>0</v>
      </c>
      <c r="BI24" s="80">
        <f t="shared" ref="BI24:BI30" si="17">(100*(T24-AP24))/AP24</f>
        <v>0</v>
      </c>
      <c r="BJ24" s="96">
        <f t="shared" ref="BJ24:BJ30" si="18">(100*(U24-AQ24))/AQ24</f>
        <v>0</v>
      </c>
    </row>
    <row r="25" spans="1:62" x14ac:dyDescent="0.25">
      <c r="A25" s="118">
        <v>150</v>
      </c>
      <c r="B25" s="56">
        <v>75</v>
      </c>
      <c r="C25" s="53">
        <v>167.70509831248401</v>
      </c>
      <c r="D25" s="211" t="s">
        <v>8</v>
      </c>
      <c r="E25" s="118">
        <v>1143</v>
      </c>
      <c r="F25" s="1">
        <v>37.5</v>
      </c>
      <c r="G25" s="1">
        <v>450</v>
      </c>
      <c r="H25" s="1">
        <v>11.43</v>
      </c>
      <c r="I25" s="326">
        <v>7.1022699999999999E-3</v>
      </c>
      <c r="J25" s="1">
        <v>11430</v>
      </c>
      <c r="K25" s="1">
        <v>12.5</v>
      </c>
      <c r="L25" s="119">
        <v>11430000</v>
      </c>
      <c r="M25" s="118">
        <v>7258050</v>
      </c>
      <c r="N25" s="1">
        <v>72580.5</v>
      </c>
      <c r="O25" s="1">
        <v>725.80499999999995</v>
      </c>
      <c r="P25" s="1">
        <v>7.2580499999999999</v>
      </c>
      <c r="Q25" s="1">
        <v>11250</v>
      </c>
      <c r="R25" s="1">
        <v>78.125</v>
      </c>
      <c r="S25" s="78">
        <v>7.2580500000000006E-2</v>
      </c>
      <c r="T25" s="316">
        <v>7.2580500000000005E-4</v>
      </c>
      <c r="U25" s="370">
        <v>1.7935E-3</v>
      </c>
      <c r="V25" s="143">
        <v>3</v>
      </c>
      <c r="W25" s="15">
        <v>150</v>
      </c>
      <c r="X25" s="34">
        <v>75</v>
      </c>
      <c r="Y25" s="2">
        <v>167.70507000000001</v>
      </c>
      <c r="Z25" s="19" t="s">
        <v>8</v>
      </c>
      <c r="AA25" s="15">
        <v>1143</v>
      </c>
      <c r="AB25" s="2">
        <v>37.5</v>
      </c>
      <c r="AC25" s="2">
        <f>2*(W25+X25)</f>
        <v>450</v>
      </c>
      <c r="AD25" s="2">
        <v>11.43</v>
      </c>
      <c r="AE25" s="2">
        <v>7.1022699999999999E-3</v>
      </c>
      <c r="AF25" s="2">
        <v>11430</v>
      </c>
      <c r="AG25" s="2">
        <v>12.5</v>
      </c>
      <c r="AH25" s="16">
        <v>11430000</v>
      </c>
      <c r="AI25" s="28">
        <v>7258050</v>
      </c>
      <c r="AJ25" s="26">
        <v>72580.5</v>
      </c>
      <c r="AK25" s="2">
        <v>725.80499999999995</v>
      </c>
      <c r="AL25" s="2">
        <v>7.2580499999999999</v>
      </c>
      <c r="AM25" s="2">
        <f>W25*X25</f>
        <v>11250</v>
      </c>
      <c r="AN25" s="2">
        <v>78.125</v>
      </c>
      <c r="AO25" s="76">
        <v>7.2580500000000006E-2</v>
      </c>
      <c r="AP25" s="309">
        <v>7.2580500000000005E-4</v>
      </c>
      <c r="AQ25" s="362">
        <v>1.7935E-3</v>
      </c>
      <c r="AR25" s="238" t="s">
        <v>8</v>
      </c>
      <c r="AS25" s="355">
        <f t="shared" si="1"/>
        <v>1.6882306542822527E-5</v>
      </c>
      <c r="AT25" s="217">
        <f t="shared" si="2"/>
        <v>0</v>
      </c>
      <c r="AU25" s="73">
        <f t="shared" si="3"/>
        <v>0</v>
      </c>
      <c r="AV25" s="73">
        <f t="shared" si="4"/>
        <v>0</v>
      </c>
      <c r="AW25" s="73">
        <f t="shared" si="5"/>
        <v>0</v>
      </c>
      <c r="AX25" s="73">
        <f t="shared" si="6"/>
        <v>0</v>
      </c>
      <c r="AY25" s="73">
        <f t="shared" si="7"/>
        <v>0</v>
      </c>
      <c r="AZ25" s="73">
        <f t="shared" si="8"/>
        <v>0</v>
      </c>
      <c r="BA25" s="230">
        <f t="shared" si="9"/>
        <v>0</v>
      </c>
      <c r="BB25" s="139">
        <f t="shared" si="10"/>
        <v>0</v>
      </c>
      <c r="BC25" s="80">
        <f t="shared" si="11"/>
        <v>0</v>
      </c>
      <c r="BD25" s="80">
        <f t="shared" si="12"/>
        <v>0</v>
      </c>
      <c r="BE25" s="80">
        <f t="shared" si="13"/>
        <v>0</v>
      </c>
      <c r="BF25" s="80">
        <f t="shared" si="14"/>
        <v>0</v>
      </c>
      <c r="BG25" s="80">
        <f t="shared" si="15"/>
        <v>0</v>
      </c>
      <c r="BH25" s="80">
        <f t="shared" si="16"/>
        <v>0</v>
      </c>
      <c r="BI25" s="80">
        <f t="shared" si="17"/>
        <v>0</v>
      </c>
      <c r="BJ25" s="96">
        <f t="shared" si="18"/>
        <v>0</v>
      </c>
    </row>
    <row r="26" spans="1:62" x14ac:dyDescent="0.25">
      <c r="A26" s="1">
        <v>15</v>
      </c>
      <c r="B26" s="1">
        <v>7.5</v>
      </c>
      <c r="C26" s="54">
        <v>16.7705098312484</v>
      </c>
      <c r="D26" s="211" t="s">
        <v>4</v>
      </c>
      <c r="E26" s="118">
        <v>4500</v>
      </c>
      <c r="F26" s="1">
        <v>147.63800000000001</v>
      </c>
      <c r="G26" s="1">
        <v>1771.65</v>
      </c>
      <c r="H26" s="1">
        <v>45</v>
      </c>
      <c r="I26" s="326">
        <v>2.7961699999999999E-2</v>
      </c>
      <c r="J26" s="1">
        <v>45000</v>
      </c>
      <c r="K26" s="1">
        <v>49.212600000000002</v>
      </c>
      <c r="L26" s="119">
        <v>45000000</v>
      </c>
      <c r="M26" s="118">
        <v>112500000</v>
      </c>
      <c r="N26" s="1">
        <v>1125000</v>
      </c>
      <c r="O26" s="1">
        <v>11250</v>
      </c>
      <c r="P26" s="1">
        <v>112.5</v>
      </c>
      <c r="Q26" s="1">
        <v>174375</v>
      </c>
      <c r="R26" s="1">
        <v>1210.94</v>
      </c>
      <c r="S26" s="349">
        <v>1.125</v>
      </c>
      <c r="T26" s="348">
        <v>1.125E-2</v>
      </c>
      <c r="U26" s="317">
        <v>2.7799399999999998E-2</v>
      </c>
      <c r="V26" s="143">
        <v>4</v>
      </c>
      <c r="W26" s="2">
        <v>15</v>
      </c>
      <c r="X26" s="2">
        <v>7.5</v>
      </c>
      <c r="Y26" s="2">
        <v>16.770510000000002</v>
      </c>
      <c r="Z26" s="19" t="s">
        <v>4</v>
      </c>
      <c r="AA26" s="15">
        <v>4500</v>
      </c>
      <c r="AB26" s="2">
        <v>147.63800000000001</v>
      </c>
      <c r="AC26" s="2">
        <v>1771.65</v>
      </c>
      <c r="AD26" s="2">
        <f>2*(W26+X26)</f>
        <v>45</v>
      </c>
      <c r="AE26" s="2">
        <v>2.7961699999999999E-2</v>
      </c>
      <c r="AF26" s="2">
        <v>45000</v>
      </c>
      <c r="AG26" s="2">
        <v>49.212600000000002</v>
      </c>
      <c r="AH26" s="16">
        <v>45000000</v>
      </c>
      <c r="AI26" s="15">
        <v>112500000</v>
      </c>
      <c r="AJ26" s="2">
        <v>1125000</v>
      </c>
      <c r="AK26" s="2">
        <v>11250</v>
      </c>
      <c r="AL26" s="2">
        <f>W26*X26</f>
        <v>112.5</v>
      </c>
      <c r="AM26" s="2">
        <v>174375</v>
      </c>
      <c r="AN26" s="2">
        <v>1210.94</v>
      </c>
      <c r="AO26" s="2">
        <v>1.125</v>
      </c>
      <c r="AP26" s="2">
        <v>1.125E-2</v>
      </c>
      <c r="AQ26" s="42">
        <v>2.7799399999999998E-2</v>
      </c>
      <c r="AR26" s="238" t="s">
        <v>4</v>
      </c>
      <c r="AS26" s="355">
        <f t="shared" si="1"/>
        <v>-1.0062401270878083E-6</v>
      </c>
      <c r="AT26" s="217">
        <f t="shared" si="2"/>
        <v>0</v>
      </c>
      <c r="AU26" s="73">
        <f t="shared" si="3"/>
        <v>0</v>
      </c>
      <c r="AV26" s="73">
        <f t="shared" si="4"/>
        <v>0</v>
      </c>
      <c r="AW26" s="73">
        <f t="shared" si="5"/>
        <v>0</v>
      </c>
      <c r="AX26" s="73">
        <f t="shared" si="6"/>
        <v>0</v>
      </c>
      <c r="AY26" s="73">
        <f t="shared" si="7"/>
        <v>0</v>
      </c>
      <c r="AZ26" s="73">
        <f t="shared" si="8"/>
        <v>0</v>
      </c>
      <c r="BA26" s="230">
        <f t="shared" si="9"/>
        <v>0</v>
      </c>
      <c r="BB26" s="139">
        <f t="shared" si="10"/>
        <v>0</v>
      </c>
      <c r="BC26" s="80">
        <f t="shared" si="11"/>
        <v>0</v>
      </c>
      <c r="BD26" s="80">
        <f t="shared" si="12"/>
        <v>0</v>
      </c>
      <c r="BE26" s="80">
        <f t="shared" si="13"/>
        <v>0</v>
      </c>
      <c r="BF26" s="80">
        <f t="shared" si="14"/>
        <v>0</v>
      </c>
      <c r="BG26" s="80">
        <f t="shared" si="15"/>
        <v>0</v>
      </c>
      <c r="BH26" s="80">
        <f t="shared" si="16"/>
        <v>0</v>
      </c>
      <c r="BI26" s="80">
        <f t="shared" si="17"/>
        <v>0</v>
      </c>
      <c r="BJ26" s="96">
        <f t="shared" si="18"/>
        <v>0</v>
      </c>
    </row>
    <row r="27" spans="1:62" x14ac:dyDescent="0.25">
      <c r="A27" s="118">
        <v>3.75</v>
      </c>
      <c r="B27" s="56">
        <v>7.5</v>
      </c>
      <c r="C27" s="346">
        <v>8.3852549156242109</v>
      </c>
      <c r="D27" s="211" t="s">
        <v>10</v>
      </c>
      <c r="E27" s="120">
        <v>3621024</v>
      </c>
      <c r="F27" s="1">
        <v>118800</v>
      </c>
      <c r="G27" s="1">
        <v>1425600</v>
      </c>
      <c r="H27" s="1">
        <v>36210.199999999997</v>
      </c>
      <c r="I27" s="326">
        <v>22.5</v>
      </c>
      <c r="J27" s="1">
        <v>36210240</v>
      </c>
      <c r="K27" s="1">
        <v>39600</v>
      </c>
      <c r="L27" s="119">
        <v>36210240000</v>
      </c>
      <c r="M27" s="120">
        <v>72843415603200</v>
      </c>
      <c r="N27" s="59">
        <v>728434156032</v>
      </c>
      <c r="O27" s="1">
        <v>7284341560</v>
      </c>
      <c r="P27" s="1">
        <v>72843416</v>
      </c>
      <c r="Q27" s="1">
        <v>112907520000</v>
      </c>
      <c r="R27" s="1">
        <v>784080000</v>
      </c>
      <c r="S27" s="349">
        <v>728434</v>
      </c>
      <c r="T27" s="348">
        <v>7284.34</v>
      </c>
      <c r="U27" s="164">
        <v>18000</v>
      </c>
      <c r="V27" s="143">
        <v>5</v>
      </c>
      <c r="W27" s="15">
        <v>3.75</v>
      </c>
      <c r="X27" s="34">
        <v>7.5</v>
      </c>
      <c r="Y27" s="2">
        <v>8.3852600000000006</v>
      </c>
      <c r="Z27" s="19" t="s">
        <v>10</v>
      </c>
      <c r="AA27" s="15">
        <v>3621024</v>
      </c>
      <c r="AB27" s="2">
        <v>118800</v>
      </c>
      <c r="AC27" s="2">
        <v>1425600</v>
      </c>
      <c r="AD27" s="2">
        <v>36210.199999999997</v>
      </c>
      <c r="AE27" s="2">
        <f>2*(W27+X27)</f>
        <v>22.5</v>
      </c>
      <c r="AF27" s="2">
        <v>36210240</v>
      </c>
      <c r="AG27" s="2">
        <v>39600</v>
      </c>
      <c r="AH27" s="16">
        <v>36210240000</v>
      </c>
      <c r="AI27" s="28">
        <v>72843054000000</v>
      </c>
      <c r="AJ27" s="2">
        <v>728430540000</v>
      </c>
      <c r="AK27" s="2">
        <v>7284305400</v>
      </c>
      <c r="AL27" s="2">
        <f>W27*X27*1609.34*1609.34</f>
        <v>72843053.501249999</v>
      </c>
      <c r="AM27" s="29">
        <v>112906959514</v>
      </c>
      <c r="AN27" s="2">
        <v>784076108</v>
      </c>
      <c r="AO27" s="2">
        <v>728431</v>
      </c>
      <c r="AP27" s="2">
        <v>7284.31</v>
      </c>
      <c r="AQ27" s="42">
        <v>17999.900000000001</v>
      </c>
      <c r="AR27" s="238" t="s">
        <v>10</v>
      </c>
      <c r="AS27" s="355">
        <f t="shared" si="1"/>
        <v>-6.0634682642174561E-5</v>
      </c>
      <c r="AT27" s="217">
        <f t="shared" si="2"/>
        <v>0</v>
      </c>
      <c r="AU27" s="73">
        <f t="shared" si="3"/>
        <v>0</v>
      </c>
      <c r="AV27" s="73">
        <f t="shared" si="4"/>
        <v>0</v>
      </c>
      <c r="AW27" s="73">
        <f t="shared" si="5"/>
        <v>0</v>
      </c>
      <c r="AX27" s="73">
        <f t="shared" si="6"/>
        <v>0</v>
      </c>
      <c r="AY27" s="73">
        <f t="shared" si="7"/>
        <v>0</v>
      </c>
      <c r="AZ27" s="73">
        <f t="shared" si="8"/>
        <v>0</v>
      </c>
      <c r="BA27" s="230">
        <f t="shared" si="9"/>
        <v>0</v>
      </c>
      <c r="BB27" s="139">
        <f t="shared" si="10"/>
        <v>4.9641411245607574E-4</v>
      </c>
      <c r="BC27" s="80">
        <f t="shared" si="11"/>
        <v>4.9641411245607574E-4</v>
      </c>
      <c r="BD27" s="80">
        <f t="shared" si="12"/>
        <v>4.9640971944970897E-4</v>
      </c>
      <c r="BE27" s="80">
        <f t="shared" si="13"/>
        <v>4.9764353988122087E-4</v>
      </c>
      <c r="BF27" s="80">
        <f t="shared" si="14"/>
        <v>4.9641404073989077E-4</v>
      </c>
      <c r="BG27" s="80">
        <f t="shared" si="15"/>
        <v>4.9638038454297606E-4</v>
      </c>
      <c r="BH27" s="80">
        <f t="shared" si="16"/>
        <v>4.1184408681124225E-4</v>
      </c>
      <c r="BI27" s="80">
        <f t="shared" si="17"/>
        <v>4.1184408680774624E-4</v>
      </c>
      <c r="BJ27" s="96">
        <f t="shared" si="18"/>
        <v>5.5555864198437099E-4</v>
      </c>
    </row>
    <row r="28" spans="1:62" x14ac:dyDescent="0.25">
      <c r="A28" s="118">
        <v>7.5</v>
      </c>
      <c r="B28" s="56">
        <v>7.5</v>
      </c>
      <c r="C28" s="54">
        <v>10.606601717798201</v>
      </c>
      <c r="D28" s="211" t="s">
        <v>6</v>
      </c>
      <c r="E28" s="118">
        <v>3</v>
      </c>
      <c r="F28" s="1">
        <v>9.8425200000000004E-2</v>
      </c>
      <c r="G28" s="1">
        <v>1.1811</v>
      </c>
      <c r="H28" s="1">
        <v>0.03</v>
      </c>
      <c r="I28" s="371">
        <v>1.8641135767119999E-5</v>
      </c>
      <c r="J28" s="1">
        <v>30</v>
      </c>
      <c r="K28" s="1">
        <v>3.2808400000000001E-2</v>
      </c>
      <c r="L28" s="119">
        <v>30000</v>
      </c>
      <c r="M28" s="127">
        <v>56.25</v>
      </c>
      <c r="N28" s="78">
        <v>0.5625</v>
      </c>
      <c r="O28" s="78">
        <v>5.6249999999999998E-3</v>
      </c>
      <c r="P28" s="326">
        <v>5.6249999999999998E-5</v>
      </c>
      <c r="Q28" s="78">
        <v>8.7187700000000007E-2</v>
      </c>
      <c r="R28" s="326">
        <v>6.0546999999999999E-4</v>
      </c>
      <c r="S28" s="327">
        <v>5.6250000000000001E-7</v>
      </c>
      <c r="T28" s="53">
        <v>5.6249999999999999E-9</v>
      </c>
      <c r="U28" s="328">
        <v>1.38996777075281E-8</v>
      </c>
      <c r="V28" s="143">
        <v>6</v>
      </c>
      <c r="W28" s="15">
        <v>7.5</v>
      </c>
      <c r="X28" s="34">
        <v>7.5</v>
      </c>
      <c r="Y28" s="2">
        <v>10.60661</v>
      </c>
      <c r="Z28" s="19" t="s">
        <v>6</v>
      </c>
      <c r="AA28" s="15">
        <v>3</v>
      </c>
      <c r="AB28" s="2">
        <v>9.8425200000000004E-2</v>
      </c>
      <c r="AC28" s="2">
        <v>1.1811</v>
      </c>
      <c r="AD28" s="2">
        <v>0.03</v>
      </c>
      <c r="AE28" s="33">
        <v>1.8641135767119999E-5</v>
      </c>
      <c r="AF28" s="2">
        <f>2*(W28+X28)</f>
        <v>30</v>
      </c>
      <c r="AG28" s="2">
        <v>3.2808400000000001E-2</v>
      </c>
      <c r="AH28" s="16">
        <v>30000</v>
      </c>
      <c r="AI28" s="15">
        <f>W28*X28</f>
        <v>56.25</v>
      </c>
      <c r="AJ28" s="2">
        <v>0.5625</v>
      </c>
      <c r="AK28" s="2">
        <v>5.6249999999999998E-3</v>
      </c>
      <c r="AL28" s="23">
        <v>5.6249999999999998E-5</v>
      </c>
      <c r="AM28" s="2">
        <v>8.7187700000000007E-2</v>
      </c>
      <c r="AN28" s="309">
        <v>6.0546999999999999E-4</v>
      </c>
      <c r="AO28" s="323">
        <v>5.6250000000000001E-7</v>
      </c>
      <c r="AP28" s="360">
        <v>5.6249999999999999E-9</v>
      </c>
      <c r="AQ28" s="363">
        <v>1.38996777075281E-8</v>
      </c>
      <c r="AR28" s="238" t="s">
        <v>6</v>
      </c>
      <c r="AS28" s="355">
        <f t="shared" si="1"/>
        <v>-7.8085286430330133E-5</v>
      </c>
      <c r="AT28" s="217">
        <f t="shared" si="2"/>
        <v>0</v>
      </c>
      <c r="AU28" s="73">
        <f t="shared" si="3"/>
        <v>0</v>
      </c>
      <c r="AV28" s="73">
        <f t="shared" si="4"/>
        <v>0</v>
      </c>
      <c r="AW28" s="73">
        <f t="shared" si="5"/>
        <v>0</v>
      </c>
      <c r="AX28" s="73">
        <f t="shared" si="6"/>
        <v>0</v>
      </c>
      <c r="AY28" s="73">
        <f t="shared" si="7"/>
        <v>0</v>
      </c>
      <c r="AZ28" s="73">
        <f t="shared" si="8"/>
        <v>0</v>
      </c>
      <c r="BA28" s="230">
        <f t="shared" si="9"/>
        <v>0</v>
      </c>
      <c r="BB28" s="139">
        <f t="shared" si="10"/>
        <v>0</v>
      </c>
      <c r="BC28" s="80">
        <f t="shared" si="11"/>
        <v>0</v>
      </c>
      <c r="BD28" s="80">
        <f t="shared" si="12"/>
        <v>0</v>
      </c>
      <c r="BE28" s="80">
        <f t="shared" si="13"/>
        <v>0</v>
      </c>
      <c r="BF28" s="80">
        <f t="shared" si="14"/>
        <v>0</v>
      </c>
      <c r="BG28" s="80">
        <f t="shared" si="15"/>
        <v>0</v>
      </c>
      <c r="BH28" s="80">
        <f t="shared" si="16"/>
        <v>0</v>
      </c>
      <c r="BI28" s="80">
        <f t="shared" si="17"/>
        <v>0</v>
      </c>
      <c r="BJ28" s="96">
        <f t="shared" si="18"/>
        <v>0</v>
      </c>
    </row>
    <row r="29" spans="1:62" x14ac:dyDescent="0.25">
      <c r="A29" s="118">
        <v>120</v>
      </c>
      <c r="B29" s="56">
        <v>80</v>
      </c>
      <c r="C29" s="52">
        <v>144.22205101855999</v>
      </c>
      <c r="D29" s="211" t="s">
        <v>7</v>
      </c>
      <c r="E29" s="118">
        <v>36576</v>
      </c>
      <c r="F29" s="1">
        <v>1200</v>
      </c>
      <c r="G29" s="1">
        <v>14400</v>
      </c>
      <c r="H29" s="1">
        <v>365.76</v>
      </c>
      <c r="I29" s="326">
        <v>0.227273</v>
      </c>
      <c r="J29" s="1">
        <v>365760</v>
      </c>
      <c r="K29" s="1">
        <v>400</v>
      </c>
      <c r="L29" s="119">
        <v>365760000</v>
      </c>
      <c r="M29" s="118">
        <v>8026822656</v>
      </c>
      <c r="N29" s="1">
        <v>80268227</v>
      </c>
      <c r="O29" s="1">
        <v>802682</v>
      </c>
      <c r="P29" s="1">
        <v>8026.82</v>
      </c>
      <c r="Q29" s="1">
        <v>12441600</v>
      </c>
      <c r="R29" s="1">
        <v>86400</v>
      </c>
      <c r="S29" s="349">
        <v>80.268199999999993</v>
      </c>
      <c r="T29" s="348">
        <v>0.80268200000000001</v>
      </c>
      <c r="U29" s="372">
        <v>1.9834700000000001</v>
      </c>
      <c r="V29" s="143">
        <v>7</v>
      </c>
      <c r="W29" s="15">
        <v>120</v>
      </c>
      <c r="X29" s="34">
        <v>80</v>
      </c>
      <c r="Y29" s="2">
        <v>144.22</v>
      </c>
      <c r="Z29" s="19" t="s">
        <v>7</v>
      </c>
      <c r="AA29" s="15">
        <v>36576</v>
      </c>
      <c r="AB29" s="2">
        <v>1200</v>
      </c>
      <c r="AC29" s="2">
        <v>14400</v>
      </c>
      <c r="AD29" s="2">
        <v>365.76</v>
      </c>
      <c r="AE29" s="2">
        <v>0.227273</v>
      </c>
      <c r="AF29" s="2">
        <v>365760</v>
      </c>
      <c r="AG29" s="2">
        <f>2*(W29+X29)</f>
        <v>400</v>
      </c>
      <c r="AH29" s="16">
        <v>365760000</v>
      </c>
      <c r="AI29" s="15">
        <v>8026820000</v>
      </c>
      <c r="AJ29" s="2">
        <v>80268200</v>
      </c>
      <c r="AK29" s="2">
        <v>802682</v>
      </c>
      <c r="AL29" s="2">
        <f>W29*X29*0.9144*0.9144</f>
        <v>8026.8226559999994</v>
      </c>
      <c r="AM29" s="2">
        <v>12441596</v>
      </c>
      <c r="AN29" s="2">
        <v>86400</v>
      </c>
      <c r="AO29" s="2">
        <v>80.268199999999993</v>
      </c>
      <c r="AP29" s="2">
        <v>0.80268200000000001</v>
      </c>
      <c r="AQ29" s="42">
        <v>1.9834700000000001</v>
      </c>
      <c r="AR29" s="238" t="s">
        <v>7</v>
      </c>
      <c r="AS29" s="355">
        <f t="shared" si="1"/>
        <v>1.4221457218111285E-3</v>
      </c>
      <c r="AT29" s="217">
        <f t="shared" si="2"/>
        <v>0</v>
      </c>
      <c r="AU29" s="73">
        <f t="shared" si="3"/>
        <v>0</v>
      </c>
      <c r="AV29" s="73">
        <f t="shared" si="4"/>
        <v>0</v>
      </c>
      <c r="AW29" s="73">
        <f t="shared" si="5"/>
        <v>0</v>
      </c>
      <c r="AX29" s="73">
        <f t="shared" si="6"/>
        <v>0</v>
      </c>
      <c r="AY29" s="73">
        <f t="shared" si="7"/>
        <v>0</v>
      </c>
      <c r="AZ29" s="73">
        <f t="shared" si="8"/>
        <v>0</v>
      </c>
      <c r="BA29" s="230">
        <f t="shared" si="9"/>
        <v>0</v>
      </c>
      <c r="BB29" s="139">
        <f t="shared" si="10"/>
        <v>3.3089068896524405E-5</v>
      </c>
      <c r="BC29" s="80">
        <f t="shared" si="11"/>
        <v>3.3637231182460799E-5</v>
      </c>
      <c r="BD29" s="80">
        <f t="shared" si="12"/>
        <v>0</v>
      </c>
      <c r="BE29" s="80">
        <f t="shared" si="13"/>
        <v>-3.3089057943436237E-5</v>
      </c>
      <c r="BF29" s="80">
        <f t="shared" si="14"/>
        <v>3.2150216097677501E-5</v>
      </c>
      <c r="BG29" s="80">
        <f t="shared" si="15"/>
        <v>0</v>
      </c>
      <c r="BH29" s="80">
        <f t="shared" si="16"/>
        <v>0</v>
      </c>
      <c r="BI29" s="80">
        <f t="shared" si="17"/>
        <v>0</v>
      </c>
      <c r="BJ29" s="96">
        <f t="shared" si="18"/>
        <v>0</v>
      </c>
    </row>
    <row r="30" spans="1:62" ht="15.75" thickBot="1" x14ac:dyDescent="0.3">
      <c r="A30" s="121">
        <v>96</v>
      </c>
      <c r="B30" s="61">
        <v>64</v>
      </c>
      <c r="C30" s="62">
        <v>115.37764081484799</v>
      </c>
      <c r="D30" s="212" t="s">
        <v>20</v>
      </c>
      <c r="E30" s="121">
        <v>3.2000000000000001E-2</v>
      </c>
      <c r="F30" s="335">
        <v>1.0498700000000001E-3</v>
      </c>
      <c r="G30" s="55">
        <v>1.2598399999999999E-2</v>
      </c>
      <c r="H30" s="366">
        <v>3.2000000000000003E-4</v>
      </c>
      <c r="I30" s="353">
        <v>1.9883878151594701E-7</v>
      </c>
      <c r="J30" s="373">
        <v>0.32</v>
      </c>
      <c r="K30" s="329">
        <v>3.4995600000000001E-4</v>
      </c>
      <c r="L30" s="122">
        <v>320</v>
      </c>
      <c r="M30" s="334">
        <v>6.1440000000000002E-3</v>
      </c>
      <c r="N30" s="335">
        <v>6.1439999999999995E-5</v>
      </c>
      <c r="O30" s="336">
        <v>6.144E-7</v>
      </c>
      <c r="P30" s="62">
        <v>6.1440000000000003E-9</v>
      </c>
      <c r="Q30" s="333">
        <v>9.5232190464380892E-6</v>
      </c>
      <c r="R30" s="67">
        <v>6.6133465600264503E-8</v>
      </c>
      <c r="S30" s="332">
        <v>6.1439999999999997E-11</v>
      </c>
      <c r="T30" s="330">
        <v>6.1439999999999999E-13</v>
      </c>
      <c r="U30" s="331">
        <v>1.5182154637342601E-12</v>
      </c>
      <c r="V30" s="144">
        <v>8</v>
      </c>
      <c r="W30" s="17">
        <v>96</v>
      </c>
      <c r="X30" s="281">
        <v>64</v>
      </c>
      <c r="Y30" s="9">
        <v>115.38</v>
      </c>
      <c r="Z30" s="20" t="s">
        <v>20</v>
      </c>
      <c r="AA30" s="17">
        <v>3.2000000000000001E-2</v>
      </c>
      <c r="AB30" s="357">
        <v>1.0498700000000001E-3</v>
      </c>
      <c r="AC30" s="9">
        <v>1.2598399999999999E-2</v>
      </c>
      <c r="AD30" s="303">
        <v>3.2000000000000003E-4</v>
      </c>
      <c r="AE30" s="320">
        <v>1.9883878151594701E-7</v>
      </c>
      <c r="AF30" s="9">
        <v>0.32</v>
      </c>
      <c r="AG30" s="318">
        <v>3.4995600000000001E-4</v>
      </c>
      <c r="AH30" s="10">
        <f>2*(W30+X30)</f>
        <v>320</v>
      </c>
      <c r="AI30" s="17">
        <f>W30*X30/1000/1000</f>
        <v>6.1440000000000002E-3</v>
      </c>
      <c r="AJ30" s="39">
        <v>6.1439999999999995E-5</v>
      </c>
      <c r="AK30" s="39">
        <v>6.144E-7</v>
      </c>
      <c r="AL30" s="39">
        <v>6.1440000000000003E-9</v>
      </c>
      <c r="AM30" s="40">
        <v>9.5232190464380892E-6</v>
      </c>
      <c r="AN30" s="40">
        <v>6.6133465600264503E-8</v>
      </c>
      <c r="AO30" s="39">
        <v>6.1439999999999997E-11</v>
      </c>
      <c r="AP30" s="39">
        <v>6.1439999999999999E-13</v>
      </c>
      <c r="AQ30" s="45">
        <v>1.5182154637342601E-12</v>
      </c>
      <c r="AR30" s="239" t="s">
        <v>20</v>
      </c>
      <c r="AS30" s="356">
        <f t="shared" si="1"/>
        <v>-2.0447089200922139E-3</v>
      </c>
      <c r="AT30" s="218">
        <f t="shared" si="2"/>
        <v>0</v>
      </c>
      <c r="AU30" s="97">
        <f t="shared" si="3"/>
        <v>0</v>
      </c>
      <c r="AV30" s="97">
        <f t="shared" si="4"/>
        <v>0</v>
      </c>
      <c r="AW30" s="97">
        <f t="shared" si="5"/>
        <v>0</v>
      </c>
      <c r="AX30" s="97">
        <f t="shared" si="6"/>
        <v>0</v>
      </c>
      <c r="AY30" s="97">
        <f t="shared" si="7"/>
        <v>0</v>
      </c>
      <c r="AZ30" s="97">
        <f t="shared" si="8"/>
        <v>0</v>
      </c>
      <c r="BA30" s="231">
        <f t="shared" si="9"/>
        <v>0</v>
      </c>
      <c r="BB30" s="140">
        <f t="shared" si="10"/>
        <v>0</v>
      </c>
      <c r="BC30" s="100">
        <f t="shared" si="11"/>
        <v>0</v>
      </c>
      <c r="BD30" s="100">
        <f t="shared" si="12"/>
        <v>0</v>
      </c>
      <c r="BE30" s="100">
        <f t="shared" si="13"/>
        <v>0</v>
      </c>
      <c r="BF30" s="100">
        <f t="shared" si="14"/>
        <v>0</v>
      </c>
      <c r="BG30" s="100">
        <f t="shared" si="15"/>
        <v>0</v>
      </c>
      <c r="BH30" s="100">
        <f t="shared" si="16"/>
        <v>0</v>
      </c>
      <c r="BI30" s="100">
        <f t="shared" si="17"/>
        <v>0</v>
      </c>
      <c r="BJ30" s="102">
        <f t="shared" si="18"/>
        <v>0</v>
      </c>
    </row>
    <row r="32" spans="1:62" x14ac:dyDescent="0.25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25"/>
      <c r="S32" s="625"/>
      <c r="T32" s="625"/>
      <c r="U32" s="625"/>
      <c r="V32" s="625"/>
      <c r="W32" s="625"/>
      <c r="X32" s="625"/>
      <c r="Y32" s="625"/>
      <c r="Z32" s="625"/>
      <c r="AA32" s="625"/>
      <c r="AB32" s="625"/>
      <c r="AC32" s="625"/>
      <c r="AD32" s="625"/>
      <c r="AE32" s="625"/>
      <c r="AF32" s="625"/>
      <c r="AG32" s="625"/>
      <c r="AH32" s="625"/>
      <c r="AI32" s="625"/>
      <c r="AJ32" s="625"/>
      <c r="AK32" s="625"/>
      <c r="AL32" s="625"/>
      <c r="AM32" s="625"/>
    </row>
    <row r="33" spans="1:39" ht="18.75" x14ac:dyDescent="0.3">
      <c r="A33" s="625"/>
      <c r="B33" s="625"/>
      <c r="C33" s="633">
        <v>1</v>
      </c>
      <c r="D33" s="625"/>
      <c r="E33" s="625"/>
      <c r="F33" s="625"/>
      <c r="G33" s="625"/>
      <c r="H33" s="632"/>
      <c r="I33" s="634">
        <v>2</v>
      </c>
      <c r="J33" s="625"/>
      <c r="K33" s="625"/>
      <c r="L33" s="625"/>
      <c r="M33" s="633"/>
      <c r="N33" s="625"/>
      <c r="O33" s="634">
        <v>3</v>
      </c>
      <c r="P33" s="625"/>
      <c r="Q33" s="625"/>
      <c r="R33" s="625"/>
      <c r="S33" s="633">
        <v>4</v>
      </c>
      <c r="T33" s="625"/>
      <c r="U33" s="625"/>
      <c r="V33" s="625"/>
      <c r="W33" s="635">
        <v>5</v>
      </c>
      <c r="X33" s="626"/>
      <c r="Y33" s="627"/>
      <c r="Z33" s="625"/>
      <c r="AA33" s="625"/>
      <c r="AB33" s="633">
        <v>6</v>
      </c>
      <c r="AC33" s="632"/>
      <c r="AD33" s="625"/>
      <c r="AE33" s="625"/>
      <c r="AF33" s="625"/>
      <c r="AG33" s="633">
        <v>7</v>
      </c>
      <c r="AH33" s="632"/>
      <c r="AI33" s="625"/>
      <c r="AJ33" s="625"/>
      <c r="AK33" s="632">
        <v>8</v>
      </c>
      <c r="AL33" s="632"/>
      <c r="AM33" s="625"/>
    </row>
    <row r="34" spans="1:39" ht="18.75" x14ac:dyDescent="0.3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25"/>
      <c r="S34" s="625"/>
      <c r="T34" s="625"/>
      <c r="U34" s="625"/>
      <c r="V34" s="625"/>
      <c r="W34" s="625"/>
      <c r="X34" s="625"/>
      <c r="Y34" s="625"/>
      <c r="Z34" s="625"/>
      <c r="AA34" s="625"/>
      <c r="AB34" s="625"/>
      <c r="AC34" s="632"/>
      <c r="AD34" s="625"/>
      <c r="AE34" s="625"/>
      <c r="AF34" s="625"/>
      <c r="AG34" s="625"/>
      <c r="AH34" s="625"/>
      <c r="AI34" s="625"/>
      <c r="AJ34" s="625"/>
      <c r="AK34" s="625"/>
      <c r="AL34" s="625"/>
      <c r="AM34" s="625"/>
    </row>
    <row r="35" spans="1:39" x14ac:dyDescent="0.25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25"/>
      <c r="S35" s="625"/>
      <c r="T35" s="625"/>
      <c r="U35" s="625"/>
      <c r="V35" s="625"/>
      <c r="W35" s="625"/>
      <c r="X35" s="625"/>
      <c r="Y35" s="625"/>
      <c r="Z35" s="625"/>
      <c r="AA35" s="625"/>
      <c r="AB35" s="625"/>
      <c r="AC35" s="625"/>
      <c r="AD35" s="625"/>
      <c r="AE35" s="625"/>
      <c r="AF35" s="625"/>
      <c r="AG35" s="625"/>
      <c r="AH35" s="625"/>
      <c r="AI35" s="625"/>
      <c r="AJ35" s="625"/>
      <c r="AK35" s="625"/>
      <c r="AL35" s="625"/>
      <c r="AM35" s="625"/>
    </row>
    <row r="36" spans="1:39" x14ac:dyDescent="0.25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25"/>
      <c r="S36" s="625"/>
      <c r="T36" s="625"/>
      <c r="U36" s="625"/>
      <c r="V36" s="625"/>
      <c r="W36" s="625"/>
      <c r="X36" s="625"/>
      <c r="Y36" s="625"/>
      <c r="Z36" s="625"/>
      <c r="AA36" s="625"/>
      <c r="AB36" s="625"/>
      <c r="AC36" s="625"/>
      <c r="AD36" s="625"/>
      <c r="AE36" s="625"/>
      <c r="AF36" s="625"/>
      <c r="AG36" s="625"/>
      <c r="AH36" s="625"/>
      <c r="AI36" s="625"/>
      <c r="AJ36" s="625"/>
      <c r="AK36" s="625"/>
      <c r="AL36" s="625"/>
      <c r="AM36" s="625"/>
    </row>
    <row r="37" spans="1:39" x14ac:dyDescent="0.25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25"/>
      <c r="S37" s="625"/>
      <c r="T37" s="625"/>
      <c r="U37" s="625"/>
      <c r="V37" s="625"/>
      <c r="W37" s="625"/>
      <c r="X37" s="625"/>
      <c r="Y37" s="625"/>
      <c r="Z37" s="625"/>
      <c r="AA37" s="625"/>
      <c r="AB37" s="625"/>
      <c r="AC37" s="625"/>
      <c r="AD37" s="625"/>
      <c r="AE37" s="625"/>
      <c r="AF37" s="625"/>
      <c r="AG37" s="625"/>
      <c r="AH37" s="625"/>
      <c r="AI37" s="625"/>
      <c r="AJ37" s="625"/>
      <c r="AK37" s="625"/>
      <c r="AL37" s="625"/>
      <c r="AM37" s="625"/>
    </row>
    <row r="38" spans="1:39" x14ac:dyDescent="0.25">
      <c r="A38" s="625"/>
      <c r="B38" s="625"/>
      <c r="C38" s="625"/>
      <c r="D38" s="625"/>
      <c r="E38" s="625"/>
      <c r="F38" s="625"/>
      <c r="G38" s="625"/>
      <c r="H38" s="625"/>
      <c r="I38" s="625"/>
      <c r="J38" s="625"/>
      <c r="K38" s="625"/>
      <c r="L38" s="625"/>
      <c r="M38" s="625"/>
      <c r="N38" s="625"/>
      <c r="O38" s="625"/>
      <c r="P38" s="625"/>
      <c r="Q38" s="625"/>
      <c r="R38" s="625"/>
      <c r="S38" s="625"/>
      <c r="T38" s="625"/>
      <c r="U38" s="625"/>
      <c r="V38" s="625"/>
      <c r="W38" s="625"/>
      <c r="X38" s="625"/>
      <c r="Y38" s="625"/>
      <c r="Z38" s="625"/>
      <c r="AA38" s="625"/>
      <c r="AB38" s="625"/>
      <c r="AC38" s="625"/>
      <c r="AD38" s="625"/>
      <c r="AE38" s="625"/>
      <c r="AF38" s="625"/>
      <c r="AG38" s="625"/>
      <c r="AH38" s="625"/>
      <c r="AI38" s="625"/>
      <c r="AJ38" s="625"/>
      <c r="AK38" s="625"/>
      <c r="AL38" s="625"/>
      <c r="AM38" s="625"/>
    </row>
    <row r="39" spans="1:39" x14ac:dyDescent="0.25">
      <c r="A39" s="625"/>
      <c r="B39" s="625"/>
      <c r="C39" s="625"/>
      <c r="D39" s="625"/>
      <c r="E39" s="625"/>
      <c r="F39" s="625"/>
      <c r="G39" s="625"/>
      <c r="H39" s="625"/>
      <c r="I39" s="625"/>
      <c r="J39" s="625"/>
      <c r="K39" s="625"/>
      <c r="L39" s="625"/>
      <c r="M39" s="625"/>
      <c r="N39" s="625"/>
      <c r="O39" s="625"/>
      <c r="P39" s="625"/>
      <c r="Q39" s="625"/>
      <c r="R39" s="625"/>
      <c r="S39" s="625"/>
      <c r="T39" s="625"/>
      <c r="U39" s="625"/>
      <c r="V39" s="625"/>
      <c r="W39" s="625"/>
      <c r="X39" s="625"/>
      <c r="Y39" s="625"/>
      <c r="Z39" s="625"/>
      <c r="AA39" s="625"/>
      <c r="AB39" s="625"/>
      <c r="AC39" s="625"/>
      <c r="AD39" s="625"/>
      <c r="AE39" s="625"/>
      <c r="AF39" s="625"/>
      <c r="AG39" s="625"/>
      <c r="AH39" s="625"/>
      <c r="AI39" s="625"/>
      <c r="AJ39" s="625"/>
      <c r="AK39" s="625"/>
      <c r="AL39" s="625"/>
      <c r="AM39" s="625"/>
    </row>
    <row r="40" spans="1:39" x14ac:dyDescent="0.25">
      <c r="A40" s="625"/>
      <c r="B40" s="625"/>
      <c r="C40" s="625"/>
      <c r="D40" s="625"/>
      <c r="E40" s="625"/>
      <c r="F40" s="625"/>
      <c r="G40" s="625"/>
      <c r="H40" s="625"/>
      <c r="I40" s="625"/>
      <c r="J40" s="625"/>
      <c r="K40" s="625"/>
      <c r="L40" s="625"/>
      <c r="M40" s="625"/>
      <c r="N40" s="625"/>
      <c r="O40" s="625"/>
      <c r="P40" s="625"/>
      <c r="Q40" s="625"/>
      <c r="R40" s="625"/>
      <c r="S40" s="625"/>
      <c r="T40" s="625"/>
      <c r="U40" s="625"/>
      <c r="V40" s="625"/>
      <c r="W40" s="625"/>
      <c r="X40" s="625"/>
      <c r="Y40" s="625"/>
      <c r="Z40" s="625"/>
      <c r="AA40" s="625"/>
      <c r="AB40" s="625"/>
      <c r="AC40" s="625"/>
      <c r="AD40" s="625"/>
      <c r="AE40" s="625"/>
      <c r="AF40" s="625"/>
      <c r="AG40" s="625"/>
      <c r="AH40" s="625"/>
      <c r="AI40" s="625"/>
      <c r="AJ40" s="625"/>
      <c r="AK40" s="625"/>
      <c r="AL40" s="625"/>
      <c r="AM40" s="625"/>
    </row>
    <row r="41" spans="1:39" x14ac:dyDescent="0.25">
      <c r="A41" s="625"/>
      <c r="B41" s="625"/>
      <c r="C41" s="625"/>
      <c r="D41" s="625"/>
      <c r="E41" s="625"/>
      <c r="F41" s="625"/>
      <c r="G41" s="625"/>
      <c r="H41" s="625"/>
      <c r="I41" s="625"/>
      <c r="J41" s="625"/>
      <c r="K41" s="625"/>
      <c r="L41" s="625"/>
      <c r="M41" s="625"/>
      <c r="N41" s="625"/>
      <c r="O41" s="625"/>
      <c r="P41" s="625"/>
      <c r="Q41" s="625"/>
      <c r="R41" s="625"/>
      <c r="S41" s="625"/>
      <c r="T41" s="625"/>
      <c r="U41" s="625"/>
      <c r="V41" s="625"/>
      <c r="W41" s="625"/>
      <c r="X41" s="625"/>
      <c r="Y41" s="625"/>
      <c r="Z41" s="625"/>
      <c r="AA41" s="625"/>
      <c r="AB41" s="625"/>
      <c r="AC41" s="625"/>
      <c r="AD41" s="625"/>
      <c r="AE41" s="625"/>
      <c r="AF41" s="625"/>
      <c r="AG41" s="625"/>
      <c r="AH41" s="625"/>
      <c r="AI41" s="625"/>
      <c r="AJ41" s="625"/>
      <c r="AK41" s="625"/>
      <c r="AL41" s="625"/>
      <c r="AM41" s="625"/>
    </row>
    <row r="42" spans="1:39" x14ac:dyDescent="0.25">
      <c r="A42" s="625"/>
      <c r="B42" s="625"/>
      <c r="C42" s="625"/>
      <c r="D42" s="625"/>
      <c r="E42" s="625"/>
      <c r="F42" s="625"/>
      <c r="G42" s="625"/>
      <c r="H42" s="625"/>
      <c r="I42" s="625"/>
      <c r="J42" s="625"/>
      <c r="K42" s="625"/>
      <c r="L42" s="625"/>
      <c r="M42" s="625"/>
      <c r="N42" s="625"/>
      <c r="O42" s="625"/>
      <c r="P42" s="625"/>
      <c r="Q42" s="625"/>
      <c r="R42" s="625"/>
      <c r="S42" s="625"/>
      <c r="T42" s="625"/>
      <c r="U42" s="625"/>
      <c r="V42" s="625"/>
      <c r="W42" s="625"/>
      <c r="X42" s="625"/>
      <c r="Y42" s="625"/>
      <c r="Z42" s="625"/>
      <c r="AA42" s="625"/>
      <c r="AB42" s="625"/>
      <c r="AC42" s="625"/>
      <c r="AD42" s="625"/>
      <c r="AE42" s="625"/>
      <c r="AF42" s="625"/>
      <c r="AG42" s="625"/>
      <c r="AH42" s="625"/>
      <c r="AI42" s="625"/>
      <c r="AJ42" s="625"/>
      <c r="AK42" s="625"/>
      <c r="AL42" s="625"/>
      <c r="AM42" s="625"/>
    </row>
    <row r="43" spans="1:39" x14ac:dyDescent="0.25">
      <c r="A43" s="625"/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25"/>
      <c r="S43" s="625"/>
      <c r="T43" s="625"/>
      <c r="U43" s="625"/>
      <c r="V43" s="625"/>
      <c r="W43" s="625"/>
      <c r="X43" s="625"/>
      <c r="Y43" s="625"/>
      <c r="Z43" s="625"/>
      <c r="AA43" s="625"/>
      <c r="AB43" s="625"/>
      <c r="AC43" s="625"/>
      <c r="AD43" s="625"/>
      <c r="AE43" s="625"/>
      <c r="AF43" s="625"/>
      <c r="AG43" s="625"/>
      <c r="AH43" s="625"/>
      <c r="AI43" s="625"/>
      <c r="AJ43" s="625"/>
      <c r="AK43" s="625"/>
      <c r="AL43" s="625"/>
      <c r="AM43" s="625"/>
    </row>
    <row r="44" spans="1:39" x14ac:dyDescent="0.25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25"/>
      <c r="S44" s="625"/>
      <c r="T44" s="625"/>
      <c r="U44" s="625"/>
      <c r="V44" s="625"/>
      <c r="W44" s="625"/>
      <c r="X44" s="625"/>
      <c r="Y44" s="625"/>
      <c r="Z44" s="625"/>
      <c r="AA44" s="625"/>
      <c r="AB44" s="625"/>
      <c r="AC44" s="625"/>
      <c r="AD44" s="625"/>
      <c r="AE44" s="625"/>
      <c r="AF44" s="625"/>
      <c r="AG44" s="625"/>
      <c r="AH44" s="625"/>
      <c r="AI44" s="625"/>
      <c r="AJ44" s="625"/>
      <c r="AK44" s="625"/>
      <c r="AL44" s="625"/>
      <c r="AM44" s="625"/>
    </row>
    <row r="45" spans="1:39" x14ac:dyDescent="0.25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25"/>
      <c r="S45" s="625"/>
      <c r="T45" s="625"/>
      <c r="U45" s="625"/>
      <c r="V45" s="625"/>
      <c r="W45" s="625"/>
      <c r="X45" s="625"/>
      <c r="Y45" s="625"/>
      <c r="Z45" s="625"/>
      <c r="AA45" s="625"/>
      <c r="AB45" s="625"/>
      <c r="AC45" s="625"/>
      <c r="AD45" s="625"/>
      <c r="AE45" s="625"/>
      <c r="AF45" s="625"/>
      <c r="AG45" s="625"/>
      <c r="AH45" s="625"/>
      <c r="AI45" s="625"/>
      <c r="AJ45" s="625"/>
      <c r="AK45" s="625"/>
      <c r="AL45" s="625"/>
      <c r="AM45" s="625"/>
    </row>
    <row r="46" spans="1:39" x14ac:dyDescent="0.25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25"/>
      <c r="S46" s="625"/>
      <c r="T46" s="625"/>
      <c r="U46" s="625"/>
      <c r="V46" s="625"/>
      <c r="W46" s="625"/>
      <c r="X46" s="625"/>
      <c r="Y46" s="625"/>
      <c r="Z46" s="625"/>
      <c r="AA46" s="625"/>
      <c r="AB46" s="625"/>
      <c r="AC46" s="625"/>
      <c r="AD46" s="625"/>
      <c r="AE46" s="625"/>
      <c r="AF46" s="625"/>
      <c r="AG46" s="625"/>
      <c r="AH46" s="625"/>
      <c r="AI46" s="625"/>
      <c r="AJ46" s="625"/>
      <c r="AK46" s="625"/>
      <c r="AL46" s="625"/>
      <c r="AM46" s="625"/>
    </row>
    <row r="47" spans="1:39" x14ac:dyDescent="0.25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25"/>
      <c r="S47" s="625"/>
      <c r="T47" s="625"/>
      <c r="U47" s="625"/>
      <c r="V47" s="625"/>
      <c r="W47" s="625"/>
      <c r="X47" s="625"/>
      <c r="Y47" s="625"/>
      <c r="Z47" s="625"/>
      <c r="AA47" s="625"/>
      <c r="AB47" s="625"/>
      <c r="AC47" s="625"/>
      <c r="AD47" s="625"/>
      <c r="AE47" s="625"/>
      <c r="AF47" s="625"/>
      <c r="AG47" s="625"/>
      <c r="AH47" s="625"/>
      <c r="AI47" s="625"/>
      <c r="AJ47" s="625"/>
      <c r="AK47" s="625"/>
      <c r="AL47" s="625"/>
      <c r="AM47" s="625"/>
    </row>
    <row r="48" spans="1:39" x14ac:dyDescent="0.25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25"/>
      <c r="S48" s="625"/>
      <c r="T48" s="625"/>
      <c r="U48" s="625"/>
      <c r="V48" s="625"/>
      <c r="W48" s="625"/>
      <c r="X48" s="625"/>
      <c r="Y48" s="625"/>
      <c r="Z48" s="625"/>
      <c r="AA48" s="625"/>
      <c r="AB48" s="625"/>
      <c r="AC48" s="625"/>
      <c r="AD48" s="625"/>
      <c r="AE48" s="625"/>
      <c r="AF48" s="625"/>
      <c r="AG48" s="625"/>
      <c r="AH48" s="625"/>
      <c r="AI48" s="625"/>
      <c r="AJ48" s="625"/>
      <c r="AK48" s="625"/>
      <c r="AL48" s="625"/>
      <c r="AM48" s="625"/>
    </row>
    <row r="49" spans="1:62" x14ac:dyDescent="0.25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25"/>
      <c r="S49" s="625"/>
      <c r="T49" s="625"/>
      <c r="U49" s="625"/>
      <c r="V49" s="625"/>
      <c r="W49" s="625"/>
      <c r="X49" s="625"/>
      <c r="Y49" s="625"/>
      <c r="Z49" s="625"/>
      <c r="AA49" s="625"/>
      <c r="AB49" s="625"/>
      <c r="AC49" s="625"/>
      <c r="AD49" s="625"/>
      <c r="AE49" s="625"/>
      <c r="AF49" s="625"/>
      <c r="AG49" s="625"/>
      <c r="AH49" s="625"/>
      <c r="AI49" s="625"/>
      <c r="AJ49" s="625"/>
      <c r="AK49" s="625"/>
      <c r="AL49" s="625"/>
      <c r="AM49" s="625"/>
    </row>
    <row r="50" spans="1:62" x14ac:dyDescent="0.25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25"/>
      <c r="S50" s="625"/>
      <c r="T50" s="625"/>
      <c r="U50" s="625"/>
      <c r="V50" s="625"/>
      <c r="W50" s="625"/>
      <c r="X50" s="625"/>
      <c r="Y50" s="625"/>
      <c r="Z50" s="625"/>
      <c r="AA50" s="625"/>
      <c r="AB50" s="625"/>
      <c r="AC50" s="625"/>
      <c r="AD50" s="625"/>
      <c r="AE50" s="625"/>
      <c r="AF50" s="625"/>
      <c r="AG50" s="625"/>
      <c r="AH50" s="625"/>
      <c r="AI50" s="625"/>
      <c r="AJ50" s="625"/>
      <c r="AK50" s="625"/>
      <c r="AL50" s="625"/>
      <c r="AM50" s="625"/>
    </row>
    <row r="51" spans="1:62" ht="15.75" thickBot="1" x14ac:dyDescent="0.3"/>
    <row r="52" spans="1:62" ht="14.25" customHeight="1" thickBot="1" x14ac:dyDescent="0.3">
      <c r="A52" s="915" t="s">
        <v>53</v>
      </c>
      <c r="B52" s="916"/>
      <c r="C52" s="916"/>
      <c r="D52" s="916"/>
      <c r="E52" s="917" t="s">
        <v>1</v>
      </c>
      <c r="F52" s="902"/>
      <c r="G52" s="902"/>
      <c r="H52" s="902"/>
      <c r="I52" s="902"/>
      <c r="J52" s="902"/>
      <c r="K52" s="902"/>
      <c r="L52" s="903"/>
      <c r="M52" s="917" t="s">
        <v>0</v>
      </c>
      <c r="N52" s="902"/>
      <c r="O52" s="902"/>
      <c r="P52" s="902"/>
      <c r="Q52" s="902"/>
      <c r="R52" s="902"/>
      <c r="S52" s="902"/>
      <c r="T52" s="902"/>
      <c r="U52" s="903"/>
      <c r="V52" s="918"/>
      <c r="W52" s="919"/>
      <c r="X52" s="919"/>
      <c r="Y52" s="919"/>
      <c r="Z52" s="919"/>
      <c r="AA52" s="888" t="s">
        <v>51</v>
      </c>
      <c r="AB52" s="889"/>
      <c r="AC52" s="889"/>
      <c r="AD52" s="889"/>
      <c r="AE52" s="889"/>
      <c r="AF52" s="889"/>
      <c r="AG52" s="889"/>
      <c r="AH52" s="890"/>
      <c r="AI52" s="888" t="s">
        <v>52</v>
      </c>
      <c r="AJ52" s="902"/>
      <c r="AK52" s="902"/>
      <c r="AL52" s="902"/>
      <c r="AM52" s="902"/>
      <c r="AN52" s="902"/>
      <c r="AO52" s="902"/>
      <c r="AP52" s="902"/>
      <c r="AQ52" s="903"/>
      <c r="AR52" s="900"/>
      <c r="AS52" s="900"/>
      <c r="AT52" s="901" t="s">
        <v>1</v>
      </c>
      <c r="AU52" s="902"/>
      <c r="AV52" s="902"/>
      <c r="AW52" s="902"/>
      <c r="AX52" s="902"/>
      <c r="AY52" s="902"/>
      <c r="AZ52" s="902"/>
      <c r="BA52" s="903"/>
      <c r="BB52" s="901" t="s">
        <v>0</v>
      </c>
      <c r="BC52" s="902"/>
      <c r="BD52" s="902"/>
      <c r="BE52" s="902"/>
      <c r="BF52" s="902"/>
      <c r="BG52" s="902"/>
      <c r="BH52" s="902"/>
      <c r="BI52" s="902"/>
      <c r="BJ52" s="903"/>
    </row>
    <row r="53" spans="1:62" ht="15" customHeight="1" thickBot="1" x14ac:dyDescent="0.3">
      <c r="A53" s="907" t="s">
        <v>12</v>
      </c>
      <c r="B53" s="907" t="s">
        <v>13</v>
      </c>
      <c r="C53" s="909" t="s">
        <v>47</v>
      </c>
      <c r="D53" s="911" t="s">
        <v>15</v>
      </c>
      <c r="E53" s="906"/>
      <c r="F53" s="904"/>
      <c r="G53" s="904"/>
      <c r="H53" s="904"/>
      <c r="I53" s="904"/>
      <c r="J53" s="904"/>
      <c r="K53" s="904"/>
      <c r="L53" s="905"/>
      <c r="M53" s="906"/>
      <c r="N53" s="904"/>
      <c r="O53" s="904"/>
      <c r="P53" s="904"/>
      <c r="Q53" s="904"/>
      <c r="R53" s="904"/>
      <c r="S53" s="904"/>
      <c r="T53" s="904"/>
      <c r="U53" s="905"/>
      <c r="V53" s="912" t="s">
        <v>40</v>
      </c>
      <c r="W53" s="914" t="s">
        <v>12</v>
      </c>
      <c r="X53" s="914" t="s">
        <v>13</v>
      </c>
      <c r="Y53" s="914" t="s">
        <v>47</v>
      </c>
      <c r="Z53" s="912" t="s">
        <v>41</v>
      </c>
      <c r="AA53" s="891"/>
      <c r="AB53" s="892"/>
      <c r="AC53" s="892"/>
      <c r="AD53" s="892"/>
      <c r="AE53" s="892"/>
      <c r="AF53" s="892"/>
      <c r="AG53" s="892"/>
      <c r="AH53" s="893"/>
      <c r="AI53" s="906"/>
      <c r="AJ53" s="904"/>
      <c r="AK53" s="904"/>
      <c r="AL53" s="904"/>
      <c r="AM53" s="904"/>
      <c r="AN53" s="904"/>
      <c r="AO53" s="904"/>
      <c r="AP53" s="904"/>
      <c r="AQ53" s="905"/>
      <c r="AR53" s="897" t="s">
        <v>15</v>
      </c>
      <c r="AS53" s="899" t="s">
        <v>13</v>
      </c>
      <c r="AT53" s="904"/>
      <c r="AU53" s="904"/>
      <c r="AV53" s="904"/>
      <c r="AW53" s="904"/>
      <c r="AX53" s="904"/>
      <c r="AY53" s="904"/>
      <c r="AZ53" s="904"/>
      <c r="BA53" s="905"/>
      <c r="BB53" s="906"/>
      <c r="BC53" s="904"/>
      <c r="BD53" s="904"/>
      <c r="BE53" s="904"/>
      <c r="BF53" s="904"/>
      <c r="BG53" s="904"/>
      <c r="BH53" s="904"/>
      <c r="BI53" s="904"/>
      <c r="BJ53" s="905"/>
    </row>
    <row r="54" spans="1:62" ht="15.75" thickBot="1" x14ac:dyDescent="0.3">
      <c r="A54" s="908"/>
      <c r="B54" s="908"/>
      <c r="C54" s="910"/>
      <c r="D54" s="910"/>
      <c r="E54" s="103" t="s">
        <v>9</v>
      </c>
      <c r="F54" s="104" t="s">
        <v>5</v>
      </c>
      <c r="G54" s="104" t="s">
        <v>8</v>
      </c>
      <c r="H54" s="104" t="s">
        <v>4</v>
      </c>
      <c r="I54" s="104" t="s">
        <v>10</v>
      </c>
      <c r="J54" s="104" t="s">
        <v>6</v>
      </c>
      <c r="K54" s="104" t="s">
        <v>7</v>
      </c>
      <c r="L54" s="105" t="s">
        <v>20</v>
      </c>
      <c r="M54" s="103" t="s">
        <v>22</v>
      </c>
      <c r="N54" s="104" t="s">
        <v>23</v>
      </c>
      <c r="O54" s="104" t="s">
        <v>24</v>
      </c>
      <c r="P54" s="104" t="s">
        <v>25</v>
      </c>
      <c r="Q54" s="104" t="s">
        <v>26</v>
      </c>
      <c r="R54" s="104" t="s">
        <v>27</v>
      </c>
      <c r="S54" s="104" t="s">
        <v>28</v>
      </c>
      <c r="T54" s="104" t="s">
        <v>29</v>
      </c>
      <c r="U54" s="105" t="s">
        <v>30</v>
      </c>
      <c r="V54" s="913"/>
      <c r="W54" s="913"/>
      <c r="X54" s="913"/>
      <c r="Y54" s="913"/>
      <c r="Z54" s="913"/>
      <c r="AA54" s="109" t="s">
        <v>9</v>
      </c>
      <c r="AB54" s="110" t="s">
        <v>5</v>
      </c>
      <c r="AC54" s="110" t="s">
        <v>8</v>
      </c>
      <c r="AD54" s="110" t="s">
        <v>4</v>
      </c>
      <c r="AE54" s="110" t="s">
        <v>10</v>
      </c>
      <c r="AF54" s="110" t="s">
        <v>6</v>
      </c>
      <c r="AG54" s="110" t="s">
        <v>7</v>
      </c>
      <c r="AH54" s="111" t="s">
        <v>20</v>
      </c>
      <c r="AI54" s="106" t="s">
        <v>22</v>
      </c>
      <c r="AJ54" s="107" t="s">
        <v>23</v>
      </c>
      <c r="AK54" s="107" t="s">
        <v>24</v>
      </c>
      <c r="AL54" s="107" t="s">
        <v>25</v>
      </c>
      <c r="AM54" s="107" t="s">
        <v>26</v>
      </c>
      <c r="AN54" s="107" t="s">
        <v>27</v>
      </c>
      <c r="AO54" s="107" t="s">
        <v>28</v>
      </c>
      <c r="AP54" s="107" t="s">
        <v>29</v>
      </c>
      <c r="AQ54" s="108" t="s">
        <v>30</v>
      </c>
      <c r="AR54" s="898"/>
      <c r="AS54" s="920"/>
      <c r="AT54" s="132" t="s">
        <v>9</v>
      </c>
      <c r="AU54" s="132" t="s">
        <v>5</v>
      </c>
      <c r="AV54" s="132" t="s">
        <v>8</v>
      </c>
      <c r="AW54" s="132" t="s">
        <v>4</v>
      </c>
      <c r="AX54" s="132" t="s">
        <v>10</v>
      </c>
      <c r="AY54" s="132" t="s">
        <v>6</v>
      </c>
      <c r="AZ54" s="132" t="s">
        <v>7</v>
      </c>
      <c r="BA54" s="132" t="s">
        <v>20</v>
      </c>
      <c r="BB54" s="131" t="s">
        <v>22</v>
      </c>
      <c r="BC54" s="131" t="s">
        <v>23</v>
      </c>
      <c r="BD54" s="131" t="s">
        <v>24</v>
      </c>
      <c r="BE54" s="131" t="s">
        <v>25</v>
      </c>
      <c r="BF54" s="131" t="s">
        <v>26</v>
      </c>
      <c r="BG54" s="131" t="s">
        <v>27</v>
      </c>
      <c r="BH54" s="131" t="s">
        <v>28</v>
      </c>
      <c r="BI54" s="131" t="s">
        <v>29</v>
      </c>
      <c r="BJ54" s="132" t="s">
        <v>30</v>
      </c>
    </row>
    <row r="55" spans="1:62" x14ac:dyDescent="0.25">
      <c r="A55" s="57">
        <v>80</v>
      </c>
      <c r="B55" s="60">
        <v>40</v>
      </c>
      <c r="C55" s="391">
        <v>89.442700000000002</v>
      </c>
      <c r="D55" s="210" t="s">
        <v>9</v>
      </c>
      <c r="E55" s="114">
        <v>240</v>
      </c>
      <c r="F55" s="115">
        <v>7.8740199999999998</v>
      </c>
      <c r="G55" s="115">
        <v>94.488200000000006</v>
      </c>
      <c r="H55" s="115">
        <v>2.4</v>
      </c>
      <c r="I55" s="311">
        <v>1.4912899999999999E-3</v>
      </c>
      <c r="J55" s="115">
        <v>2400</v>
      </c>
      <c r="K55" s="115">
        <v>2.6246700000000001</v>
      </c>
      <c r="L55" s="117">
        <v>2400000</v>
      </c>
      <c r="M55" s="114">
        <v>320000</v>
      </c>
      <c r="N55" s="255">
        <v>3200</v>
      </c>
      <c r="O55" s="115">
        <v>32</v>
      </c>
      <c r="P55" s="115">
        <v>0.32</v>
      </c>
      <c r="Q55" s="115">
        <v>496.00099999999998</v>
      </c>
      <c r="R55" s="115">
        <v>3.4444499999999998</v>
      </c>
      <c r="S55" s="311">
        <v>3.2000000000000002E-3</v>
      </c>
      <c r="T55" s="116">
        <v>3.1999999999999999E-5</v>
      </c>
      <c r="U55" s="314">
        <v>7.9073722069493004E-5</v>
      </c>
      <c r="V55" s="142">
        <v>1</v>
      </c>
      <c r="W55" s="7">
        <v>80</v>
      </c>
      <c r="X55" s="288">
        <v>40</v>
      </c>
      <c r="Y55" s="304">
        <v>89.442700000000002</v>
      </c>
      <c r="Z55" s="18" t="s">
        <v>9</v>
      </c>
      <c r="AA55" s="13">
        <f>2*(W55+X55)</f>
        <v>240</v>
      </c>
      <c r="AB55" s="7">
        <v>7.8740199999999998</v>
      </c>
      <c r="AC55" s="7">
        <v>94.488200000000006</v>
      </c>
      <c r="AD55" s="7">
        <v>2.4</v>
      </c>
      <c r="AE55" s="301">
        <v>1.4912899999999999E-3</v>
      </c>
      <c r="AF55" s="7">
        <v>2400</v>
      </c>
      <c r="AG55" s="7">
        <v>2.6246700000000001</v>
      </c>
      <c r="AH55" s="14">
        <v>2400000</v>
      </c>
      <c r="AI55" s="8">
        <v>320000</v>
      </c>
      <c r="AJ55" s="12">
        <f>W55*X55</f>
        <v>3200</v>
      </c>
      <c r="AK55" s="7">
        <v>32</v>
      </c>
      <c r="AL55" s="7">
        <v>0.32</v>
      </c>
      <c r="AM55" s="7">
        <v>496.00099999999998</v>
      </c>
      <c r="AN55" s="7">
        <v>3.4444499999999998</v>
      </c>
      <c r="AO55" s="304">
        <v>3.2000000000000002E-3</v>
      </c>
      <c r="AP55" s="305">
        <v>3.1999999999999999E-5</v>
      </c>
      <c r="AQ55" s="306">
        <v>7.9073722069492895E-5</v>
      </c>
      <c r="AR55" s="269" t="s">
        <v>9</v>
      </c>
      <c r="AS55" s="354">
        <f>(100*(B55-X55))/X55</f>
        <v>0</v>
      </c>
      <c r="AT55" s="216">
        <f t="shared" ref="AT55:BJ55" si="19">(100*(E55-AA55))/AA55</f>
        <v>0</v>
      </c>
      <c r="AU55" s="90">
        <f t="shared" si="19"/>
        <v>0</v>
      </c>
      <c r="AV55" s="90">
        <f t="shared" si="19"/>
        <v>0</v>
      </c>
      <c r="AW55" s="90">
        <f t="shared" si="19"/>
        <v>0</v>
      </c>
      <c r="AX55" s="90">
        <f t="shared" si="19"/>
        <v>0</v>
      </c>
      <c r="AY55" s="90">
        <f t="shared" si="19"/>
        <v>0</v>
      </c>
      <c r="AZ55" s="90">
        <f t="shared" si="19"/>
        <v>0</v>
      </c>
      <c r="BA55" s="229">
        <f t="shared" si="19"/>
        <v>0</v>
      </c>
      <c r="BB55" s="216">
        <f t="shared" si="19"/>
        <v>0</v>
      </c>
      <c r="BC55" s="90">
        <f t="shared" si="19"/>
        <v>0</v>
      </c>
      <c r="BD55" s="90">
        <f t="shared" si="19"/>
        <v>0</v>
      </c>
      <c r="BE55" s="90">
        <f t="shared" si="19"/>
        <v>0</v>
      </c>
      <c r="BF55" s="90">
        <f t="shared" si="19"/>
        <v>0</v>
      </c>
      <c r="BG55" s="90">
        <f t="shared" si="19"/>
        <v>0</v>
      </c>
      <c r="BH55" s="90">
        <f t="shared" si="19"/>
        <v>0</v>
      </c>
      <c r="BI55" s="90">
        <f t="shared" si="19"/>
        <v>0</v>
      </c>
      <c r="BJ55" s="229">
        <f t="shared" si="19"/>
        <v>1.3711282890321865E-13</v>
      </c>
    </row>
    <row r="56" spans="1:62" x14ac:dyDescent="0.25">
      <c r="A56" s="1">
        <v>100</v>
      </c>
      <c r="B56" s="54">
        <v>49.999935433527298</v>
      </c>
      <c r="C56" s="1">
        <v>111.80337</v>
      </c>
      <c r="D56" s="211" t="s">
        <v>5</v>
      </c>
      <c r="E56" s="118">
        <v>9144</v>
      </c>
      <c r="F56" s="1">
        <v>300</v>
      </c>
      <c r="G56" s="1">
        <v>3600</v>
      </c>
      <c r="H56" s="1">
        <v>91.44</v>
      </c>
      <c r="I56" s="1">
        <v>5.6818199999999999E-2</v>
      </c>
      <c r="J56" s="1">
        <v>91440</v>
      </c>
      <c r="K56" s="1">
        <v>100</v>
      </c>
      <c r="L56" s="119">
        <v>91439961</v>
      </c>
      <c r="M56" s="118">
        <v>464514600</v>
      </c>
      <c r="N56" s="1">
        <v>4645146</v>
      </c>
      <c r="O56" s="1">
        <v>46451.5</v>
      </c>
      <c r="P56" s="1">
        <v>464.51499999999999</v>
      </c>
      <c r="Q56" s="1">
        <v>719999</v>
      </c>
      <c r="R56" s="1">
        <v>4999.99</v>
      </c>
      <c r="S56" s="1">
        <v>4.6451500000000001</v>
      </c>
      <c r="T56" s="52">
        <v>4.64515E-2</v>
      </c>
      <c r="U56" s="119">
        <v>0.114784</v>
      </c>
      <c r="V56" s="143">
        <v>2</v>
      </c>
      <c r="W56" s="2">
        <v>100</v>
      </c>
      <c r="X56" s="2">
        <v>50</v>
      </c>
      <c r="Y56" s="2">
        <v>111.80337</v>
      </c>
      <c r="Z56" s="19" t="s">
        <v>5</v>
      </c>
      <c r="AA56" s="15">
        <v>9144</v>
      </c>
      <c r="AB56" s="12">
        <f>2*(W56+X56)</f>
        <v>300</v>
      </c>
      <c r="AC56" s="2">
        <v>3600</v>
      </c>
      <c r="AD56" s="2">
        <v>91.44</v>
      </c>
      <c r="AE56" s="2">
        <v>5.6818199999999999E-2</v>
      </c>
      <c r="AF56" s="2">
        <v>91440</v>
      </c>
      <c r="AG56" s="2">
        <v>100</v>
      </c>
      <c r="AH56" s="16">
        <v>91440000</v>
      </c>
      <c r="AI56" s="15">
        <v>464515200</v>
      </c>
      <c r="AJ56" s="2">
        <v>4645152</v>
      </c>
      <c r="AK56" s="2">
        <v>46451.5</v>
      </c>
      <c r="AL56" s="2">
        <v>464.51499999999999</v>
      </c>
      <c r="AM56" s="2">
        <v>720000</v>
      </c>
      <c r="AN56" s="2">
        <f>W56*X56</f>
        <v>5000</v>
      </c>
      <c r="AO56" s="2">
        <v>4.6451500000000001</v>
      </c>
      <c r="AP56" s="342">
        <v>4.64515E-2</v>
      </c>
      <c r="AQ56" s="42">
        <v>0.114784</v>
      </c>
      <c r="AR56" s="270" t="s">
        <v>5</v>
      </c>
      <c r="AS56" s="355">
        <f t="shared" ref="AS56:AS62" si="20">(100*(B56-X56))/X56</f>
        <v>-1.2913294540339848E-4</v>
      </c>
      <c r="AT56" s="217">
        <f t="shared" ref="AT56:AT62" si="21">(100*(E56-AA56))/AA56</f>
        <v>0</v>
      </c>
      <c r="AU56" s="73">
        <f t="shared" ref="AU56:AU62" si="22">(100*(F56-AB56))/AB56</f>
        <v>0</v>
      </c>
      <c r="AV56" s="73">
        <f t="shared" ref="AV56:AV62" si="23">(100*(G56-AC56))/AC56</f>
        <v>0</v>
      </c>
      <c r="AW56" s="73">
        <f t="shared" ref="AW56:AW62" si="24">(100*(H56-AD56))/AD56</f>
        <v>0</v>
      </c>
      <c r="AX56" s="73">
        <f t="shared" ref="AX56:AX62" si="25">(100*(I56-AE56))/AE56</f>
        <v>0</v>
      </c>
      <c r="AY56" s="73">
        <f t="shared" ref="AY56:AY62" si="26">(100*(J56-AF56))/AF56</f>
        <v>0</v>
      </c>
      <c r="AZ56" s="73">
        <f t="shared" ref="AZ56:AZ62" si="27">(100*(K56-AG56))/AG56</f>
        <v>0</v>
      </c>
      <c r="BA56" s="230">
        <f t="shared" ref="BA56:BA62" si="28">(100*(L56-AH56))/AH56</f>
        <v>-4.2650918635170604E-5</v>
      </c>
      <c r="BB56" s="217">
        <f t="shared" ref="BB56:BB62" si="29">(100*(M56-AI56))/AI56</f>
        <v>-1.2916692500051667E-4</v>
      </c>
      <c r="BC56" s="73">
        <f t="shared" ref="BC56:BC62" si="30">(100*(N56-AJ56))/AJ56</f>
        <v>-1.2916692500051667E-4</v>
      </c>
      <c r="BD56" s="73">
        <f t="shared" ref="BD56:BD62" si="31">(100*(O56-AK56))/AK56</f>
        <v>0</v>
      </c>
      <c r="BE56" s="73">
        <f t="shared" ref="BE56:BE62" si="32">(100*(P56-AL56))/AL56</f>
        <v>0</v>
      </c>
      <c r="BF56" s="73">
        <f t="shared" ref="BF56:BF62" si="33">(100*(Q56-AM56))/AM56</f>
        <v>-1.3888888888888889E-4</v>
      </c>
      <c r="BG56" s="73">
        <f t="shared" ref="BG56:BG62" si="34">(100*(R56-AN56))/AN56</f>
        <v>-2.0000000000436558E-4</v>
      </c>
      <c r="BH56" s="73">
        <f t="shared" ref="BH56:BH62" si="35">(100*(S56-AO56))/AO56</f>
        <v>0</v>
      </c>
      <c r="BI56" s="73">
        <f t="shared" ref="BI56:BI62" si="36">(100*(T56-AP56))/AP56</f>
        <v>0</v>
      </c>
      <c r="BJ56" s="230">
        <f t="shared" ref="BJ56:BJ62" si="37">(100*(U56-AQ56))/AQ56</f>
        <v>0</v>
      </c>
    </row>
    <row r="57" spans="1:62" x14ac:dyDescent="0.25">
      <c r="A57" s="1">
        <v>160</v>
      </c>
      <c r="B57" s="53">
        <v>30.000021916727</v>
      </c>
      <c r="C57" s="1">
        <v>162.78820999999999</v>
      </c>
      <c r="D57" s="211" t="s">
        <v>8</v>
      </c>
      <c r="E57" s="118">
        <v>965.2</v>
      </c>
      <c r="F57" s="1">
        <v>31.666699999999999</v>
      </c>
      <c r="G57" s="1">
        <v>380</v>
      </c>
      <c r="H57" s="1">
        <v>9.6519999999999992</v>
      </c>
      <c r="I57" s="1">
        <v>5.9974800000000003E-3</v>
      </c>
      <c r="J57" s="1">
        <v>9652</v>
      </c>
      <c r="K57" s="1">
        <v>10.5556</v>
      </c>
      <c r="L57" s="119">
        <v>9652001</v>
      </c>
      <c r="M57" s="118">
        <v>3096770</v>
      </c>
      <c r="N57" s="1">
        <v>30967.7</v>
      </c>
      <c r="O57" s="1">
        <v>309.67700000000002</v>
      </c>
      <c r="P57" s="1">
        <v>3.0967699999999998</v>
      </c>
      <c r="Q57" s="1">
        <v>4800</v>
      </c>
      <c r="R57" s="1">
        <v>33.333399999999997</v>
      </c>
      <c r="S57" s="78">
        <v>3.0967700000000001E-2</v>
      </c>
      <c r="T57" s="316">
        <v>3.0967700000000001E-4</v>
      </c>
      <c r="U57" s="317">
        <v>7.6522899999999997E-4</v>
      </c>
      <c r="V57" s="143">
        <v>3</v>
      </c>
      <c r="W57" s="2">
        <v>160</v>
      </c>
      <c r="X57" s="2">
        <v>30</v>
      </c>
      <c r="Y57" s="2">
        <v>162.78820999999999</v>
      </c>
      <c r="Z57" s="19" t="s">
        <v>8</v>
      </c>
      <c r="AA57" s="15">
        <v>965.2</v>
      </c>
      <c r="AB57" s="2">
        <v>31.666699999999999</v>
      </c>
      <c r="AC57" s="2">
        <f>2*(W57+X57)</f>
        <v>380</v>
      </c>
      <c r="AD57" s="2">
        <v>9.6519999999999992</v>
      </c>
      <c r="AE57" s="2">
        <v>5.9974700000000004E-3</v>
      </c>
      <c r="AF57" s="2">
        <v>9652</v>
      </c>
      <c r="AG57" s="2">
        <v>10.5556</v>
      </c>
      <c r="AH57" s="16">
        <v>9652000</v>
      </c>
      <c r="AI57" s="28">
        <v>3096768</v>
      </c>
      <c r="AJ57" s="26">
        <v>30967.7</v>
      </c>
      <c r="AK57" s="2">
        <v>309.67700000000002</v>
      </c>
      <c r="AL57" s="2">
        <v>3.0967699999999998</v>
      </c>
      <c r="AM57" s="2">
        <f>W57*X57</f>
        <v>4800</v>
      </c>
      <c r="AN57" s="2">
        <v>33.333300000000001</v>
      </c>
      <c r="AO57" s="342">
        <v>3.0967700000000001E-2</v>
      </c>
      <c r="AP57" s="302">
        <v>3.0967700000000001E-4</v>
      </c>
      <c r="AQ57" s="188">
        <v>7.6522799999999996E-4</v>
      </c>
      <c r="AR57" s="270" t="s">
        <v>8</v>
      </c>
      <c r="AS57" s="355">
        <f t="shared" si="20"/>
        <v>7.3055756667865054E-5</v>
      </c>
      <c r="AT57" s="217">
        <f t="shared" si="21"/>
        <v>0</v>
      </c>
      <c r="AU57" s="73">
        <f t="shared" si="22"/>
        <v>0</v>
      </c>
      <c r="AV57" s="73">
        <f t="shared" si="23"/>
        <v>0</v>
      </c>
      <c r="AW57" s="73">
        <f t="shared" si="24"/>
        <v>0</v>
      </c>
      <c r="AX57" s="73">
        <f t="shared" si="25"/>
        <v>1.6673697408975136E-4</v>
      </c>
      <c r="AY57" s="73">
        <f t="shared" si="26"/>
        <v>0</v>
      </c>
      <c r="AZ57" s="73">
        <f t="shared" si="27"/>
        <v>0</v>
      </c>
      <c r="BA57" s="230">
        <f t="shared" si="28"/>
        <v>1.0360547036883547E-5</v>
      </c>
      <c r="BB57" s="217">
        <f t="shared" si="29"/>
        <v>6.4583462500258335E-5</v>
      </c>
      <c r="BC57" s="73">
        <f t="shared" si="30"/>
        <v>0</v>
      </c>
      <c r="BD57" s="73">
        <f t="shared" si="31"/>
        <v>0</v>
      </c>
      <c r="BE57" s="73">
        <f t="shared" si="32"/>
        <v>0</v>
      </c>
      <c r="BF57" s="73">
        <f t="shared" si="33"/>
        <v>0</v>
      </c>
      <c r="BG57" s="73">
        <f t="shared" si="34"/>
        <v>3.0000029998894268E-4</v>
      </c>
      <c r="BH57" s="73">
        <f t="shared" si="35"/>
        <v>0</v>
      </c>
      <c r="BI57" s="73">
        <f t="shared" si="36"/>
        <v>0</v>
      </c>
      <c r="BJ57" s="230">
        <f t="shared" si="37"/>
        <v>1.3068000648378591E-4</v>
      </c>
    </row>
    <row r="58" spans="1:62" x14ac:dyDescent="0.25">
      <c r="A58" s="1">
        <v>16</v>
      </c>
      <c r="B58" s="346">
        <v>3.9990412596146099</v>
      </c>
      <c r="C58" s="1">
        <v>16.492187000000001</v>
      </c>
      <c r="D58" s="211" t="s">
        <v>4</v>
      </c>
      <c r="E58" s="118">
        <v>3999.81</v>
      </c>
      <c r="F58" s="1">
        <v>131.227</v>
      </c>
      <c r="G58" s="1">
        <v>1574.73</v>
      </c>
      <c r="H58" s="1">
        <v>39.998100000000001</v>
      </c>
      <c r="I58" s="1">
        <v>2.4853699999999999E-2</v>
      </c>
      <c r="J58" s="1">
        <v>39998.1</v>
      </c>
      <c r="K58" s="1">
        <v>43.742400000000004</v>
      </c>
      <c r="L58" s="119">
        <v>39998083</v>
      </c>
      <c r="M58" s="118">
        <v>63984660</v>
      </c>
      <c r="N58" s="1">
        <v>639847</v>
      </c>
      <c r="O58" s="1">
        <v>6398.47</v>
      </c>
      <c r="P58" s="1">
        <v>63.984699999999997</v>
      </c>
      <c r="Q58" s="1">
        <v>99176.4</v>
      </c>
      <c r="R58" s="1">
        <v>688.72500000000002</v>
      </c>
      <c r="S58" s="1">
        <v>0.63984700000000005</v>
      </c>
      <c r="T58" s="1">
        <v>6.3984699999999999E-3</v>
      </c>
      <c r="U58" s="119">
        <v>1.5810999999999999E-2</v>
      </c>
      <c r="V58" s="143">
        <v>4</v>
      </c>
      <c r="W58" s="2">
        <v>16</v>
      </c>
      <c r="X58" s="2">
        <v>4</v>
      </c>
      <c r="Y58" s="2">
        <v>16.492190000000001</v>
      </c>
      <c r="Z58" s="19" t="s">
        <v>4</v>
      </c>
      <c r="AA58" s="15">
        <v>4000</v>
      </c>
      <c r="AB58" s="2">
        <v>131.23400000000001</v>
      </c>
      <c r="AC58" s="2">
        <v>1574.8</v>
      </c>
      <c r="AD58" s="2">
        <f>2*(W58+X58)</f>
        <v>40</v>
      </c>
      <c r="AE58" s="2">
        <v>2.48548E-2</v>
      </c>
      <c r="AF58" s="2">
        <v>40000</v>
      </c>
      <c r="AG58" s="2">
        <v>43.744500000000002</v>
      </c>
      <c r="AH58" s="16">
        <v>40000000</v>
      </c>
      <c r="AI58" s="15">
        <v>64000000</v>
      </c>
      <c r="AJ58" s="2">
        <v>640000</v>
      </c>
      <c r="AK58" s="2">
        <v>6400</v>
      </c>
      <c r="AL58" s="2">
        <f>W58*X58</f>
        <v>64</v>
      </c>
      <c r="AM58" s="2">
        <v>99200.2</v>
      </c>
      <c r="AN58" s="2">
        <v>688.89</v>
      </c>
      <c r="AO58" s="2">
        <v>0.64</v>
      </c>
      <c r="AP58" s="2">
        <v>6.4000000000000003E-3</v>
      </c>
      <c r="AQ58" s="42">
        <v>1.5814700000000001E-2</v>
      </c>
      <c r="AR58" s="270" t="s">
        <v>4</v>
      </c>
      <c r="AS58" s="355">
        <f t="shared" si="20"/>
        <v>-2.3968509634753055E-2</v>
      </c>
      <c r="AT58" s="217">
        <f t="shared" si="21"/>
        <v>-4.7500000000013642E-3</v>
      </c>
      <c r="AU58" s="73">
        <f t="shared" si="22"/>
        <v>-5.3339835713344117E-3</v>
      </c>
      <c r="AV58" s="73">
        <f t="shared" si="23"/>
        <v>-4.4450088900137375E-3</v>
      </c>
      <c r="AW58" s="73">
        <f t="shared" si="24"/>
        <v>-4.7499999999978115E-3</v>
      </c>
      <c r="AX58" s="73">
        <f t="shared" si="25"/>
        <v>-4.4257044916893567E-3</v>
      </c>
      <c r="AY58" s="73">
        <f t="shared" si="26"/>
        <v>-4.7500000000036376E-3</v>
      </c>
      <c r="AZ58" s="73">
        <f t="shared" si="27"/>
        <v>-4.8006035044374914E-3</v>
      </c>
      <c r="BA58" s="230">
        <f t="shared" si="28"/>
        <v>-4.7924999999999999E-3</v>
      </c>
      <c r="BB58" s="217">
        <f t="shared" si="29"/>
        <v>-2.396875E-2</v>
      </c>
      <c r="BC58" s="73">
        <f t="shared" si="30"/>
        <v>-2.390625E-2</v>
      </c>
      <c r="BD58" s="73">
        <f t="shared" si="31"/>
        <v>-2.3906249999996021E-2</v>
      </c>
      <c r="BE58" s="73">
        <f t="shared" si="32"/>
        <v>-2.3906250000005347E-2</v>
      </c>
      <c r="BF58" s="73">
        <f t="shared" si="33"/>
        <v>-2.3991887113133756E-2</v>
      </c>
      <c r="BG58" s="73">
        <f t="shared" si="34"/>
        <v>-2.395157427164912E-2</v>
      </c>
      <c r="BH58" s="73">
        <f t="shared" si="35"/>
        <v>-2.3906249999993551E-2</v>
      </c>
      <c r="BI58" s="73">
        <f t="shared" si="36"/>
        <v>-2.3906250000007102E-2</v>
      </c>
      <c r="BJ58" s="230">
        <f t="shared" si="37"/>
        <v>-2.3395954396873239E-2</v>
      </c>
    </row>
    <row r="59" spans="1:62" x14ac:dyDescent="0.25">
      <c r="A59" s="1">
        <v>65</v>
      </c>
      <c r="B59" s="54">
        <v>50.000004372099802</v>
      </c>
      <c r="C59" s="1">
        <v>82.006100000000004</v>
      </c>
      <c r="D59" s="211" t="s">
        <v>10</v>
      </c>
      <c r="E59" s="120">
        <v>37014913</v>
      </c>
      <c r="F59" s="1">
        <v>1214400</v>
      </c>
      <c r="G59" s="1">
        <v>14572801</v>
      </c>
      <c r="H59" s="1">
        <v>370149</v>
      </c>
      <c r="I59" s="1">
        <v>230</v>
      </c>
      <c r="J59" s="59">
        <v>370149134</v>
      </c>
      <c r="K59" s="1">
        <v>404800</v>
      </c>
      <c r="L59" s="164">
        <v>370149134072</v>
      </c>
      <c r="M59" s="120">
        <v>8417462094631620</v>
      </c>
      <c r="N59" s="59">
        <v>84174620946316</v>
      </c>
      <c r="O59" s="1">
        <v>841746209463</v>
      </c>
      <c r="P59" s="1">
        <v>8417462095</v>
      </c>
      <c r="Q59" s="59">
        <v>13047092340864</v>
      </c>
      <c r="R59" s="1">
        <v>90604807923</v>
      </c>
      <c r="S59" s="1">
        <v>84174621</v>
      </c>
      <c r="T59" s="1">
        <v>841746</v>
      </c>
      <c r="U59" s="119">
        <v>2080000</v>
      </c>
      <c r="V59" s="143">
        <v>5</v>
      </c>
      <c r="W59" s="2">
        <v>65</v>
      </c>
      <c r="X59" s="2">
        <v>50</v>
      </c>
      <c r="Y59" s="2">
        <v>82.006100000000004</v>
      </c>
      <c r="Z59" s="19" t="s">
        <v>10</v>
      </c>
      <c r="AA59" s="15">
        <v>37014912</v>
      </c>
      <c r="AB59" s="2">
        <v>1214400</v>
      </c>
      <c r="AC59" s="2">
        <v>14572800</v>
      </c>
      <c r="AD59" s="2">
        <v>370149</v>
      </c>
      <c r="AE59" s="2">
        <f>2*(W59+X59)</f>
        <v>230</v>
      </c>
      <c r="AF59" s="2">
        <v>370149120</v>
      </c>
      <c r="AG59" s="2">
        <v>404800</v>
      </c>
      <c r="AH59" s="185">
        <v>370149120000</v>
      </c>
      <c r="AI59" s="28">
        <v>8417419516000000</v>
      </c>
      <c r="AJ59" s="2">
        <v>84174195160000</v>
      </c>
      <c r="AK59" s="2">
        <v>841741951600</v>
      </c>
      <c r="AL59" s="2">
        <f>W59*X59*1609.34*1609.34</f>
        <v>8417419515.6999998</v>
      </c>
      <c r="AM59" s="29">
        <v>13047026343853</v>
      </c>
      <c r="AN59" s="2">
        <v>90604349610</v>
      </c>
      <c r="AO59" s="2">
        <v>84174195</v>
      </c>
      <c r="AP59" s="2">
        <v>841742</v>
      </c>
      <c r="AQ59" s="42">
        <v>2079990</v>
      </c>
      <c r="AR59" s="270" t="s">
        <v>10</v>
      </c>
      <c r="AS59" s="355">
        <f t="shared" si="20"/>
        <v>8.7441996043935433E-6</v>
      </c>
      <c r="AT59" s="217">
        <f t="shared" si="21"/>
        <v>2.7016138792927563E-6</v>
      </c>
      <c r="AU59" s="73">
        <f t="shared" si="22"/>
        <v>0</v>
      </c>
      <c r="AV59" s="73">
        <f t="shared" si="23"/>
        <v>6.8620992534036015E-6</v>
      </c>
      <c r="AW59" s="73">
        <f t="shared" si="24"/>
        <v>0</v>
      </c>
      <c r="AX59" s="73">
        <f t="shared" si="25"/>
        <v>0</v>
      </c>
      <c r="AY59" s="73">
        <f t="shared" si="26"/>
        <v>3.7822594310098591E-6</v>
      </c>
      <c r="AZ59" s="73">
        <f t="shared" si="27"/>
        <v>0</v>
      </c>
      <c r="BA59" s="230">
        <f t="shared" si="28"/>
        <v>3.8017110509407669E-6</v>
      </c>
      <c r="BB59" s="217">
        <f t="shared" si="29"/>
        <v>5.0583948606892741E-4</v>
      </c>
      <c r="BC59" s="73">
        <f t="shared" si="30"/>
        <v>5.0583948583132494E-4</v>
      </c>
      <c r="BD59" s="73">
        <f t="shared" si="31"/>
        <v>5.0583946682312422E-4</v>
      </c>
      <c r="BE59" s="73">
        <f t="shared" si="32"/>
        <v>5.058474265274849E-4</v>
      </c>
      <c r="BF59" s="73">
        <f t="shared" si="33"/>
        <v>5.058394860304237E-4</v>
      </c>
      <c r="BG59" s="73">
        <f t="shared" si="34"/>
        <v>5.0583995357041448E-4</v>
      </c>
      <c r="BH59" s="73">
        <f t="shared" si="35"/>
        <v>5.0609334606645186E-4</v>
      </c>
      <c r="BI59" s="73">
        <f t="shared" si="36"/>
        <v>4.752049915532313E-4</v>
      </c>
      <c r="BJ59" s="230">
        <f t="shared" si="37"/>
        <v>4.807715421708758E-4</v>
      </c>
    </row>
    <row r="60" spans="1:62" x14ac:dyDescent="0.25">
      <c r="A60" s="1">
        <v>78</v>
      </c>
      <c r="B60" s="54">
        <v>60.004400671950698</v>
      </c>
      <c r="C60" s="1">
        <v>98.41</v>
      </c>
      <c r="D60" s="211" t="s">
        <v>6</v>
      </c>
      <c r="E60" s="118">
        <v>27.600899999999999</v>
      </c>
      <c r="F60" s="1">
        <v>0.90554100000000004</v>
      </c>
      <c r="G60" s="1">
        <v>10.8665</v>
      </c>
      <c r="H60" s="1">
        <v>0.276009</v>
      </c>
      <c r="I60" s="316">
        <v>1.71504E-4</v>
      </c>
      <c r="J60" s="1">
        <v>276.00900000000001</v>
      </c>
      <c r="K60" s="1">
        <v>0.30184699999999998</v>
      </c>
      <c r="L60" s="119">
        <v>276009</v>
      </c>
      <c r="M60" s="374">
        <v>4680.34</v>
      </c>
      <c r="N60" s="347">
        <v>46.803400000000003</v>
      </c>
      <c r="O60" s="315">
        <v>0.46803400000000001</v>
      </c>
      <c r="P60" s="326">
        <v>4.6803399999999998E-3</v>
      </c>
      <c r="Q60" s="348">
        <v>7.2545500000000001</v>
      </c>
      <c r="R60" s="78">
        <v>5.0378800000000001E-2</v>
      </c>
      <c r="S60" s="49">
        <v>4.68034325241216E-5</v>
      </c>
      <c r="T60" s="58">
        <v>4.6803432524121599E-7</v>
      </c>
      <c r="U60" s="126">
        <v>1.15653800478458E-6</v>
      </c>
      <c r="V60" s="143">
        <v>6</v>
      </c>
      <c r="W60" s="2">
        <v>78</v>
      </c>
      <c r="X60" s="2">
        <v>60</v>
      </c>
      <c r="Y60" s="2">
        <v>98.41</v>
      </c>
      <c r="Z60" s="19" t="s">
        <v>6</v>
      </c>
      <c r="AA60" s="15">
        <v>27.6</v>
      </c>
      <c r="AB60" s="2">
        <v>0.90551199999999998</v>
      </c>
      <c r="AC60" s="2">
        <v>10.866099999999999</v>
      </c>
      <c r="AD60" s="2">
        <v>0.27600000000000002</v>
      </c>
      <c r="AE60" s="302">
        <v>1.7149799999999999E-4</v>
      </c>
      <c r="AF60" s="2">
        <f>2*(W60+X60)</f>
        <v>276</v>
      </c>
      <c r="AG60" s="2">
        <v>0.30183700000000002</v>
      </c>
      <c r="AH60" s="16">
        <v>276000</v>
      </c>
      <c r="AI60" s="15">
        <f>W60*X60</f>
        <v>4680</v>
      </c>
      <c r="AJ60" s="2">
        <v>46.8</v>
      </c>
      <c r="AK60" s="2">
        <v>0.46800000000000003</v>
      </c>
      <c r="AL60" s="186">
        <v>4.6800000000000001E-3</v>
      </c>
      <c r="AM60" s="2">
        <v>7.2540100000000001</v>
      </c>
      <c r="AN60" s="342">
        <v>5.0375099999999999E-2</v>
      </c>
      <c r="AO60" s="342">
        <v>4.6799999999999999E-5</v>
      </c>
      <c r="AP60" s="302">
        <v>4.6800000000000001E-7</v>
      </c>
      <c r="AQ60" s="43">
        <v>1.15645318526633E-6</v>
      </c>
      <c r="AR60" s="270" t="s">
        <v>6</v>
      </c>
      <c r="AS60" s="355">
        <f t="shared" si="20"/>
        <v>7.3344532511635903E-3</v>
      </c>
      <c r="AT60" s="217">
        <f t="shared" si="21"/>
        <v>3.2608695652097913E-3</v>
      </c>
      <c r="AU60" s="73">
        <f t="shared" si="22"/>
        <v>3.2026080272880711E-3</v>
      </c>
      <c r="AV60" s="73">
        <f t="shared" si="23"/>
        <v>3.6811735581381007E-3</v>
      </c>
      <c r="AW60" s="73">
        <f t="shared" si="24"/>
        <v>3.2608695652105958E-3</v>
      </c>
      <c r="AX60" s="73">
        <f t="shared" si="25"/>
        <v>3.4985830738627601E-3</v>
      </c>
      <c r="AY60" s="73">
        <f t="shared" si="26"/>
        <v>3.2608695652226638E-3</v>
      </c>
      <c r="AZ60" s="73">
        <f t="shared" si="27"/>
        <v>3.3130464455830427E-3</v>
      </c>
      <c r="BA60" s="230">
        <f t="shared" si="28"/>
        <v>3.2608695652173911E-3</v>
      </c>
      <c r="BB60" s="217">
        <f t="shared" si="29"/>
        <v>7.2649572649603747E-3</v>
      </c>
      <c r="BC60" s="73">
        <f t="shared" si="30"/>
        <v>7.2649572649706989E-3</v>
      </c>
      <c r="BD60" s="73">
        <f t="shared" si="31"/>
        <v>7.264957264952669E-3</v>
      </c>
      <c r="BE60" s="73">
        <f t="shared" si="32"/>
        <v>7.2649572649511867E-3</v>
      </c>
      <c r="BF60" s="73">
        <f t="shared" si="33"/>
        <v>7.4441584723481903E-3</v>
      </c>
      <c r="BG60" s="73">
        <f t="shared" si="34"/>
        <v>7.344898570925542E-3</v>
      </c>
      <c r="BH60" s="73">
        <f t="shared" si="35"/>
        <v>7.3344532512832229E-3</v>
      </c>
      <c r="BI60" s="73">
        <f t="shared" si="36"/>
        <v>7.3344532512773404E-3</v>
      </c>
      <c r="BJ60" s="230">
        <f t="shared" si="37"/>
        <v>7.3344532516010754E-3</v>
      </c>
    </row>
    <row r="61" spans="1:62" x14ac:dyDescent="0.25">
      <c r="A61" s="1">
        <v>86.602540000000005</v>
      </c>
      <c r="B61" s="53">
        <v>50.000000655484001</v>
      </c>
      <c r="C61" s="1">
        <v>100</v>
      </c>
      <c r="D61" s="211" t="s">
        <v>7</v>
      </c>
      <c r="E61" s="118">
        <v>24981.9</v>
      </c>
      <c r="F61" s="1">
        <v>819.61500000000001</v>
      </c>
      <c r="G61" s="1">
        <v>9835.3799999999992</v>
      </c>
      <c r="H61" s="1">
        <v>249.81899999999999</v>
      </c>
      <c r="I61" s="1">
        <v>0.15523000000000001</v>
      </c>
      <c r="J61" s="1">
        <v>249819</v>
      </c>
      <c r="K61" s="1">
        <v>273.20499999999998</v>
      </c>
      <c r="L61" s="119">
        <v>249818726</v>
      </c>
      <c r="M61" s="118">
        <v>3620537704</v>
      </c>
      <c r="N61" s="1">
        <v>36205377</v>
      </c>
      <c r="O61" s="1">
        <v>362054</v>
      </c>
      <c r="P61" s="1">
        <v>3620.54</v>
      </c>
      <c r="Q61" s="1">
        <v>5611845</v>
      </c>
      <c r="R61" s="1">
        <v>38971.1</v>
      </c>
      <c r="S61" s="1">
        <v>36.205399999999997</v>
      </c>
      <c r="T61" s="1">
        <v>0.36205399999999999</v>
      </c>
      <c r="U61" s="119">
        <v>0.89465399999999995</v>
      </c>
      <c r="V61" s="143">
        <v>7</v>
      </c>
      <c r="W61" s="2">
        <v>86.602540000000005</v>
      </c>
      <c r="X61" s="2">
        <v>50</v>
      </c>
      <c r="Y61" s="2">
        <v>100</v>
      </c>
      <c r="Z61" s="19" t="s">
        <v>7</v>
      </c>
      <c r="AA61" s="15">
        <v>24981.9</v>
      </c>
      <c r="AB61" s="2">
        <v>819.61500000000001</v>
      </c>
      <c r="AC61" s="2">
        <v>9835.3799999999992</v>
      </c>
      <c r="AD61" s="2">
        <v>249.81899999999999</v>
      </c>
      <c r="AE61" s="2">
        <v>0.15523000000000001</v>
      </c>
      <c r="AF61" s="2">
        <v>249819</v>
      </c>
      <c r="AG61" s="2">
        <f>2*(W61+X61)</f>
        <v>273.20508000000001</v>
      </c>
      <c r="AH61" s="16">
        <v>249818652</v>
      </c>
      <c r="AI61" s="15">
        <v>3620540000</v>
      </c>
      <c r="AJ61" s="2">
        <v>36205400</v>
      </c>
      <c r="AK61" s="2">
        <v>362054</v>
      </c>
      <c r="AL61" s="2">
        <f>W61*X61*0.9144*0.9144</f>
        <v>3620.53765697472</v>
      </c>
      <c r="AM61" s="2">
        <v>5611848</v>
      </c>
      <c r="AN61" s="2">
        <v>38971.199999999997</v>
      </c>
      <c r="AO61" s="2">
        <v>36.205399999999997</v>
      </c>
      <c r="AP61" s="2">
        <v>0.36205399999999999</v>
      </c>
      <c r="AQ61" s="42">
        <v>0.89465499999999998</v>
      </c>
      <c r="AR61" s="270" t="s">
        <v>7</v>
      </c>
      <c r="AS61" s="355">
        <f t="shared" si="20"/>
        <v>1.3109680025991111E-6</v>
      </c>
      <c r="AT61" s="217">
        <f t="shared" si="21"/>
        <v>0</v>
      </c>
      <c r="AU61" s="73">
        <f t="shared" si="22"/>
        <v>0</v>
      </c>
      <c r="AV61" s="73">
        <f t="shared" si="23"/>
        <v>0</v>
      </c>
      <c r="AW61" s="73">
        <f t="shared" si="24"/>
        <v>0</v>
      </c>
      <c r="AX61" s="73">
        <f t="shared" si="25"/>
        <v>0</v>
      </c>
      <c r="AY61" s="73">
        <f t="shared" si="26"/>
        <v>0</v>
      </c>
      <c r="AZ61" s="73">
        <f t="shared" si="27"/>
        <v>-2.9282032393172592E-5</v>
      </c>
      <c r="BA61" s="230">
        <f t="shared" si="28"/>
        <v>2.962148718983561E-5</v>
      </c>
      <c r="BB61" s="217">
        <f t="shared" si="29"/>
        <v>-6.3415954526120419E-5</v>
      </c>
      <c r="BC61" s="73">
        <f t="shared" si="30"/>
        <v>-6.3526435283134557E-5</v>
      </c>
      <c r="BD61" s="73">
        <f t="shared" si="31"/>
        <v>0</v>
      </c>
      <c r="BE61" s="73">
        <f t="shared" si="32"/>
        <v>6.471484353867167E-5</v>
      </c>
      <c r="BF61" s="73">
        <f t="shared" si="33"/>
        <v>-5.3458326027362112E-5</v>
      </c>
      <c r="BG61" s="73">
        <f t="shared" si="34"/>
        <v>-2.5659974544931853E-4</v>
      </c>
      <c r="BH61" s="73">
        <f t="shared" si="35"/>
        <v>0</v>
      </c>
      <c r="BI61" s="73">
        <f t="shared" si="36"/>
        <v>0</v>
      </c>
      <c r="BJ61" s="230">
        <f t="shared" si="37"/>
        <v>-1.1177493000416425E-4</v>
      </c>
    </row>
    <row r="62" spans="1:62" ht="15.75" thickBot="1" x14ac:dyDescent="0.3">
      <c r="A62" s="55">
        <v>33</v>
      </c>
      <c r="B62" s="62">
        <v>99.999999053311996</v>
      </c>
      <c r="C62" s="55">
        <v>105.30432</v>
      </c>
      <c r="D62" s="212" t="s">
        <v>20</v>
      </c>
      <c r="E62" s="121">
        <v>2.6599999999999999E-2</v>
      </c>
      <c r="F62" s="329">
        <v>8.7270299999999996E-4</v>
      </c>
      <c r="G62" s="55">
        <v>1.04724E-2</v>
      </c>
      <c r="H62" s="351">
        <v>2.6600000000000001E-4</v>
      </c>
      <c r="I62" s="353">
        <v>1.6528473595864201E-7</v>
      </c>
      <c r="J62" s="368">
        <v>0.26600000000000001</v>
      </c>
      <c r="K62" s="329">
        <v>2.9090099999999999E-4</v>
      </c>
      <c r="L62" s="122">
        <v>266</v>
      </c>
      <c r="M62" s="375">
        <v>3.3E-3</v>
      </c>
      <c r="N62" s="376">
        <v>3.2999999687593001E-5</v>
      </c>
      <c r="O62" s="333">
        <v>3.2999999687593001E-7</v>
      </c>
      <c r="P62" s="67">
        <v>3.2999999687593001E-9</v>
      </c>
      <c r="Q62" s="333">
        <v>5.1150101815972697E-6</v>
      </c>
      <c r="R62" s="68">
        <v>3.5520904038869899E-8</v>
      </c>
      <c r="S62" s="68">
        <v>3.2999999687593001E-11</v>
      </c>
      <c r="T62" s="71">
        <v>3.2999999687592998E-13</v>
      </c>
      <c r="U62" s="377">
        <v>8.1544775112189898E-13</v>
      </c>
      <c r="V62" s="144">
        <v>8</v>
      </c>
      <c r="W62" s="9">
        <v>33</v>
      </c>
      <c r="X62" s="9">
        <v>100</v>
      </c>
      <c r="Y62" s="9">
        <v>105.30432</v>
      </c>
      <c r="Z62" s="20" t="s">
        <v>20</v>
      </c>
      <c r="AA62" s="17">
        <v>2.6599999999999999E-2</v>
      </c>
      <c r="AB62" s="318">
        <v>8.7270299999999996E-4</v>
      </c>
      <c r="AC62" s="9">
        <v>1.04724E-2</v>
      </c>
      <c r="AD62" s="319">
        <v>2.6600000000000001E-4</v>
      </c>
      <c r="AE62" s="320">
        <v>1.6528473713513099E-7</v>
      </c>
      <c r="AF62" s="9">
        <v>0.26600000000000001</v>
      </c>
      <c r="AG62" s="318">
        <v>2.9090099999999999E-4</v>
      </c>
      <c r="AH62" s="10">
        <f>2*(W62+X62)</f>
        <v>266</v>
      </c>
      <c r="AI62" s="17">
        <f>W62*X62/1000000</f>
        <v>3.3E-3</v>
      </c>
      <c r="AJ62" s="39">
        <v>3.3000000000000003E-5</v>
      </c>
      <c r="AK62" s="39">
        <v>3.3000000000000002E-7</v>
      </c>
      <c r="AL62" s="39">
        <v>3.3000000000000002E-9</v>
      </c>
      <c r="AM62" s="40">
        <v>5.1150102300204603E-6</v>
      </c>
      <c r="AN62" s="40">
        <v>3.5520904375142098E-8</v>
      </c>
      <c r="AO62" s="39">
        <v>3.3000000000000002E-11</v>
      </c>
      <c r="AP62" s="39">
        <v>3.3000000000000001E-13</v>
      </c>
      <c r="AQ62" s="45">
        <v>8.1544775884164596E-13</v>
      </c>
      <c r="AR62" s="271" t="s">
        <v>20</v>
      </c>
      <c r="AS62" s="356">
        <f t="shared" si="20"/>
        <v>-9.4668800443287182E-7</v>
      </c>
      <c r="AT62" s="218">
        <f t="shared" si="21"/>
        <v>0</v>
      </c>
      <c r="AU62" s="97">
        <f t="shared" si="22"/>
        <v>0</v>
      </c>
      <c r="AV62" s="97">
        <f t="shared" si="23"/>
        <v>0</v>
      </c>
      <c r="AW62" s="97">
        <f t="shared" si="24"/>
        <v>0</v>
      </c>
      <c r="AX62" s="97">
        <f t="shared" si="25"/>
        <v>-7.1179529341274008E-7</v>
      </c>
      <c r="AY62" s="97">
        <f t="shared" si="26"/>
        <v>0</v>
      </c>
      <c r="AZ62" s="97">
        <f t="shared" si="27"/>
        <v>0</v>
      </c>
      <c r="BA62" s="231">
        <f t="shared" si="28"/>
        <v>0</v>
      </c>
      <c r="BB62" s="218">
        <f t="shared" si="29"/>
        <v>0</v>
      </c>
      <c r="BC62" s="97">
        <f t="shared" si="30"/>
        <v>-9.4668788275747473E-7</v>
      </c>
      <c r="BD62" s="97">
        <f t="shared" si="31"/>
        <v>-9.4668788147409149E-7</v>
      </c>
      <c r="BE62" s="97">
        <f t="shared" si="32"/>
        <v>-9.4668788247673466E-7</v>
      </c>
      <c r="BF62" s="97">
        <f t="shared" si="33"/>
        <v>-9.4668804875231818E-7</v>
      </c>
      <c r="BG62" s="97">
        <f t="shared" si="34"/>
        <v>-9.4668816881051104E-7</v>
      </c>
      <c r="BH62" s="97">
        <f t="shared" si="35"/>
        <v>-9.4668788404336456E-7</v>
      </c>
      <c r="BI62" s="97">
        <f t="shared" si="36"/>
        <v>-9.466878877151536E-7</v>
      </c>
      <c r="BJ62" s="231">
        <f t="shared" si="37"/>
        <v>-9.4668810999908779E-7</v>
      </c>
    </row>
    <row r="64" spans="1:62" x14ac:dyDescent="0.25">
      <c r="A64" s="145" t="s">
        <v>2</v>
      </c>
      <c r="B64" t="s">
        <v>3</v>
      </c>
    </row>
    <row r="65" spans="1:2" x14ac:dyDescent="0.25">
      <c r="A65" s="145" t="s">
        <v>44</v>
      </c>
      <c r="B65" s="507">
        <v>40788</v>
      </c>
    </row>
  </sheetData>
  <mergeCells count="43">
    <mergeCell ref="AR20:AS20"/>
    <mergeCell ref="B21:B22"/>
    <mergeCell ref="X21:X22"/>
    <mergeCell ref="AT20:BA21"/>
    <mergeCell ref="BB20:BJ21"/>
    <mergeCell ref="Y21:Y22"/>
    <mergeCell ref="Z21:Z22"/>
    <mergeCell ref="AR21:AR22"/>
    <mergeCell ref="A20:D20"/>
    <mergeCell ref="AA20:AH21"/>
    <mergeCell ref="AI20:AQ21"/>
    <mergeCell ref="A21:A22"/>
    <mergeCell ref="C21:C22"/>
    <mergeCell ref="D21:D22"/>
    <mergeCell ref="V21:V22"/>
    <mergeCell ref="W21:W22"/>
    <mergeCell ref="A1:U1"/>
    <mergeCell ref="V1:AQ1"/>
    <mergeCell ref="AR1:BJ1"/>
    <mergeCell ref="AT52:BA53"/>
    <mergeCell ref="BB52:BJ53"/>
    <mergeCell ref="W53:W54"/>
    <mergeCell ref="X53:X54"/>
    <mergeCell ref="A52:D52"/>
    <mergeCell ref="E52:L53"/>
    <mergeCell ref="M52:U53"/>
    <mergeCell ref="V52:Z52"/>
    <mergeCell ref="A53:A54"/>
    <mergeCell ref="E20:L21"/>
    <mergeCell ref="M20:U21"/>
    <mergeCell ref="V20:Z20"/>
    <mergeCell ref="AA52:AH53"/>
    <mergeCell ref="B53:B54"/>
    <mergeCell ref="C53:C54"/>
    <mergeCell ref="D53:D54"/>
    <mergeCell ref="V53:V54"/>
    <mergeCell ref="AS21:AS22"/>
    <mergeCell ref="AR53:AR54"/>
    <mergeCell ref="AS53:AS54"/>
    <mergeCell ref="AR52:AS52"/>
    <mergeCell ref="AI52:AQ53"/>
    <mergeCell ref="Y53:Y54"/>
    <mergeCell ref="Z53:Z54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U488"/>
  <sheetViews>
    <sheetView zoomScaleNormal="100" workbookViewId="0">
      <pane ySplit="1" topLeftCell="A20" activePane="bottomLeft" state="frozen"/>
      <selection pane="bottomLeft" activeCell="B488" sqref="A487:B488"/>
    </sheetView>
  </sheetViews>
  <sheetFormatPr defaultRowHeight="15" x14ac:dyDescent="0.25"/>
  <cols>
    <col min="1" max="1" width="20.42578125" customWidth="1"/>
    <col min="2" max="2" width="18.42578125" bestFit="1" customWidth="1"/>
    <col min="3" max="3" width="12.140625" bestFit="1" customWidth="1"/>
    <col min="4" max="4" width="14.42578125" bestFit="1" customWidth="1"/>
    <col min="5" max="5" width="19.7109375" bestFit="1" customWidth="1"/>
    <col min="6" max="6" width="21.5703125" customWidth="1"/>
    <col min="7" max="7" width="19.7109375" bestFit="1" customWidth="1"/>
    <col min="8" max="8" width="13.5703125" bestFit="1" customWidth="1"/>
    <col min="9" max="9" width="12.140625" bestFit="1" customWidth="1"/>
    <col min="10" max="10" width="24.28515625" bestFit="1" customWidth="1"/>
    <col min="11" max="11" width="13.28515625" bestFit="1" customWidth="1"/>
    <col min="12" max="12" width="16.140625" bestFit="1" customWidth="1"/>
    <col min="13" max="13" width="66.7109375" bestFit="1" customWidth="1"/>
    <col min="14" max="14" width="11.140625" bestFit="1" customWidth="1"/>
    <col min="15" max="15" width="24.28515625" bestFit="1" customWidth="1"/>
    <col min="16" max="16" width="14.5703125" bestFit="1" customWidth="1"/>
    <col min="17" max="17" width="25.42578125" bestFit="1" customWidth="1"/>
    <col min="18" max="18" width="27.5703125" bestFit="1" customWidth="1"/>
    <col min="19" max="19" width="30" bestFit="1" customWidth="1"/>
    <col min="20" max="20" width="32.140625" bestFit="1" customWidth="1"/>
    <col min="21" max="21" width="27.5703125" bestFit="1" customWidth="1"/>
    <col min="22" max="22" width="30" bestFit="1" customWidth="1"/>
    <col min="23" max="23" width="34.5703125" bestFit="1" customWidth="1"/>
    <col min="24" max="24" width="31.140625" bestFit="1" customWidth="1"/>
    <col min="25" max="25" width="35.7109375" bestFit="1" customWidth="1"/>
    <col min="26" max="26" width="8" bestFit="1" customWidth="1"/>
    <col min="27" max="29" width="12.140625" bestFit="1" customWidth="1"/>
    <col min="30" max="30" width="11.42578125" bestFit="1" customWidth="1"/>
    <col min="31" max="32" width="19.7109375" bestFit="1" customWidth="1"/>
    <col min="33" max="33" width="18.42578125" bestFit="1" customWidth="1"/>
    <col min="34" max="34" width="13.5703125" bestFit="1" customWidth="1"/>
    <col min="35" max="35" width="12.140625" bestFit="1" customWidth="1"/>
    <col min="36" max="36" width="24.28515625" bestFit="1" customWidth="1"/>
    <col min="37" max="37" width="13.28515625" bestFit="1" customWidth="1"/>
    <col min="38" max="38" width="13.85546875" bestFit="1" customWidth="1"/>
    <col min="39" max="39" width="28.85546875" bestFit="1" customWidth="1"/>
    <col min="40" max="40" width="12.140625" bestFit="1" customWidth="1"/>
    <col min="41" max="41" width="24.28515625" bestFit="1" customWidth="1"/>
    <col min="42" max="42" width="14.5703125" bestFit="1" customWidth="1"/>
    <col min="43" max="43" width="20.28515625" bestFit="1" customWidth="1"/>
    <col min="44" max="44" width="17.85546875" bestFit="1" customWidth="1"/>
    <col min="45" max="45" width="16.140625" bestFit="1" customWidth="1"/>
    <col min="46" max="46" width="18.42578125" bestFit="1" customWidth="1"/>
    <col min="47" max="47" width="24.28515625" bestFit="1" customWidth="1"/>
    <col min="48" max="48" width="27.5703125" bestFit="1" customWidth="1"/>
    <col min="49" max="49" width="20.7109375" bestFit="1" customWidth="1"/>
    <col min="50" max="50" width="23" bestFit="1" customWidth="1"/>
    <col min="51" max="51" width="32.140625" bestFit="1" customWidth="1"/>
    <col min="52" max="52" width="14.42578125" bestFit="1" customWidth="1"/>
    <col min="53" max="55" width="26" bestFit="1" customWidth="1"/>
    <col min="56" max="56" width="13.5703125" bestFit="1" customWidth="1"/>
    <col min="57" max="62" width="22.5703125" bestFit="1" customWidth="1"/>
    <col min="63" max="63" width="23.85546875" bestFit="1" customWidth="1"/>
    <col min="64" max="66" width="24.85546875" bestFit="1" customWidth="1"/>
    <col min="67" max="67" width="23.85546875" bestFit="1" customWidth="1"/>
    <col min="68" max="69" width="24.85546875" bestFit="1" customWidth="1"/>
    <col min="70" max="70" width="33" bestFit="1" customWidth="1"/>
    <col min="71" max="73" width="24.85546875" bestFit="1" customWidth="1"/>
  </cols>
  <sheetData>
    <row r="1" spans="1:73" ht="21.75" thickBot="1" x14ac:dyDescent="0.3">
      <c r="A1" s="894" t="s">
        <v>33</v>
      </c>
      <c r="B1" s="895"/>
      <c r="C1" s="895"/>
      <c r="D1" s="895"/>
      <c r="E1" s="895"/>
      <c r="F1" s="895"/>
      <c r="G1" s="895"/>
      <c r="H1" s="895"/>
      <c r="I1" s="895"/>
      <c r="J1" s="895"/>
      <c r="K1" s="895"/>
      <c r="L1" s="895"/>
      <c r="M1" s="895"/>
      <c r="N1" s="895"/>
      <c r="O1" s="895"/>
      <c r="P1" s="895"/>
      <c r="Q1" s="895"/>
      <c r="R1" s="895"/>
      <c r="S1" s="895"/>
      <c r="T1" s="895"/>
      <c r="U1" s="895"/>
      <c r="V1" s="895"/>
      <c r="W1" s="895"/>
      <c r="X1" s="895"/>
      <c r="Y1" s="896"/>
      <c r="Z1" s="894" t="s">
        <v>34</v>
      </c>
      <c r="AA1" s="895"/>
      <c r="AB1" s="895"/>
      <c r="AC1" s="895"/>
      <c r="AD1" s="895"/>
      <c r="AE1" s="895"/>
      <c r="AF1" s="895"/>
      <c r="AG1" s="895"/>
      <c r="AH1" s="895"/>
      <c r="AI1" s="895"/>
      <c r="AJ1" s="895"/>
      <c r="AK1" s="895"/>
      <c r="AL1" s="895"/>
      <c r="AM1" s="895"/>
      <c r="AN1" s="895"/>
      <c r="AO1" s="895"/>
      <c r="AP1" s="895"/>
      <c r="AQ1" s="895"/>
      <c r="AR1" s="895"/>
      <c r="AS1" s="895"/>
      <c r="AT1" s="895"/>
      <c r="AU1" s="895"/>
      <c r="AV1" s="895"/>
      <c r="AW1" s="895"/>
      <c r="AX1" s="895"/>
      <c r="AY1" s="896"/>
      <c r="AZ1" s="894" t="s">
        <v>35</v>
      </c>
      <c r="BA1" s="895"/>
      <c r="BB1" s="895"/>
      <c r="BC1" s="895"/>
      <c r="BD1" s="895"/>
      <c r="BE1" s="895"/>
      <c r="BF1" s="895"/>
      <c r="BG1" s="895"/>
      <c r="BH1" s="895"/>
      <c r="BI1" s="895"/>
      <c r="BJ1" s="895"/>
      <c r="BK1" s="895"/>
      <c r="BL1" s="895"/>
      <c r="BM1" s="895"/>
      <c r="BN1" s="895"/>
      <c r="BO1" s="895"/>
      <c r="BP1" s="895"/>
      <c r="BQ1" s="895"/>
      <c r="BR1" s="895"/>
      <c r="BS1" s="895"/>
      <c r="BT1" s="895"/>
      <c r="BU1" s="896"/>
    </row>
    <row r="2" spans="1:73" x14ac:dyDescent="0.25">
      <c r="A2" s="145"/>
      <c r="B2" s="507"/>
    </row>
    <row r="3" spans="1:73" s="4" customFormat="1" ht="18.75" x14ac:dyDescent="0.3">
      <c r="A3" s="627"/>
      <c r="B3" s="627"/>
      <c r="C3" s="627"/>
      <c r="D3" s="627"/>
      <c r="E3" s="627"/>
      <c r="F3" s="627"/>
      <c r="G3" s="627"/>
      <c r="H3" s="627"/>
      <c r="I3" s="627"/>
      <c r="J3" s="627"/>
      <c r="K3" s="627"/>
      <c r="L3" s="627"/>
      <c r="M3" s="627"/>
      <c r="N3" s="627"/>
      <c r="O3" s="627"/>
      <c r="P3" s="627"/>
      <c r="Q3" s="627"/>
      <c r="R3" s="627"/>
      <c r="S3" s="627"/>
      <c r="T3" s="627"/>
      <c r="U3" s="627"/>
      <c r="V3" s="627"/>
      <c r="W3" s="627"/>
      <c r="X3" s="626"/>
      <c r="Y3" s="635">
        <v>6</v>
      </c>
      <c r="Z3" s="627"/>
      <c r="AA3" s="627"/>
      <c r="AB3" s="626"/>
      <c r="AC3" s="627"/>
      <c r="AD3" s="627"/>
      <c r="AE3" s="626">
        <v>7</v>
      </c>
      <c r="AF3" s="627"/>
      <c r="AG3" s="625"/>
      <c r="AH3" s="625"/>
      <c r="AI3" s="625"/>
      <c r="AJ3" s="625"/>
      <c r="AK3" s="625"/>
      <c r="AL3" s="625"/>
      <c r="AM3" s="633">
        <v>8</v>
      </c>
      <c r="AN3" s="625"/>
      <c r="AO3" s="625"/>
      <c r="AP3" s="625"/>
    </row>
    <row r="4" spans="1:73" s="4" customFormat="1" ht="18.75" x14ac:dyDescent="0.3">
      <c r="A4" s="627"/>
      <c r="B4" s="626"/>
      <c r="C4" s="626"/>
      <c r="D4" s="626">
        <v>1</v>
      </c>
      <c r="E4" s="627"/>
      <c r="F4" s="627"/>
      <c r="G4" s="626"/>
      <c r="H4" s="626"/>
      <c r="I4" s="626">
        <v>2</v>
      </c>
      <c r="J4" s="626"/>
      <c r="K4" s="627"/>
      <c r="L4" s="626"/>
      <c r="M4" s="635">
        <v>3</v>
      </c>
      <c r="N4" s="625"/>
      <c r="O4" s="627"/>
      <c r="P4" s="627"/>
      <c r="Q4" s="626"/>
      <c r="R4" s="635">
        <v>4</v>
      </c>
      <c r="S4" s="625"/>
      <c r="T4" s="627"/>
      <c r="U4" s="626"/>
      <c r="V4" s="635">
        <v>5</v>
      </c>
      <c r="W4" s="625"/>
      <c r="X4" s="625"/>
      <c r="Y4" s="627"/>
      <c r="Z4" s="627"/>
      <c r="AA4" s="625"/>
      <c r="AB4" s="627"/>
      <c r="AC4" s="627"/>
      <c r="AD4" s="627"/>
      <c r="AE4" s="627"/>
      <c r="AF4" s="625"/>
      <c r="AG4" s="625"/>
      <c r="AH4" s="625"/>
      <c r="AI4" s="625"/>
      <c r="AJ4" s="625"/>
      <c r="AK4" s="625"/>
      <c r="AL4" s="632"/>
      <c r="AM4" s="625"/>
      <c r="AN4" s="625"/>
      <c r="AO4" s="625"/>
      <c r="AP4" s="625"/>
    </row>
    <row r="5" spans="1:73" s="4" customFormat="1" x14ac:dyDescent="0.25">
      <c r="A5" s="627"/>
      <c r="B5" s="627"/>
      <c r="C5" s="627"/>
      <c r="D5" s="627"/>
      <c r="E5" s="627"/>
      <c r="F5" s="627"/>
      <c r="G5" s="627"/>
      <c r="H5" s="627"/>
      <c r="I5" s="627"/>
      <c r="J5" s="627"/>
      <c r="K5" s="627"/>
      <c r="L5" s="627"/>
      <c r="M5" s="627"/>
      <c r="N5" s="627"/>
      <c r="O5" s="627"/>
      <c r="P5" s="627"/>
      <c r="Q5" s="627"/>
      <c r="R5" s="627"/>
      <c r="S5" s="627"/>
      <c r="T5" s="627"/>
      <c r="U5" s="627"/>
      <c r="V5" s="625"/>
      <c r="W5" s="627"/>
      <c r="X5" s="627"/>
      <c r="Y5" s="627"/>
      <c r="Z5" s="627"/>
      <c r="AA5" s="627"/>
      <c r="AB5" s="627"/>
      <c r="AC5" s="627"/>
      <c r="AD5" s="627"/>
      <c r="AE5" s="627"/>
      <c r="AF5" s="627"/>
      <c r="AG5" s="625"/>
      <c r="AH5" s="625"/>
      <c r="AI5" s="625"/>
      <c r="AJ5" s="625"/>
      <c r="AK5" s="625"/>
      <c r="AL5" s="625"/>
      <c r="AM5" s="625"/>
      <c r="AN5" s="625"/>
      <c r="AO5" s="625"/>
      <c r="AP5" s="625"/>
    </row>
    <row r="6" spans="1:73" s="4" customFormat="1" x14ac:dyDescent="0.25">
      <c r="A6" s="627"/>
      <c r="B6" s="627"/>
      <c r="C6" s="627"/>
      <c r="D6" s="627"/>
      <c r="E6" s="627"/>
      <c r="F6" s="627"/>
      <c r="G6" s="627"/>
      <c r="H6" s="627"/>
      <c r="I6" s="627"/>
      <c r="J6" s="627"/>
      <c r="K6" s="627"/>
      <c r="L6" s="627"/>
      <c r="M6" s="627"/>
      <c r="N6" s="627"/>
      <c r="O6" s="627"/>
      <c r="P6" s="627"/>
      <c r="Q6" s="627"/>
      <c r="R6" s="627"/>
      <c r="S6" s="627"/>
      <c r="T6" s="627"/>
      <c r="U6" s="627"/>
      <c r="V6" s="627"/>
      <c r="W6" s="627"/>
      <c r="X6" s="627"/>
      <c r="Y6" s="627"/>
      <c r="Z6" s="627"/>
      <c r="AA6" s="627"/>
      <c r="AB6" s="627"/>
      <c r="AC6" s="627"/>
      <c r="AD6" s="627"/>
      <c r="AE6" s="627"/>
      <c r="AF6" s="627"/>
      <c r="AG6" s="625"/>
      <c r="AH6" s="625"/>
      <c r="AI6" s="625"/>
      <c r="AJ6" s="625"/>
      <c r="AK6" s="625"/>
      <c r="AL6" s="625"/>
      <c r="AM6" s="625"/>
      <c r="AN6" s="625"/>
      <c r="AO6" s="625"/>
      <c r="AP6" s="625"/>
    </row>
    <row r="7" spans="1:73" s="4" customFormat="1" x14ac:dyDescent="0.25">
      <c r="A7" s="627"/>
      <c r="B7" s="627"/>
      <c r="C7" s="627"/>
      <c r="D7" s="627"/>
      <c r="E7" s="627"/>
      <c r="F7" s="627"/>
      <c r="G7" s="627"/>
      <c r="H7" s="627"/>
      <c r="I7" s="627"/>
      <c r="J7" s="627"/>
      <c r="K7" s="627"/>
      <c r="L7" s="627"/>
      <c r="M7" s="627"/>
      <c r="N7" s="627"/>
      <c r="O7" s="627"/>
      <c r="P7" s="627"/>
      <c r="Q7" s="627"/>
      <c r="R7" s="627"/>
      <c r="S7" s="627"/>
      <c r="T7" s="627"/>
      <c r="U7" s="627"/>
      <c r="V7" s="627"/>
      <c r="W7" s="627"/>
      <c r="X7" s="627"/>
      <c r="Y7" s="627"/>
      <c r="Z7" s="627"/>
      <c r="AA7" s="627"/>
      <c r="AB7" s="627"/>
      <c r="AC7" s="627"/>
      <c r="AD7" s="627"/>
      <c r="AE7" s="627"/>
      <c r="AF7" s="627"/>
      <c r="AG7" s="625"/>
      <c r="AH7" s="625"/>
      <c r="AI7" s="625"/>
      <c r="AJ7" s="625"/>
      <c r="AK7" s="625"/>
      <c r="AL7" s="625"/>
      <c r="AM7" s="625"/>
      <c r="AN7" s="625"/>
      <c r="AO7" s="625"/>
      <c r="AP7" s="625"/>
    </row>
    <row r="8" spans="1:73" s="4" customFormat="1" x14ac:dyDescent="0.25">
      <c r="A8" s="627"/>
      <c r="B8" s="627"/>
      <c r="C8" s="627"/>
      <c r="D8" s="627"/>
      <c r="E8" s="627"/>
      <c r="F8" s="627"/>
      <c r="G8" s="627"/>
      <c r="H8" s="627"/>
      <c r="I8" s="627"/>
      <c r="J8" s="627"/>
      <c r="K8" s="627"/>
      <c r="L8" s="627"/>
      <c r="M8" s="627"/>
      <c r="N8" s="627"/>
      <c r="O8" s="627"/>
      <c r="P8" s="627"/>
      <c r="Q8" s="627"/>
      <c r="R8" s="627"/>
      <c r="S8" s="627"/>
      <c r="T8" s="627"/>
      <c r="U8" s="627"/>
      <c r="V8" s="627"/>
      <c r="W8" s="627"/>
      <c r="X8" s="627"/>
      <c r="Y8" s="627"/>
      <c r="Z8" s="627"/>
      <c r="AA8" s="627"/>
      <c r="AB8" s="627"/>
      <c r="AC8" s="627"/>
      <c r="AD8" s="627"/>
      <c r="AE8" s="627"/>
      <c r="AF8" s="627"/>
      <c r="AG8" s="625"/>
      <c r="AH8" s="625"/>
      <c r="AI8" s="625"/>
      <c r="AJ8" s="625"/>
      <c r="AK8" s="625"/>
      <c r="AL8" s="625"/>
      <c r="AM8" s="625"/>
      <c r="AN8" s="625"/>
      <c r="AO8" s="625"/>
      <c r="AP8" s="625"/>
    </row>
    <row r="9" spans="1:73" s="4" customFormat="1" x14ac:dyDescent="0.25">
      <c r="A9" s="627"/>
      <c r="B9" s="627"/>
      <c r="C9" s="627"/>
      <c r="D9" s="627"/>
      <c r="E9" s="627"/>
      <c r="F9" s="627"/>
      <c r="G9" s="627"/>
      <c r="H9" s="627"/>
      <c r="I9" s="627"/>
      <c r="J9" s="627"/>
      <c r="K9" s="627"/>
      <c r="L9" s="627"/>
      <c r="M9" s="627"/>
      <c r="N9" s="627"/>
      <c r="O9" s="627"/>
      <c r="P9" s="627"/>
      <c r="Q9" s="627"/>
      <c r="R9" s="627"/>
      <c r="S9" s="627"/>
      <c r="T9" s="627"/>
      <c r="U9" s="627"/>
      <c r="V9" s="627"/>
      <c r="W9" s="627"/>
      <c r="X9" s="627"/>
      <c r="Y9" s="627"/>
      <c r="Z9" s="627"/>
      <c r="AA9" s="627"/>
      <c r="AB9" s="627"/>
      <c r="AC9" s="627"/>
      <c r="AD9" s="627"/>
      <c r="AE9" s="627"/>
      <c r="AF9" s="627"/>
      <c r="AG9" s="625"/>
      <c r="AH9" s="625"/>
      <c r="AI9" s="625"/>
      <c r="AJ9" s="625"/>
      <c r="AK9" s="625"/>
      <c r="AL9" s="625"/>
      <c r="AM9" s="625"/>
      <c r="AN9" s="625"/>
      <c r="AO9" s="625"/>
      <c r="AP9" s="625"/>
    </row>
    <row r="10" spans="1:73" s="4" customFormat="1" x14ac:dyDescent="0.25">
      <c r="A10" s="627"/>
      <c r="B10" s="627"/>
      <c r="C10" s="627"/>
      <c r="D10" s="627"/>
      <c r="E10" s="627"/>
      <c r="F10" s="627"/>
      <c r="G10" s="627"/>
      <c r="H10" s="627"/>
      <c r="I10" s="627"/>
      <c r="J10" s="627"/>
      <c r="K10" s="627"/>
      <c r="L10" s="627"/>
      <c r="M10" s="627"/>
      <c r="N10" s="627"/>
      <c r="O10" s="627"/>
      <c r="P10" s="627"/>
      <c r="Q10" s="627"/>
      <c r="R10" s="627"/>
      <c r="S10" s="627"/>
      <c r="T10" s="627"/>
      <c r="U10" s="627"/>
      <c r="V10" s="627"/>
      <c r="W10" s="627"/>
      <c r="X10" s="627"/>
      <c r="Y10" s="627"/>
      <c r="Z10" s="627"/>
      <c r="AA10" s="627"/>
      <c r="AB10" s="627"/>
      <c r="AC10" s="627"/>
      <c r="AD10" s="627"/>
      <c r="AE10" s="627"/>
      <c r="AF10" s="627"/>
      <c r="AG10" s="625"/>
      <c r="AH10" s="625"/>
      <c r="AI10" s="625"/>
      <c r="AJ10" s="625"/>
      <c r="AK10" s="625"/>
      <c r="AL10" s="625"/>
      <c r="AM10" s="625"/>
      <c r="AN10" s="625"/>
      <c r="AO10" s="625"/>
      <c r="AP10" s="625"/>
    </row>
    <row r="11" spans="1:73" s="4" customFormat="1" x14ac:dyDescent="0.25">
      <c r="A11" s="627"/>
      <c r="B11" s="627"/>
      <c r="C11" s="627"/>
      <c r="D11" s="627"/>
      <c r="E11" s="627"/>
      <c r="F11" s="627"/>
      <c r="G11" s="627"/>
      <c r="H11" s="627"/>
      <c r="I11" s="627"/>
      <c r="J11" s="627"/>
      <c r="K11" s="627"/>
      <c r="L11" s="627"/>
      <c r="M11" s="627"/>
      <c r="N11" s="627"/>
      <c r="O11" s="627"/>
      <c r="P11" s="627"/>
      <c r="Q11" s="627"/>
      <c r="R11" s="627"/>
      <c r="S11" s="627"/>
      <c r="T11" s="627"/>
      <c r="U11" s="627"/>
      <c r="V11" s="627"/>
      <c r="W11" s="627"/>
      <c r="X11" s="627"/>
      <c r="Y11" s="627"/>
      <c r="Z11" s="627"/>
      <c r="AA11" s="627"/>
      <c r="AB11" s="627"/>
      <c r="AC11" s="627"/>
      <c r="AD11" s="627"/>
      <c r="AE11" s="627"/>
      <c r="AF11" s="627"/>
      <c r="AG11" s="625"/>
      <c r="AH11" s="625"/>
      <c r="AI11" s="625"/>
      <c r="AJ11" s="625"/>
      <c r="AK11" s="625"/>
      <c r="AL11" s="625"/>
      <c r="AM11" s="625"/>
      <c r="AN11" s="625"/>
      <c r="AO11" s="625"/>
      <c r="AP11" s="625"/>
    </row>
    <row r="12" spans="1:73" s="4" customFormat="1" x14ac:dyDescent="0.25">
      <c r="A12" s="627"/>
      <c r="B12" s="627"/>
      <c r="C12" s="627"/>
      <c r="D12" s="627"/>
      <c r="E12" s="627"/>
      <c r="F12" s="627"/>
      <c r="G12" s="627"/>
      <c r="H12" s="627"/>
      <c r="I12" s="627"/>
      <c r="J12" s="627"/>
      <c r="K12" s="627"/>
      <c r="L12" s="627"/>
      <c r="M12" s="627"/>
      <c r="N12" s="627"/>
      <c r="O12" s="627"/>
      <c r="P12" s="627"/>
      <c r="Q12" s="627"/>
      <c r="R12" s="627"/>
      <c r="S12" s="627"/>
      <c r="T12" s="627"/>
      <c r="U12" s="627"/>
      <c r="V12" s="627"/>
      <c r="W12" s="627"/>
      <c r="X12" s="627"/>
      <c r="Y12" s="627"/>
      <c r="Z12" s="627"/>
      <c r="AA12" s="627"/>
      <c r="AB12" s="627"/>
      <c r="AC12" s="627"/>
      <c r="AD12" s="627"/>
      <c r="AE12" s="627"/>
      <c r="AF12" s="627"/>
      <c r="AG12" s="625"/>
      <c r="AH12" s="625"/>
      <c r="AI12" s="625"/>
      <c r="AJ12" s="625"/>
      <c r="AK12" s="625"/>
      <c r="AL12" s="625"/>
      <c r="AM12" s="625"/>
      <c r="AN12" s="625"/>
      <c r="AO12" s="625"/>
      <c r="AP12" s="625"/>
    </row>
    <row r="13" spans="1:73" s="4" customFormat="1" x14ac:dyDescent="0.25">
      <c r="A13" s="627"/>
      <c r="B13" s="627"/>
      <c r="C13" s="627"/>
      <c r="D13" s="627"/>
      <c r="E13" s="627"/>
      <c r="F13" s="627"/>
      <c r="G13" s="627"/>
      <c r="H13" s="627"/>
      <c r="I13" s="627"/>
      <c r="J13" s="627"/>
      <c r="K13" s="627"/>
      <c r="L13" s="627"/>
      <c r="M13" s="627"/>
      <c r="N13" s="627"/>
      <c r="O13" s="627"/>
      <c r="P13" s="627"/>
      <c r="Q13" s="627"/>
      <c r="R13" s="627"/>
      <c r="S13" s="627"/>
      <c r="T13" s="627"/>
      <c r="U13" s="627"/>
      <c r="V13" s="627"/>
      <c r="W13" s="627"/>
      <c r="X13" s="627"/>
      <c r="Y13" s="627"/>
      <c r="Z13" s="627"/>
      <c r="AA13" s="627"/>
      <c r="AB13" s="627"/>
      <c r="AC13" s="627"/>
      <c r="AD13" s="627"/>
      <c r="AE13" s="627"/>
      <c r="AF13" s="627"/>
      <c r="AG13" s="625"/>
      <c r="AH13" s="625"/>
      <c r="AI13" s="625"/>
      <c r="AJ13" s="625"/>
      <c r="AK13" s="625"/>
      <c r="AL13" s="625"/>
      <c r="AM13" s="625"/>
      <c r="AN13" s="625"/>
      <c r="AO13" s="625"/>
      <c r="AP13" s="625"/>
    </row>
    <row r="14" spans="1:73" s="4" customFormat="1" x14ac:dyDescent="0.25">
      <c r="A14" s="627"/>
      <c r="B14" s="627"/>
      <c r="C14" s="627"/>
      <c r="D14" s="627"/>
      <c r="E14" s="627"/>
      <c r="F14" s="627"/>
      <c r="G14" s="627"/>
      <c r="H14" s="627"/>
      <c r="I14" s="627"/>
      <c r="J14" s="627"/>
      <c r="K14" s="627"/>
      <c r="L14" s="627"/>
      <c r="M14" s="627"/>
      <c r="N14" s="627"/>
      <c r="O14" s="627"/>
      <c r="P14" s="627"/>
      <c r="Q14" s="627"/>
      <c r="R14" s="627"/>
      <c r="S14" s="627"/>
      <c r="T14" s="627"/>
      <c r="U14" s="627"/>
      <c r="V14" s="627"/>
      <c r="W14" s="627"/>
      <c r="X14" s="627"/>
      <c r="Y14" s="627"/>
      <c r="Z14" s="627"/>
      <c r="AA14" s="627"/>
      <c r="AB14" s="627"/>
      <c r="AC14" s="627"/>
      <c r="AD14" s="627"/>
      <c r="AE14" s="627"/>
      <c r="AF14" s="627"/>
      <c r="AG14" s="625"/>
      <c r="AH14" s="625"/>
      <c r="AI14" s="625"/>
      <c r="AJ14" s="625"/>
      <c r="AK14" s="625"/>
      <c r="AL14" s="625"/>
      <c r="AM14" s="625"/>
      <c r="AN14" s="625"/>
      <c r="AO14" s="625"/>
      <c r="AP14" s="625"/>
    </row>
    <row r="15" spans="1:73" s="4" customFormat="1" x14ac:dyDescent="0.25">
      <c r="A15" s="627"/>
      <c r="B15" s="627"/>
      <c r="C15" s="627"/>
      <c r="D15" s="627"/>
      <c r="E15" s="627"/>
      <c r="F15" s="627"/>
      <c r="G15" s="627"/>
      <c r="H15" s="627"/>
      <c r="I15" s="627"/>
      <c r="J15" s="627"/>
      <c r="K15" s="627"/>
      <c r="L15" s="627"/>
      <c r="M15" s="627"/>
      <c r="N15" s="627"/>
      <c r="O15" s="627"/>
      <c r="P15" s="627"/>
      <c r="Q15" s="627"/>
      <c r="R15" s="627"/>
      <c r="S15" s="627"/>
      <c r="T15" s="627"/>
      <c r="U15" s="627"/>
      <c r="V15" s="627"/>
      <c r="W15" s="627"/>
      <c r="X15" s="627"/>
      <c r="Y15" s="627"/>
      <c r="Z15" s="627"/>
      <c r="AA15" s="627"/>
      <c r="AB15" s="627"/>
      <c r="AC15" s="627"/>
      <c r="AD15" s="627"/>
      <c r="AE15" s="627"/>
      <c r="AF15" s="627"/>
      <c r="AG15" s="625"/>
      <c r="AH15" s="625"/>
      <c r="AI15" s="625"/>
      <c r="AJ15" s="625"/>
      <c r="AK15" s="625"/>
      <c r="AL15" s="625"/>
      <c r="AM15" s="625"/>
      <c r="AN15" s="625"/>
      <c r="AO15" s="625"/>
      <c r="AP15" s="625"/>
    </row>
    <row r="16" spans="1:73" s="4" customFormat="1" x14ac:dyDescent="0.25">
      <c r="A16" s="627"/>
      <c r="B16" s="627"/>
      <c r="C16" s="627"/>
      <c r="D16" s="627"/>
      <c r="E16" s="627"/>
      <c r="F16" s="627"/>
      <c r="G16" s="627"/>
      <c r="H16" s="627"/>
      <c r="I16" s="627"/>
      <c r="J16" s="627"/>
      <c r="K16" s="627"/>
      <c r="L16" s="627"/>
      <c r="M16" s="627"/>
      <c r="N16" s="627"/>
      <c r="O16" s="627"/>
      <c r="P16" s="627"/>
      <c r="Q16" s="627"/>
      <c r="R16" s="627"/>
      <c r="S16" s="627"/>
      <c r="T16" s="627"/>
      <c r="U16" s="627"/>
      <c r="V16" s="627"/>
      <c r="W16" s="627"/>
      <c r="X16" s="627"/>
      <c r="Y16" s="627"/>
      <c r="Z16" s="627"/>
      <c r="AA16" s="627"/>
      <c r="AB16" s="627"/>
      <c r="AC16" s="627"/>
      <c r="AD16" s="627"/>
      <c r="AE16" s="627"/>
      <c r="AF16" s="627"/>
      <c r="AG16" s="625"/>
      <c r="AH16" s="625"/>
      <c r="AI16" s="625"/>
      <c r="AJ16" s="625"/>
      <c r="AK16" s="625"/>
      <c r="AL16" s="625"/>
      <c r="AM16" s="625"/>
      <c r="AN16" s="625"/>
      <c r="AO16" s="625"/>
      <c r="AP16" s="625"/>
    </row>
    <row r="17" spans="1:73" s="4" customFormat="1" x14ac:dyDescent="0.25">
      <c r="A17" s="627"/>
      <c r="B17" s="627"/>
      <c r="C17" s="627"/>
      <c r="D17" s="627"/>
      <c r="E17" s="627"/>
      <c r="F17" s="627"/>
      <c r="G17" s="627"/>
      <c r="H17" s="627"/>
      <c r="I17" s="627"/>
      <c r="J17" s="627"/>
      <c r="K17" s="627"/>
      <c r="L17" s="627"/>
      <c r="M17" s="627"/>
      <c r="N17" s="627"/>
      <c r="O17" s="627"/>
      <c r="P17" s="627"/>
      <c r="Q17" s="627"/>
      <c r="R17" s="627"/>
      <c r="S17" s="627"/>
      <c r="T17" s="627"/>
      <c r="U17" s="627"/>
      <c r="V17" s="627"/>
      <c r="W17" s="627"/>
      <c r="X17" s="627"/>
      <c r="Y17" s="627"/>
      <c r="Z17" s="627"/>
      <c r="AA17" s="627"/>
      <c r="AB17" s="627"/>
      <c r="AC17" s="627"/>
      <c r="AD17" s="627"/>
      <c r="AE17" s="627"/>
      <c r="AF17" s="627"/>
      <c r="AG17" s="625"/>
      <c r="AH17" s="625"/>
      <c r="AI17" s="625"/>
      <c r="AJ17" s="625"/>
      <c r="AK17" s="625"/>
      <c r="AL17" s="625"/>
      <c r="AM17" s="625"/>
      <c r="AN17" s="625"/>
      <c r="AO17" s="625"/>
      <c r="AP17" s="625"/>
    </row>
    <row r="18" spans="1:73" s="4" customFormat="1" x14ac:dyDescent="0.25">
      <c r="A18" s="627"/>
      <c r="B18" s="627"/>
      <c r="C18" s="627"/>
      <c r="D18" s="627"/>
      <c r="E18" s="627"/>
      <c r="F18" s="627"/>
      <c r="G18" s="627"/>
      <c r="H18" s="627"/>
      <c r="I18" s="627"/>
      <c r="J18" s="627"/>
      <c r="K18" s="627"/>
      <c r="L18" s="627"/>
      <c r="M18" s="627"/>
      <c r="N18" s="627"/>
      <c r="O18" s="627"/>
      <c r="P18" s="627"/>
      <c r="Q18" s="627"/>
      <c r="R18" s="627"/>
      <c r="S18" s="627"/>
      <c r="T18" s="627"/>
      <c r="U18" s="627"/>
      <c r="V18" s="627"/>
      <c r="W18" s="627"/>
      <c r="X18" s="627"/>
      <c r="Y18" s="627"/>
      <c r="Z18" s="627"/>
      <c r="AA18" s="627"/>
      <c r="AB18" s="627"/>
      <c r="AC18" s="627"/>
      <c r="AD18" s="627"/>
      <c r="AE18" s="627"/>
      <c r="AF18" s="627"/>
      <c r="AG18" s="625"/>
      <c r="AH18" s="625"/>
      <c r="AI18" s="625"/>
      <c r="AJ18" s="625"/>
      <c r="AK18" s="625"/>
      <c r="AL18" s="625"/>
      <c r="AM18" s="625"/>
      <c r="AN18" s="625"/>
      <c r="AO18" s="625"/>
      <c r="AP18" s="625"/>
    </row>
    <row r="19" spans="1:73" s="4" customFormat="1" x14ac:dyDescent="0.25">
      <c r="A19" s="627"/>
      <c r="B19" s="627"/>
      <c r="C19" s="627"/>
      <c r="D19" s="627"/>
      <c r="E19" s="627"/>
      <c r="F19" s="627"/>
      <c r="G19" s="627"/>
      <c r="H19" s="627"/>
      <c r="I19" s="627"/>
      <c r="J19" s="627"/>
      <c r="K19" s="627"/>
      <c r="L19" s="627"/>
      <c r="M19" s="627"/>
      <c r="N19" s="627"/>
      <c r="O19" s="627"/>
      <c r="P19" s="627"/>
      <c r="Q19" s="627"/>
      <c r="R19" s="627"/>
      <c r="S19" s="627"/>
      <c r="T19" s="627"/>
      <c r="U19" s="627"/>
      <c r="V19" s="627"/>
      <c r="W19" s="627"/>
      <c r="X19" s="627"/>
      <c r="Y19" s="627"/>
      <c r="Z19" s="627"/>
      <c r="AA19" s="627"/>
      <c r="AB19" s="627"/>
      <c r="AC19" s="627"/>
      <c r="AD19" s="627"/>
      <c r="AE19" s="627"/>
      <c r="AF19" s="627"/>
      <c r="AG19" s="625"/>
      <c r="AH19" s="625"/>
      <c r="AI19" s="625"/>
      <c r="AJ19" s="625"/>
      <c r="AK19" s="625"/>
      <c r="AL19" s="625"/>
      <c r="AM19" s="625"/>
      <c r="AN19" s="625"/>
      <c r="AO19" s="625"/>
      <c r="AP19" s="625"/>
    </row>
    <row r="20" spans="1:73" s="4" customFormat="1" x14ac:dyDescent="0.25">
      <c r="A20" s="627"/>
      <c r="B20" s="627"/>
      <c r="C20" s="627"/>
      <c r="D20" s="627"/>
      <c r="E20" s="627"/>
      <c r="F20" s="627"/>
      <c r="G20" s="627"/>
      <c r="H20" s="627"/>
      <c r="I20" s="627"/>
      <c r="J20" s="627"/>
      <c r="K20" s="627"/>
      <c r="L20" s="627"/>
      <c r="M20" s="627"/>
      <c r="N20" s="627"/>
      <c r="O20" s="627"/>
      <c r="P20" s="627"/>
      <c r="Q20" s="627"/>
      <c r="R20" s="627"/>
      <c r="S20" s="627"/>
      <c r="T20" s="627"/>
      <c r="U20" s="627"/>
      <c r="V20" s="627"/>
      <c r="W20" s="627"/>
      <c r="X20" s="627"/>
      <c r="Y20" s="627"/>
      <c r="Z20" s="627"/>
      <c r="AA20" s="627"/>
      <c r="AB20" s="627"/>
      <c r="AC20" s="627"/>
      <c r="AD20" s="627"/>
      <c r="AE20" s="627"/>
      <c r="AF20" s="627"/>
      <c r="AG20" s="625"/>
      <c r="AH20" s="625"/>
      <c r="AI20" s="625"/>
      <c r="AJ20" s="625"/>
      <c r="AK20" s="625"/>
      <c r="AL20" s="625"/>
      <c r="AM20" s="625"/>
      <c r="AN20" s="625"/>
      <c r="AO20" s="625"/>
      <c r="AP20" s="625"/>
    </row>
    <row r="21" spans="1:73" ht="14.25" customHeight="1" x14ac:dyDescent="0.25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25"/>
      <c r="S21" s="625"/>
      <c r="T21" s="625"/>
      <c r="U21" s="625"/>
      <c r="V21" s="625"/>
      <c r="W21" s="625"/>
      <c r="X21" s="625"/>
      <c r="Y21" s="625"/>
      <c r="Z21" s="625"/>
      <c r="AA21" s="625"/>
      <c r="AB21" s="625"/>
      <c r="AC21" s="625"/>
      <c r="AD21" s="625"/>
      <c r="AE21" s="625"/>
      <c r="AF21" s="625"/>
      <c r="AG21" s="625"/>
      <c r="AH21" s="625"/>
      <c r="AI21" s="625"/>
      <c r="AJ21" s="625"/>
      <c r="AK21" s="625"/>
      <c r="AL21" s="625"/>
      <c r="AM21" s="625"/>
      <c r="AN21" s="625"/>
      <c r="AO21" s="625"/>
      <c r="AP21" s="625"/>
    </row>
    <row r="22" spans="1:73" ht="14.25" customHeight="1" x14ac:dyDescent="0.25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25"/>
      <c r="S22" s="625"/>
      <c r="T22" s="625"/>
      <c r="U22" s="625"/>
      <c r="V22" s="625"/>
      <c r="W22" s="625"/>
      <c r="X22" s="625"/>
      <c r="Y22" s="625"/>
      <c r="Z22" s="625"/>
      <c r="AA22" s="625"/>
      <c r="AB22" s="625"/>
      <c r="AC22" s="625"/>
      <c r="AD22" s="625"/>
      <c r="AE22" s="625"/>
      <c r="AF22" s="625"/>
      <c r="AG22" s="625"/>
      <c r="AH22" s="625"/>
      <c r="AI22" s="625"/>
      <c r="AJ22" s="625"/>
      <c r="AK22" s="625"/>
      <c r="AL22" s="625"/>
      <c r="AM22" s="625"/>
      <c r="AN22" s="625"/>
      <c r="AO22" s="625"/>
      <c r="AP22" s="625"/>
    </row>
    <row r="23" spans="1:73" ht="15.75" thickBot="1" x14ac:dyDescent="0.3"/>
    <row r="24" spans="1:73" ht="14.25" customHeight="1" thickBot="1" x14ac:dyDescent="0.3">
      <c r="A24" s="915" t="s">
        <v>11</v>
      </c>
      <c r="B24" s="916"/>
      <c r="C24" s="916"/>
      <c r="D24" s="916"/>
      <c r="E24" s="916"/>
      <c r="F24" s="916"/>
      <c r="G24" s="916"/>
      <c r="H24" s="931"/>
      <c r="I24" s="917" t="s">
        <v>1</v>
      </c>
      <c r="J24" s="902"/>
      <c r="K24" s="902"/>
      <c r="L24" s="902"/>
      <c r="M24" s="902"/>
      <c r="N24" s="902"/>
      <c r="O24" s="902"/>
      <c r="P24" s="903"/>
      <c r="Q24" s="917" t="s">
        <v>0</v>
      </c>
      <c r="R24" s="902"/>
      <c r="S24" s="902"/>
      <c r="T24" s="902"/>
      <c r="U24" s="902"/>
      <c r="V24" s="902"/>
      <c r="W24" s="902"/>
      <c r="X24" s="902"/>
      <c r="Y24" s="903"/>
      <c r="Z24" s="918"/>
      <c r="AA24" s="919"/>
      <c r="AB24" s="919"/>
      <c r="AC24" s="919"/>
      <c r="AD24" s="919"/>
      <c r="AE24" s="919"/>
      <c r="AF24" s="919"/>
      <c r="AG24" s="919"/>
      <c r="AH24" s="932"/>
      <c r="AI24" s="888" t="s">
        <v>42</v>
      </c>
      <c r="AJ24" s="889"/>
      <c r="AK24" s="889"/>
      <c r="AL24" s="889"/>
      <c r="AM24" s="889"/>
      <c r="AN24" s="889"/>
      <c r="AO24" s="889"/>
      <c r="AP24" s="890"/>
      <c r="AQ24" s="888" t="s">
        <v>43</v>
      </c>
      <c r="AR24" s="902"/>
      <c r="AS24" s="902"/>
      <c r="AT24" s="902"/>
      <c r="AU24" s="902"/>
      <c r="AV24" s="902"/>
      <c r="AW24" s="902"/>
      <c r="AX24" s="902"/>
      <c r="AY24" s="903"/>
      <c r="AZ24" s="900"/>
      <c r="BA24" s="900"/>
      <c r="BB24" s="900"/>
      <c r="BC24" s="900"/>
      <c r="BD24" s="928"/>
      <c r="BE24" s="901" t="s">
        <v>1</v>
      </c>
      <c r="BF24" s="902"/>
      <c r="BG24" s="902"/>
      <c r="BH24" s="902"/>
      <c r="BI24" s="902"/>
      <c r="BJ24" s="902"/>
      <c r="BK24" s="902"/>
      <c r="BL24" s="903"/>
      <c r="BM24" s="901" t="s">
        <v>0</v>
      </c>
      <c r="BN24" s="902"/>
      <c r="BO24" s="902"/>
      <c r="BP24" s="902"/>
      <c r="BQ24" s="902"/>
      <c r="BR24" s="902"/>
      <c r="BS24" s="902"/>
      <c r="BT24" s="902"/>
      <c r="BU24" s="903"/>
    </row>
    <row r="25" spans="1:73" ht="15" customHeight="1" thickBot="1" x14ac:dyDescent="0.3">
      <c r="A25" s="907" t="s">
        <v>12</v>
      </c>
      <c r="B25" s="909" t="s">
        <v>13</v>
      </c>
      <c r="C25" s="909" t="s">
        <v>14</v>
      </c>
      <c r="D25" s="911" t="s">
        <v>15</v>
      </c>
      <c r="E25" s="909" t="s">
        <v>16</v>
      </c>
      <c r="F25" s="909" t="s">
        <v>17</v>
      </c>
      <c r="G25" s="909" t="s">
        <v>18</v>
      </c>
      <c r="H25" s="929" t="s">
        <v>19</v>
      </c>
      <c r="I25" s="906"/>
      <c r="J25" s="904"/>
      <c r="K25" s="904"/>
      <c r="L25" s="904"/>
      <c r="M25" s="904"/>
      <c r="N25" s="904"/>
      <c r="O25" s="904"/>
      <c r="P25" s="905"/>
      <c r="Q25" s="906"/>
      <c r="R25" s="904"/>
      <c r="S25" s="904"/>
      <c r="T25" s="904"/>
      <c r="U25" s="904"/>
      <c r="V25" s="904"/>
      <c r="W25" s="904"/>
      <c r="X25" s="904"/>
      <c r="Y25" s="905"/>
      <c r="Z25" s="912" t="s">
        <v>40</v>
      </c>
      <c r="AA25" s="914" t="s">
        <v>12</v>
      </c>
      <c r="AB25" s="914" t="s">
        <v>13</v>
      </c>
      <c r="AC25" s="914" t="s">
        <v>14</v>
      </c>
      <c r="AD25" s="912" t="s">
        <v>41</v>
      </c>
      <c r="AE25" s="914" t="s">
        <v>16</v>
      </c>
      <c r="AF25" s="914" t="s">
        <v>17</v>
      </c>
      <c r="AG25" s="914" t="s">
        <v>18</v>
      </c>
      <c r="AH25" s="912" t="s">
        <v>19</v>
      </c>
      <c r="AI25" s="891"/>
      <c r="AJ25" s="892"/>
      <c r="AK25" s="892"/>
      <c r="AL25" s="892"/>
      <c r="AM25" s="892"/>
      <c r="AN25" s="892"/>
      <c r="AO25" s="892"/>
      <c r="AP25" s="893"/>
      <c r="AQ25" s="906"/>
      <c r="AR25" s="904"/>
      <c r="AS25" s="904"/>
      <c r="AT25" s="904"/>
      <c r="AU25" s="904"/>
      <c r="AV25" s="904"/>
      <c r="AW25" s="904"/>
      <c r="AX25" s="904"/>
      <c r="AY25" s="905"/>
      <c r="AZ25" s="897" t="s">
        <v>15</v>
      </c>
      <c r="BA25" s="899" t="s">
        <v>16</v>
      </c>
      <c r="BB25" s="899" t="s">
        <v>17</v>
      </c>
      <c r="BC25" s="899" t="s">
        <v>18</v>
      </c>
      <c r="BD25" s="897" t="s">
        <v>19</v>
      </c>
      <c r="BE25" s="904"/>
      <c r="BF25" s="904"/>
      <c r="BG25" s="904"/>
      <c r="BH25" s="904"/>
      <c r="BI25" s="904"/>
      <c r="BJ25" s="904"/>
      <c r="BK25" s="904"/>
      <c r="BL25" s="905"/>
      <c r="BM25" s="906"/>
      <c r="BN25" s="904"/>
      <c r="BO25" s="904"/>
      <c r="BP25" s="904"/>
      <c r="BQ25" s="904"/>
      <c r="BR25" s="904"/>
      <c r="BS25" s="904"/>
      <c r="BT25" s="904"/>
      <c r="BU25" s="905"/>
    </row>
    <row r="26" spans="1:73" ht="15.75" thickBot="1" x14ac:dyDescent="0.3">
      <c r="A26" s="908"/>
      <c r="B26" s="910"/>
      <c r="C26" s="910"/>
      <c r="D26" s="910"/>
      <c r="E26" s="910"/>
      <c r="F26" s="910"/>
      <c r="G26" s="910"/>
      <c r="H26" s="936"/>
      <c r="I26" s="103" t="s">
        <v>9</v>
      </c>
      <c r="J26" s="104" t="s">
        <v>5</v>
      </c>
      <c r="K26" s="104" t="s">
        <v>8</v>
      </c>
      <c r="L26" s="104" t="s">
        <v>4</v>
      </c>
      <c r="M26" s="104" t="s">
        <v>10</v>
      </c>
      <c r="N26" s="104" t="s">
        <v>6</v>
      </c>
      <c r="O26" s="104" t="s">
        <v>7</v>
      </c>
      <c r="P26" s="105" t="s">
        <v>20</v>
      </c>
      <c r="Q26" s="103" t="s">
        <v>22</v>
      </c>
      <c r="R26" s="104" t="s">
        <v>23</v>
      </c>
      <c r="S26" s="104" t="s">
        <v>24</v>
      </c>
      <c r="T26" s="104" t="s">
        <v>25</v>
      </c>
      <c r="U26" s="104" t="s">
        <v>26</v>
      </c>
      <c r="V26" s="104" t="s">
        <v>27</v>
      </c>
      <c r="W26" s="104" t="s">
        <v>28</v>
      </c>
      <c r="X26" s="104" t="s">
        <v>29</v>
      </c>
      <c r="Y26" s="105" t="s">
        <v>30</v>
      </c>
      <c r="Z26" s="913"/>
      <c r="AA26" s="913"/>
      <c r="AB26" s="913"/>
      <c r="AC26" s="913"/>
      <c r="AD26" s="913"/>
      <c r="AE26" s="913"/>
      <c r="AF26" s="913"/>
      <c r="AG26" s="913"/>
      <c r="AH26" s="913"/>
      <c r="AI26" s="109" t="s">
        <v>9</v>
      </c>
      <c r="AJ26" s="110" t="s">
        <v>5</v>
      </c>
      <c r="AK26" s="110" t="s">
        <v>8</v>
      </c>
      <c r="AL26" s="110" t="s">
        <v>4</v>
      </c>
      <c r="AM26" s="110" t="s">
        <v>10</v>
      </c>
      <c r="AN26" s="110" t="s">
        <v>6</v>
      </c>
      <c r="AO26" s="110" t="s">
        <v>7</v>
      </c>
      <c r="AP26" s="111" t="s">
        <v>20</v>
      </c>
      <c r="AQ26" s="106" t="s">
        <v>22</v>
      </c>
      <c r="AR26" s="107" t="s">
        <v>23</v>
      </c>
      <c r="AS26" s="107" t="s">
        <v>24</v>
      </c>
      <c r="AT26" s="107" t="s">
        <v>25</v>
      </c>
      <c r="AU26" s="107" t="s">
        <v>26</v>
      </c>
      <c r="AV26" s="107" t="s">
        <v>27</v>
      </c>
      <c r="AW26" s="107" t="s">
        <v>28</v>
      </c>
      <c r="AX26" s="107" t="s">
        <v>29</v>
      </c>
      <c r="AY26" s="108" t="s">
        <v>30</v>
      </c>
      <c r="AZ26" s="898"/>
      <c r="BA26" s="898"/>
      <c r="BB26" s="898"/>
      <c r="BC26" s="898"/>
      <c r="BD26" s="937"/>
      <c r="BE26" s="132" t="s">
        <v>9</v>
      </c>
      <c r="BF26" s="132" t="s">
        <v>5</v>
      </c>
      <c r="BG26" s="132" t="s">
        <v>8</v>
      </c>
      <c r="BH26" s="132" t="s">
        <v>4</v>
      </c>
      <c r="BI26" s="132" t="s">
        <v>10</v>
      </c>
      <c r="BJ26" s="132" t="s">
        <v>6</v>
      </c>
      <c r="BK26" s="132" t="s">
        <v>7</v>
      </c>
      <c r="BL26" s="132" t="s">
        <v>20</v>
      </c>
      <c r="BM26" s="131" t="s">
        <v>22</v>
      </c>
      <c r="BN26" s="131" t="s">
        <v>23</v>
      </c>
      <c r="BO26" s="131" t="s">
        <v>24</v>
      </c>
      <c r="BP26" s="131" t="s">
        <v>25</v>
      </c>
      <c r="BQ26" s="131" t="s">
        <v>26</v>
      </c>
      <c r="BR26" s="131" t="s">
        <v>27</v>
      </c>
      <c r="BS26" s="131" t="s">
        <v>28</v>
      </c>
      <c r="BT26" s="131" t="s">
        <v>29</v>
      </c>
      <c r="BU26" s="132" t="s">
        <v>30</v>
      </c>
    </row>
    <row r="27" spans="1:73" x14ac:dyDescent="0.25">
      <c r="A27" s="57">
        <v>3</v>
      </c>
      <c r="B27" s="57">
        <v>4</v>
      </c>
      <c r="C27" s="112">
        <v>6</v>
      </c>
      <c r="D27" s="210" t="s">
        <v>9</v>
      </c>
      <c r="E27" s="246">
        <v>26.384329749408</v>
      </c>
      <c r="F27" s="57">
        <v>36.336057514613898</v>
      </c>
      <c r="G27" s="112">
        <v>117.27961273597801</v>
      </c>
      <c r="H27" s="210" t="s">
        <v>21</v>
      </c>
      <c r="I27" s="114">
        <v>13</v>
      </c>
      <c r="J27" s="115">
        <v>0.42650900000000003</v>
      </c>
      <c r="K27" s="115">
        <v>5.1181099999999997</v>
      </c>
      <c r="L27" s="115">
        <v>0.13</v>
      </c>
      <c r="M27" s="116">
        <v>8.0778254990853402E-5</v>
      </c>
      <c r="N27" s="115">
        <v>130</v>
      </c>
      <c r="O27" s="115">
        <v>0.14216999999999999</v>
      </c>
      <c r="P27" s="117">
        <v>130000</v>
      </c>
      <c r="Q27" s="114">
        <v>533.26800000000003</v>
      </c>
      <c r="R27" s="115">
        <v>5.3326799999999999</v>
      </c>
      <c r="S27" s="115">
        <v>5.3326800000000001E-2</v>
      </c>
      <c r="T27" s="115">
        <v>5.3326800000000004E-4</v>
      </c>
      <c r="U27" s="115">
        <v>0.82656700000000005</v>
      </c>
      <c r="V27" s="115">
        <v>5.74005E-3</v>
      </c>
      <c r="W27" s="123">
        <v>5.3326822519253901E-6</v>
      </c>
      <c r="X27" s="124">
        <v>5.3326822519253902E-8</v>
      </c>
      <c r="Y27" s="125">
        <v>1.3177344821051999E-7</v>
      </c>
      <c r="Z27" s="142">
        <v>1</v>
      </c>
      <c r="AA27" s="13">
        <v>3</v>
      </c>
      <c r="AB27" s="7">
        <v>4</v>
      </c>
      <c r="AC27" s="14">
        <v>6</v>
      </c>
      <c r="AD27" s="18" t="s">
        <v>9</v>
      </c>
      <c r="AE27" s="13">
        <v>26.384329999999999</v>
      </c>
      <c r="AF27" s="7">
        <v>36.335991999999997</v>
      </c>
      <c r="AG27" s="14">
        <v>117.279678</v>
      </c>
      <c r="AH27" s="18" t="s">
        <v>21</v>
      </c>
      <c r="AI27" s="13">
        <f>AA27+AB27+AC27</f>
        <v>13</v>
      </c>
      <c r="AJ27" s="7">
        <v>0.42650900000000003</v>
      </c>
      <c r="AK27" s="7">
        <v>5.1181099999999997</v>
      </c>
      <c r="AL27" s="7">
        <v>0.13</v>
      </c>
      <c r="AM27" s="11">
        <v>8.0778254990853402E-5</v>
      </c>
      <c r="AN27" s="7">
        <v>130</v>
      </c>
      <c r="AO27" s="7">
        <v>0.14216999999999999</v>
      </c>
      <c r="AP27" s="14">
        <v>130000</v>
      </c>
      <c r="AQ27" s="8">
        <v>533.26800000000003</v>
      </c>
      <c r="AR27" s="12">
        <f>SQRT((AI27/2)*(AI27/2-AA27)*(AI27/2-AB27)*(AI27/2-AC27))</f>
        <v>5.3326822519253856</v>
      </c>
      <c r="AS27" s="7">
        <v>5.3326800000000001E-2</v>
      </c>
      <c r="AT27" s="7">
        <v>5.3326800000000004E-4</v>
      </c>
      <c r="AU27" s="7">
        <v>0.82656700000000005</v>
      </c>
      <c r="AV27" s="7">
        <v>5.74005E-3</v>
      </c>
      <c r="AW27" s="21">
        <v>5.3326800000000001E-6</v>
      </c>
      <c r="AX27" s="22">
        <v>5.3326800000000001E-8</v>
      </c>
      <c r="AY27" s="41">
        <v>1.3177339256423201E-7</v>
      </c>
      <c r="AZ27" s="47" t="s">
        <v>9</v>
      </c>
      <c r="BA27" s="90">
        <f>(100*(E27-AE27))/AE27</f>
        <v>-9.4977586585389985E-7</v>
      </c>
      <c r="BB27" s="90">
        <f>(100*(F27-AF27))/AF27</f>
        <v>1.8030225761011249E-4</v>
      </c>
      <c r="BC27" s="233">
        <f>(100*(G27-AG27))/AG27</f>
        <v>-5.5648193370931558E-5</v>
      </c>
      <c r="BD27" s="237" t="s">
        <v>21</v>
      </c>
      <c r="BE27" s="133">
        <f t="shared" ref="BE27:BU27" si="0">(100*(I27-AI27))/AI27</f>
        <v>0</v>
      </c>
      <c r="BF27" s="91">
        <f t="shared" si="0"/>
        <v>0</v>
      </c>
      <c r="BG27" s="91">
        <f t="shared" si="0"/>
        <v>0</v>
      </c>
      <c r="BH27" s="91">
        <f t="shared" si="0"/>
        <v>0</v>
      </c>
      <c r="BI27" s="91">
        <f t="shared" si="0"/>
        <v>0</v>
      </c>
      <c r="BJ27" s="91">
        <f t="shared" si="0"/>
        <v>0</v>
      </c>
      <c r="BK27" s="92">
        <f t="shared" si="0"/>
        <v>0</v>
      </c>
      <c r="BL27" s="95">
        <f t="shared" si="0"/>
        <v>0</v>
      </c>
      <c r="BM27" s="138">
        <f t="shared" si="0"/>
        <v>0</v>
      </c>
      <c r="BN27" s="93">
        <f t="shared" si="0"/>
        <v>-4.2228756174401703E-5</v>
      </c>
      <c r="BO27" s="92">
        <f t="shared" si="0"/>
        <v>0</v>
      </c>
      <c r="BP27" s="93">
        <f t="shared" si="0"/>
        <v>0</v>
      </c>
      <c r="BQ27" s="93">
        <f t="shared" si="0"/>
        <v>0</v>
      </c>
      <c r="BR27" s="94">
        <f t="shared" si="0"/>
        <v>0</v>
      </c>
      <c r="BS27" s="93">
        <f t="shared" si="0"/>
        <v>4.2228774088679179E-5</v>
      </c>
      <c r="BT27" s="93">
        <f t="shared" si="0"/>
        <v>4.222877409016829E-5</v>
      </c>
      <c r="BU27" s="95">
        <f t="shared" si="0"/>
        <v>4.222877387957446E-5</v>
      </c>
    </row>
    <row r="28" spans="1:73" x14ac:dyDescent="0.25">
      <c r="A28" s="1">
        <v>6.1032790400000003</v>
      </c>
      <c r="B28" s="1">
        <v>3.5</v>
      </c>
      <c r="C28" s="6">
        <v>5</v>
      </c>
      <c r="D28" s="211" t="s">
        <v>5</v>
      </c>
      <c r="E28" s="56">
        <v>90</v>
      </c>
      <c r="F28" s="1">
        <v>34.9920121017241</v>
      </c>
      <c r="G28" s="6">
        <v>55.0079632772918</v>
      </c>
      <c r="H28" s="211" t="s">
        <v>21</v>
      </c>
      <c r="I28" s="118">
        <v>445.108</v>
      </c>
      <c r="J28" s="1">
        <v>14.603300000000001</v>
      </c>
      <c r="K28" s="1">
        <v>175.239</v>
      </c>
      <c r="L28" s="1">
        <v>4.4510800000000001</v>
      </c>
      <c r="M28" s="1">
        <v>2.7657699999999999E-3</v>
      </c>
      <c r="N28" s="1">
        <v>4451.08</v>
      </c>
      <c r="O28" s="1">
        <v>4.8677599999999996</v>
      </c>
      <c r="P28" s="119">
        <v>4451079</v>
      </c>
      <c r="Q28" s="118">
        <v>812902</v>
      </c>
      <c r="R28" s="1">
        <v>8129.02</v>
      </c>
      <c r="S28" s="1">
        <v>81.290199999999999</v>
      </c>
      <c r="T28" s="1">
        <v>0.81290200000000001</v>
      </c>
      <c r="U28" s="1">
        <v>1260</v>
      </c>
      <c r="V28" s="1">
        <v>8.75</v>
      </c>
      <c r="W28" s="1">
        <v>8.1290200000000007E-3</v>
      </c>
      <c r="X28" s="52">
        <v>8.1290159999992506E-5</v>
      </c>
      <c r="Y28" s="119">
        <v>2.00872E-4</v>
      </c>
      <c r="Z28" s="143">
        <v>2</v>
      </c>
      <c r="AA28" s="15">
        <v>6.1032790400000003</v>
      </c>
      <c r="AB28" s="34">
        <v>3.5</v>
      </c>
      <c r="AC28" s="16">
        <v>5</v>
      </c>
      <c r="AD28" s="19" t="s">
        <v>5</v>
      </c>
      <c r="AE28" s="15">
        <v>90</v>
      </c>
      <c r="AF28" s="34">
        <v>34.992021039999997</v>
      </c>
      <c r="AG28" s="2">
        <v>55.007978960000003</v>
      </c>
      <c r="AH28" s="19" t="s">
        <v>21</v>
      </c>
      <c r="AI28" s="15">
        <v>445.10899999999998</v>
      </c>
      <c r="AJ28" s="2">
        <f>AA28+AB28+AC28</f>
        <v>14.60327904</v>
      </c>
      <c r="AK28" s="2">
        <v>175.24</v>
      </c>
      <c r="AL28" s="2">
        <v>4.4510899999999998</v>
      </c>
      <c r="AM28" s="2">
        <v>2.7657799999999998E-3</v>
      </c>
      <c r="AN28" s="2">
        <v>4451.09</v>
      </c>
      <c r="AO28" s="2">
        <v>4.8677700000000002</v>
      </c>
      <c r="AP28" s="16">
        <v>4451086</v>
      </c>
      <c r="AQ28" s="15">
        <v>812902</v>
      </c>
      <c r="AR28" s="2">
        <v>8129.02</v>
      </c>
      <c r="AS28" s="2">
        <v>81.290199999999999</v>
      </c>
      <c r="AT28" s="2">
        <v>0.81290200000000001</v>
      </c>
      <c r="AU28" s="2">
        <v>1260</v>
      </c>
      <c r="AV28" s="2">
        <f>SQRT((AJ28/2)*(AJ28/2-AA28)*(AJ28/2-AB28)*(AJ28/2-AC28))</f>
        <v>8.7499999999991918</v>
      </c>
      <c r="AW28" s="2">
        <v>8.1290200000000007E-3</v>
      </c>
      <c r="AX28" s="23">
        <v>8.129016E-5</v>
      </c>
      <c r="AY28" s="42">
        <v>2.00872E-4</v>
      </c>
      <c r="AZ28" s="46" t="s">
        <v>5</v>
      </c>
      <c r="BA28" s="73">
        <f>(100*(E28-AE28))/AE28</f>
        <v>0</v>
      </c>
      <c r="BB28" s="73">
        <f>(100*(F28-AF28))/AF28</f>
        <v>-2.5543754351857407E-5</v>
      </c>
      <c r="BC28" s="234">
        <f t="shared" ref="BC28:BC50" si="1">(100*(G28-AG28))/AG28</f>
        <v>-2.8509878928101325E-5</v>
      </c>
      <c r="BD28" s="238" t="s">
        <v>21</v>
      </c>
      <c r="BE28" s="134">
        <f t="shared" ref="BE28:BE50" si="2">(100*(I28-AI28))/AI28</f>
        <v>-2.2466407104245324E-4</v>
      </c>
      <c r="BF28" s="82">
        <f t="shared" ref="BF28:BF50" si="3">(100*(J28-AJ28))/AJ28</f>
        <v>1.435294083137228E-4</v>
      </c>
      <c r="BG28" s="82">
        <f t="shared" ref="BG28:BG50" si="4">(100*(K28-AK28))/AK28</f>
        <v>-5.706459712421678E-4</v>
      </c>
      <c r="BH28" s="82">
        <f t="shared" ref="BH28:BH50" si="5">(100*(L28-AL28))/AL28</f>
        <v>-2.2466407103926056E-4</v>
      </c>
      <c r="BI28" s="82">
        <f t="shared" ref="BI28:BI50" si="6">(100*(M28-AM28))/AM28</f>
        <v>-3.6156165710723965E-4</v>
      </c>
      <c r="BJ28" s="82">
        <f t="shared" ref="BJ28:BJ50" si="7">(100*(N28-AN28))/AN28</f>
        <v>-2.2466407105266976E-4</v>
      </c>
      <c r="BK28" s="83">
        <f t="shared" ref="BK28:BK50" si="8">(100*(O28-AO28))/AO28</f>
        <v>-2.0543287789911193E-4</v>
      </c>
      <c r="BL28" s="96">
        <f t="shared" ref="BL28:BL50" si="9">(100*(P28-AP28))/AP28</f>
        <v>-1.5726499106060858E-4</v>
      </c>
      <c r="BM28" s="139">
        <f t="shared" ref="BM28:BM50" si="10">(100*(Q28-AQ28))/AQ28</f>
        <v>0</v>
      </c>
      <c r="BN28" s="80">
        <f t="shared" ref="BN28:BN50" si="11">(100*(R28-AR28))/AR28</f>
        <v>0</v>
      </c>
      <c r="BO28" s="83">
        <f t="shared" ref="BO28:BO50" si="12">(100*(S28-AS28))/AS28</f>
        <v>0</v>
      </c>
      <c r="BP28" s="80">
        <f t="shared" ref="BP28:BP50" si="13">(100*(T28-AT28))/AT28</f>
        <v>0</v>
      </c>
      <c r="BQ28" s="80">
        <f t="shared" ref="BQ28:BQ50" si="14">(100*(U28-AU28))/AU28</f>
        <v>0</v>
      </c>
      <c r="BR28" s="81">
        <f t="shared" ref="BR28:BR50" si="15">(100*(V28-AV28))/AV28</f>
        <v>9.2370555648821554E-12</v>
      </c>
      <c r="BS28" s="80">
        <f t="shared" ref="BS28:BS50" si="16">(100*(W28-AW28))/AW28</f>
        <v>0</v>
      </c>
      <c r="BT28" s="80">
        <f t="shared" ref="BT28:BT50" si="17">(100*(X28-AX28))/AX28</f>
        <v>-9.2195014960064654E-12</v>
      </c>
      <c r="BU28" s="96">
        <f t="shared" ref="BU28:BU50" si="18">(100*(Y28-AY28))/AY28</f>
        <v>0</v>
      </c>
    </row>
    <row r="29" spans="1:73" x14ac:dyDescent="0.25">
      <c r="A29" s="1">
        <v>4</v>
      </c>
      <c r="B29" s="1">
        <v>4</v>
      </c>
      <c r="C29" s="6">
        <v>4</v>
      </c>
      <c r="D29" s="211" t="s">
        <v>8</v>
      </c>
      <c r="E29" s="56">
        <v>60</v>
      </c>
      <c r="F29" s="1">
        <v>60</v>
      </c>
      <c r="G29" s="6">
        <v>60</v>
      </c>
      <c r="H29" s="211" t="s">
        <v>21</v>
      </c>
      <c r="I29" s="118">
        <v>30.48</v>
      </c>
      <c r="J29" s="1">
        <v>1</v>
      </c>
      <c r="K29" s="1">
        <v>12</v>
      </c>
      <c r="L29" s="1">
        <v>0.30480000000000002</v>
      </c>
      <c r="M29" s="1">
        <v>1.8939400000000001E-4</v>
      </c>
      <c r="N29" s="1">
        <v>304.8</v>
      </c>
      <c r="O29" s="1">
        <v>0.33333299999999999</v>
      </c>
      <c r="P29" s="119">
        <v>304800</v>
      </c>
      <c r="Q29" s="118">
        <v>4469.8</v>
      </c>
      <c r="R29" s="1">
        <v>44.698</v>
      </c>
      <c r="S29" s="1">
        <v>0.44697999999999999</v>
      </c>
      <c r="T29" s="1">
        <v>4.4698000000000003E-3</v>
      </c>
      <c r="U29" s="1">
        <v>6.9282000000000004</v>
      </c>
      <c r="V29" s="1">
        <v>4.8112500000000002E-2</v>
      </c>
      <c r="W29" s="49">
        <v>4.46979959604455E-5</v>
      </c>
      <c r="X29" s="58">
        <v>4.46979959604455E-7</v>
      </c>
      <c r="Y29" s="126">
        <v>1.10451153426237E-6</v>
      </c>
      <c r="Z29" s="143">
        <v>3</v>
      </c>
      <c r="AA29" s="15">
        <v>4</v>
      </c>
      <c r="AB29" s="2">
        <v>4</v>
      </c>
      <c r="AC29" s="16">
        <v>4</v>
      </c>
      <c r="AD29" s="19" t="s">
        <v>8</v>
      </c>
      <c r="AE29" s="15">
        <v>60</v>
      </c>
      <c r="AF29" s="2">
        <v>60</v>
      </c>
      <c r="AG29" s="16">
        <v>60</v>
      </c>
      <c r="AH29" s="19" t="s">
        <v>21</v>
      </c>
      <c r="AI29" s="15">
        <v>30.48</v>
      </c>
      <c r="AJ29" s="2">
        <v>1</v>
      </c>
      <c r="AK29" s="2">
        <f>AA29+AB29+AC29</f>
        <v>12</v>
      </c>
      <c r="AL29" s="2">
        <v>0.30480000000000002</v>
      </c>
      <c r="AM29" s="2">
        <v>1.8939400000000001E-4</v>
      </c>
      <c r="AN29" s="2">
        <v>304.8</v>
      </c>
      <c r="AO29" s="2">
        <v>0.33333299999999999</v>
      </c>
      <c r="AP29" s="16">
        <v>304800</v>
      </c>
      <c r="AQ29" s="27">
        <v>4469.8</v>
      </c>
      <c r="AR29" s="26">
        <v>44.698</v>
      </c>
      <c r="AS29" s="2">
        <v>0.44697999999999999</v>
      </c>
      <c r="AT29" s="2">
        <v>4.4698000000000003E-3</v>
      </c>
      <c r="AU29" s="2">
        <f>SQRT((AK29/2)*(AK29/2-AA29)*(AK29/2-AB29)*(AK29/2-AC29))</f>
        <v>6.9282032302755088</v>
      </c>
      <c r="AV29" s="2">
        <v>4.8112500000000002E-2</v>
      </c>
      <c r="AW29" s="24">
        <v>4.4697975120000001E-5</v>
      </c>
      <c r="AX29" s="25">
        <v>4.4697975119999998E-7</v>
      </c>
      <c r="AY29" s="43">
        <v>1.1045110192837499E-6</v>
      </c>
      <c r="AZ29" s="46" t="s">
        <v>8</v>
      </c>
      <c r="BA29" s="73">
        <f t="shared" ref="BA29:BA50" si="19">(100*(E29-AE29))/AE29</f>
        <v>0</v>
      </c>
      <c r="BB29" s="73">
        <f>(100*(F29-AF29))/AF29</f>
        <v>0</v>
      </c>
      <c r="BC29" s="234">
        <f t="shared" si="1"/>
        <v>0</v>
      </c>
      <c r="BD29" s="238" t="s">
        <v>21</v>
      </c>
      <c r="BE29" s="134">
        <f t="shared" si="2"/>
        <v>0</v>
      </c>
      <c r="BF29" s="82">
        <f t="shared" si="3"/>
        <v>0</v>
      </c>
      <c r="BG29" s="82">
        <f t="shared" si="4"/>
        <v>0</v>
      </c>
      <c r="BH29" s="82">
        <f t="shared" si="5"/>
        <v>0</v>
      </c>
      <c r="BI29" s="82">
        <f t="shared" si="6"/>
        <v>0</v>
      </c>
      <c r="BJ29" s="82">
        <f t="shared" si="7"/>
        <v>0</v>
      </c>
      <c r="BK29" s="83">
        <f t="shared" si="8"/>
        <v>0</v>
      </c>
      <c r="BL29" s="96">
        <f t="shared" si="9"/>
        <v>0</v>
      </c>
      <c r="BM29" s="139">
        <f t="shared" si="10"/>
        <v>0</v>
      </c>
      <c r="BN29" s="80">
        <f t="shared" si="11"/>
        <v>0</v>
      </c>
      <c r="BO29" s="83">
        <f t="shared" si="12"/>
        <v>0</v>
      </c>
      <c r="BP29" s="80">
        <f t="shared" si="13"/>
        <v>0</v>
      </c>
      <c r="BQ29" s="80">
        <f t="shared" si="14"/>
        <v>-4.6625010858495514E-5</v>
      </c>
      <c r="BR29" s="81">
        <f t="shared" si="15"/>
        <v>0</v>
      </c>
      <c r="BS29" s="80">
        <f t="shared" si="16"/>
        <v>4.6625032661845805E-5</v>
      </c>
      <c r="BT29" s="80">
        <f t="shared" si="17"/>
        <v>4.6625032668004601E-5</v>
      </c>
      <c r="BU29" s="96">
        <f t="shared" si="18"/>
        <v>4.6625032355362504E-5</v>
      </c>
    </row>
    <row r="30" spans="1:73" x14ac:dyDescent="0.25">
      <c r="A30" s="1">
        <v>4.1620460000000001</v>
      </c>
      <c r="B30" s="1">
        <v>9.2236370000000001</v>
      </c>
      <c r="C30" s="6">
        <v>5.5</v>
      </c>
      <c r="D30" s="211" t="s">
        <v>4</v>
      </c>
      <c r="E30" s="247">
        <v>14.999923696841501</v>
      </c>
      <c r="F30" s="53">
        <v>145.000162683631</v>
      </c>
      <c r="G30" s="241">
        <v>19.999913619527501</v>
      </c>
      <c r="H30" s="211" t="s">
        <v>21</v>
      </c>
      <c r="I30" s="118">
        <v>1888.57</v>
      </c>
      <c r="J30" s="1">
        <v>61.960900000000002</v>
      </c>
      <c r="K30" s="1">
        <v>743.53099999999995</v>
      </c>
      <c r="L30" s="1">
        <v>18.8857</v>
      </c>
      <c r="M30" s="1">
        <v>1.1735000000000001E-2</v>
      </c>
      <c r="N30" s="1">
        <v>18885.7</v>
      </c>
      <c r="O30" s="1">
        <v>20.653600000000001</v>
      </c>
      <c r="P30" s="119">
        <v>18885686</v>
      </c>
      <c r="Q30" s="118">
        <v>6564915</v>
      </c>
      <c r="R30" s="1">
        <v>65649.2</v>
      </c>
      <c r="S30" s="1">
        <v>656.49199999999996</v>
      </c>
      <c r="T30" s="1">
        <v>6.5649199999999999</v>
      </c>
      <c r="U30" s="1">
        <v>10175.6</v>
      </c>
      <c r="V30" s="1">
        <v>70.664199999999994</v>
      </c>
      <c r="W30" s="1">
        <v>6.5649200000000005E-2</v>
      </c>
      <c r="X30" s="1">
        <v>6.5649199999999995E-4</v>
      </c>
      <c r="Y30" s="119">
        <v>1.6222299999999999E-3</v>
      </c>
      <c r="Z30" s="143">
        <v>4</v>
      </c>
      <c r="AA30" s="2">
        <v>4.1620460000000001</v>
      </c>
      <c r="AB30" s="2">
        <v>9.2236370000000001</v>
      </c>
      <c r="AC30" s="35">
        <v>5.5</v>
      </c>
      <c r="AD30" s="19" t="s">
        <v>4</v>
      </c>
      <c r="AE30" s="15">
        <v>15</v>
      </c>
      <c r="AF30" s="2">
        <v>145</v>
      </c>
      <c r="AG30" s="16">
        <v>20</v>
      </c>
      <c r="AH30" s="19" t="s">
        <v>21</v>
      </c>
      <c r="AI30" s="15">
        <v>1888.57</v>
      </c>
      <c r="AJ30" s="2">
        <v>61.960999999999999</v>
      </c>
      <c r="AK30" s="2">
        <v>743.53099999999995</v>
      </c>
      <c r="AL30" s="2">
        <f>AA30+AB30+AC30</f>
        <v>18.885683</v>
      </c>
      <c r="AM30" s="2">
        <v>1.1735000000000001E-2</v>
      </c>
      <c r="AN30" s="2">
        <v>18885.7</v>
      </c>
      <c r="AO30" s="2">
        <v>20.653700000000001</v>
      </c>
      <c r="AP30" s="16">
        <v>18885700</v>
      </c>
      <c r="AQ30" s="15">
        <v>6564930</v>
      </c>
      <c r="AR30" s="2">
        <v>65649.3</v>
      </c>
      <c r="AS30" s="2">
        <v>656.49300000000005</v>
      </c>
      <c r="AT30" s="2">
        <f>SQRT((AL30/2)*(AL30/2-AA30)*(AL30/2-AB30)*(AL30/2-AC30))</f>
        <v>6.5649347977470658</v>
      </c>
      <c r="AU30" s="2">
        <v>10175.700000000001</v>
      </c>
      <c r="AV30" s="2">
        <v>70.664299999999997</v>
      </c>
      <c r="AW30" s="2">
        <v>6.5649299999999994E-2</v>
      </c>
      <c r="AX30" s="2">
        <v>6.5649299999999996E-4</v>
      </c>
      <c r="AY30" s="42">
        <v>1.6222299999999999E-3</v>
      </c>
      <c r="AZ30" s="46" t="s">
        <v>4</v>
      </c>
      <c r="BA30" s="73">
        <f t="shared" si="19"/>
        <v>-5.0868772332772017E-4</v>
      </c>
      <c r="BB30" s="73">
        <f>(100*(F30-AF30))/AF30</f>
        <v>1.1219560758882866E-4</v>
      </c>
      <c r="BC30" s="234">
        <f t="shared" si="1"/>
        <v>-4.3190236249657232E-4</v>
      </c>
      <c r="BD30" s="238" t="s">
        <v>21</v>
      </c>
      <c r="BE30" s="134">
        <f t="shared" si="2"/>
        <v>0</v>
      </c>
      <c r="BF30" s="82">
        <f t="shared" si="3"/>
        <v>-1.613918432501319E-4</v>
      </c>
      <c r="BG30" s="82">
        <f t="shared" si="4"/>
        <v>0</v>
      </c>
      <c r="BH30" s="82">
        <f t="shared" si="5"/>
        <v>9.0015277709107417E-5</v>
      </c>
      <c r="BI30" s="82">
        <f t="shared" si="6"/>
        <v>0</v>
      </c>
      <c r="BJ30" s="82">
        <f t="shared" si="7"/>
        <v>0</v>
      </c>
      <c r="BK30" s="83">
        <f t="shared" si="8"/>
        <v>-4.8417474834904612E-4</v>
      </c>
      <c r="BL30" s="96">
        <f t="shared" si="9"/>
        <v>-7.4130161974403911E-5</v>
      </c>
      <c r="BM30" s="139">
        <f t="shared" si="10"/>
        <v>-2.2848682316490808E-4</v>
      </c>
      <c r="BN30" s="80">
        <f t="shared" si="11"/>
        <v>-1.5232454878547183E-4</v>
      </c>
      <c r="BO30" s="83">
        <f t="shared" si="12"/>
        <v>-1.5232454879032068E-4</v>
      </c>
      <c r="BP30" s="80">
        <f t="shared" si="13"/>
        <v>-2.2540584974276072E-4</v>
      </c>
      <c r="BQ30" s="80">
        <f t="shared" si="14"/>
        <v>-9.827333746117101E-4</v>
      </c>
      <c r="BR30" s="81">
        <f t="shared" si="15"/>
        <v>-1.4151417335672985E-4</v>
      </c>
      <c r="BS30" s="80">
        <f t="shared" si="16"/>
        <v>-1.5232454875984631E-4</v>
      </c>
      <c r="BT30" s="80">
        <f t="shared" si="17"/>
        <v>-1.5232454877900378E-4</v>
      </c>
      <c r="BU30" s="96">
        <f t="shared" si="18"/>
        <v>0</v>
      </c>
    </row>
    <row r="31" spans="1:73" x14ac:dyDescent="0.25">
      <c r="A31" s="1">
        <v>2.74674</v>
      </c>
      <c r="B31" s="1">
        <v>2.74674</v>
      </c>
      <c r="C31" s="6">
        <v>4.5</v>
      </c>
      <c r="D31" s="211" t="s">
        <v>10</v>
      </c>
      <c r="E31" s="247">
        <v>34.999915850192799</v>
      </c>
      <c r="F31" s="54">
        <v>34.999915850192799</v>
      </c>
      <c r="G31" s="242">
        <v>110.000168299614</v>
      </c>
      <c r="H31" s="211" t="s">
        <v>21</v>
      </c>
      <c r="I31" s="120">
        <v>1608295</v>
      </c>
      <c r="J31" s="1">
        <v>52765.599999999999</v>
      </c>
      <c r="K31" s="1">
        <v>633187</v>
      </c>
      <c r="L31" s="1">
        <v>16082.9</v>
      </c>
      <c r="M31" s="1">
        <v>9.9934799999999999</v>
      </c>
      <c r="N31" s="1">
        <v>16082947</v>
      </c>
      <c r="O31" s="1">
        <v>17588.5</v>
      </c>
      <c r="P31" s="119">
        <v>16082947077</v>
      </c>
      <c r="Q31" s="120">
        <v>9180962869770</v>
      </c>
      <c r="R31" s="59">
        <v>91809628698</v>
      </c>
      <c r="S31" s="1">
        <v>918096287</v>
      </c>
      <c r="T31" s="1">
        <v>9180963</v>
      </c>
      <c r="U31" s="1">
        <v>14230520909</v>
      </c>
      <c r="V31" s="1">
        <v>98823062</v>
      </c>
      <c r="W31" s="1">
        <v>91809.600000000006</v>
      </c>
      <c r="X31" s="1">
        <v>918.096</v>
      </c>
      <c r="Y31" s="119">
        <v>2268.67</v>
      </c>
      <c r="Z31" s="143">
        <v>5</v>
      </c>
      <c r="AA31" s="15">
        <v>2.74674</v>
      </c>
      <c r="AB31" s="2">
        <v>2.74674</v>
      </c>
      <c r="AC31" s="16">
        <v>4.5</v>
      </c>
      <c r="AD31" s="19" t="s">
        <v>10</v>
      </c>
      <c r="AE31" s="15">
        <v>35</v>
      </c>
      <c r="AF31" s="2">
        <v>35</v>
      </c>
      <c r="AG31" s="16">
        <v>110</v>
      </c>
      <c r="AH31" s="19" t="s">
        <v>21</v>
      </c>
      <c r="AI31" s="15">
        <v>1608295</v>
      </c>
      <c r="AJ31" s="2">
        <v>52765.599999999999</v>
      </c>
      <c r="AK31" s="2">
        <v>633187</v>
      </c>
      <c r="AL31" s="2">
        <v>16082.9</v>
      </c>
      <c r="AM31" s="2">
        <f>AA31+AB31+AC31</f>
        <v>9.9934799999999999</v>
      </c>
      <c r="AN31" s="2">
        <v>16082947</v>
      </c>
      <c r="AO31" s="2">
        <v>17588.5</v>
      </c>
      <c r="AP31" s="16">
        <v>16082947077</v>
      </c>
      <c r="AQ31" s="28">
        <v>9180755000000</v>
      </c>
      <c r="AR31" s="2">
        <v>91807550000</v>
      </c>
      <c r="AS31" s="2">
        <v>918075500</v>
      </c>
      <c r="AT31" s="2">
        <f>SQRT((AL31/2)*(AL31/2-AA31*63360*2.54/100)*(AL31/2-AB31*63360*2.54/100)*(AL31/2-AC31*63360*2.54/100))</f>
        <v>9180754.5881258342</v>
      </c>
      <c r="AU31" s="29">
        <v>14230198710</v>
      </c>
      <c r="AV31" s="2">
        <v>98820824</v>
      </c>
      <c r="AW31" s="2">
        <v>91807.6</v>
      </c>
      <c r="AX31" s="2">
        <v>918.07600000000002</v>
      </c>
      <c r="AY31" s="42">
        <v>2268.61</v>
      </c>
      <c r="AZ31" s="46" t="s">
        <v>10</v>
      </c>
      <c r="BA31" s="73">
        <f t="shared" si="19"/>
        <v>-2.4042802057319283E-4</v>
      </c>
      <c r="BB31" s="73">
        <f t="shared" ref="BB31:BB50" si="20">(100*(F31-AF31))/AF31</f>
        <v>-2.4042802057319283E-4</v>
      </c>
      <c r="BC31" s="234">
        <f t="shared" si="1"/>
        <v>1.5299964909393731E-4</v>
      </c>
      <c r="BD31" s="238" t="s">
        <v>21</v>
      </c>
      <c r="BE31" s="134">
        <f t="shared" si="2"/>
        <v>0</v>
      </c>
      <c r="BF31" s="82">
        <f t="shared" si="3"/>
        <v>0</v>
      </c>
      <c r="BG31" s="82">
        <f t="shared" si="4"/>
        <v>0</v>
      </c>
      <c r="BH31" s="82">
        <f t="shared" si="5"/>
        <v>0</v>
      </c>
      <c r="BI31" s="82">
        <f t="shared" si="6"/>
        <v>0</v>
      </c>
      <c r="BJ31" s="82">
        <f t="shared" si="7"/>
        <v>0</v>
      </c>
      <c r="BK31" s="83">
        <f t="shared" si="8"/>
        <v>0</v>
      </c>
      <c r="BL31" s="96">
        <f t="shared" si="9"/>
        <v>0</v>
      </c>
      <c r="BM31" s="139">
        <f t="shared" si="10"/>
        <v>2.2641903634287156E-3</v>
      </c>
      <c r="BN31" s="80">
        <f t="shared" si="11"/>
        <v>2.2641906901992265E-3</v>
      </c>
      <c r="BO31" s="83">
        <f t="shared" si="12"/>
        <v>2.2641928686692979E-3</v>
      </c>
      <c r="BP31" s="80">
        <f t="shared" si="13"/>
        <v>2.2700952537748191E-3</v>
      </c>
      <c r="BQ31" s="80">
        <f t="shared" si="14"/>
        <v>2.2641918540011728E-3</v>
      </c>
      <c r="BR31" s="81">
        <f t="shared" si="15"/>
        <v>2.2647048561343711E-3</v>
      </c>
      <c r="BS31" s="80">
        <f t="shared" si="16"/>
        <v>2.1784688849289164E-3</v>
      </c>
      <c r="BT31" s="80">
        <f t="shared" si="17"/>
        <v>2.1784688849269354E-3</v>
      </c>
      <c r="BU31" s="96">
        <f t="shared" si="18"/>
        <v>2.6447913039237872E-3</v>
      </c>
    </row>
    <row r="32" spans="1:73" x14ac:dyDescent="0.25">
      <c r="A32" s="1">
        <v>3.6547499999999999</v>
      </c>
      <c r="B32" s="1">
        <v>3.6547499999999999</v>
      </c>
      <c r="C32" s="6">
        <v>2.5</v>
      </c>
      <c r="D32" s="211" t="s">
        <v>6</v>
      </c>
      <c r="E32" s="247">
        <v>69.999968615901693</v>
      </c>
      <c r="F32" s="54">
        <v>69.999968615901693</v>
      </c>
      <c r="G32" s="241">
        <v>40.000062768196599</v>
      </c>
      <c r="H32" s="211" t="s">
        <v>21</v>
      </c>
      <c r="I32" s="118">
        <v>0.98094999999999999</v>
      </c>
      <c r="J32" s="1">
        <v>3.2183400000000001E-2</v>
      </c>
      <c r="K32" s="1">
        <v>0.38620100000000002</v>
      </c>
      <c r="L32" s="1">
        <v>9.8095000000000005E-3</v>
      </c>
      <c r="M32" s="77">
        <v>6.0953407102521299E-6</v>
      </c>
      <c r="N32" s="1">
        <v>9.8094999999999999</v>
      </c>
      <c r="O32" s="1">
        <v>1.0727799999999999E-2</v>
      </c>
      <c r="P32" s="119">
        <v>9809.5</v>
      </c>
      <c r="Q32" s="127">
        <v>4.2929300000000001</v>
      </c>
      <c r="R32" s="78">
        <v>4.2929299999999997E-2</v>
      </c>
      <c r="S32" s="78">
        <v>4.2929300000000002E-4</v>
      </c>
      <c r="T32" s="50">
        <v>4.2929261514037498E-6</v>
      </c>
      <c r="U32" s="78">
        <v>6.6540499999999999E-3</v>
      </c>
      <c r="V32" s="49">
        <v>4.6208672519260403E-5</v>
      </c>
      <c r="W32" s="51">
        <v>4.2929261514037502E-8</v>
      </c>
      <c r="X32" s="79">
        <v>4.2929261514037502E-10</v>
      </c>
      <c r="Y32" s="128">
        <v>1.0608051542529899E-9</v>
      </c>
      <c r="Z32" s="143">
        <v>6</v>
      </c>
      <c r="AA32" s="15">
        <v>3.6547499999999999</v>
      </c>
      <c r="AB32" s="2">
        <v>3.6547499999999999</v>
      </c>
      <c r="AC32" s="16">
        <v>2.5</v>
      </c>
      <c r="AD32" s="19" t="s">
        <v>6</v>
      </c>
      <c r="AE32" s="15">
        <v>70</v>
      </c>
      <c r="AF32" s="2">
        <v>70</v>
      </c>
      <c r="AG32" s="16">
        <v>40</v>
      </c>
      <c r="AH32" s="19" t="s">
        <v>21</v>
      </c>
      <c r="AI32" s="15">
        <v>0.98094999999999999</v>
      </c>
      <c r="AJ32" s="2">
        <v>3.2183400000000001E-2</v>
      </c>
      <c r="AK32" s="2">
        <v>0.38620100000000002</v>
      </c>
      <c r="AL32" s="2">
        <v>9.8095000000000005E-3</v>
      </c>
      <c r="AM32" s="33">
        <v>6.0953407102521299E-6</v>
      </c>
      <c r="AN32" s="2">
        <f>AA32+AB32+AC32</f>
        <v>9.8094999999999999</v>
      </c>
      <c r="AO32" s="2">
        <v>1.0727799999999999E-2</v>
      </c>
      <c r="AP32" s="16">
        <v>9809.5</v>
      </c>
      <c r="AQ32" s="15">
        <f>SQRT((AN32/2)*(AN32/2-AA32)*(AN32/2-AB32)*(AN32/2-AC32))</f>
        <v>4.292926151403754</v>
      </c>
      <c r="AR32" s="2">
        <v>4.2929299999999997E-2</v>
      </c>
      <c r="AS32" s="2">
        <v>4.2929300000000002E-4</v>
      </c>
      <c r="AT32" s="23">
        <v>4.2929300000000004E-6</v>
      </c>
      <c r="AU32" s="2">
        <v>6.6540499999999999E-3</v>
      </c>
      <c r="AV32" s="30">
        <v>4.6208713945205698E-5</v>
      </c>
      <c r="AW32" s="31">
        <v>4.2929300000000003E-8</v>
      </c>
      <c r="AX32" s="32">
        <v>4.29293E-10</v>
      </c>
      <c r="AY32" s="44">
        <v>1.06080610526184E-9</v>
      </c>
      <c r="AZ32" s="46" t="s">
        <v>6</v>
      </c>
      <c r="BA32" s="73">
        <f t="shared" si="19"/>
        <v>-4.4834426152614727E-5</v>
      </c>
      <c r="BB32" s="73">
        <f t="shared" si="20"/>
        <v>-4.4834426152614727E-5</v>
      </c>
      <c r="BC32" s="234">
        <f t="shared" si="1"/>
        <v>1.5692049149862441E-4</v>
      </c>
      <c r="BD32" s="238" t="s">
        <v>21</v>
      </c>
      <c r="BE32" s="134">
        <f t="shared" si="2"/>
        <v>0</v>
      </c>
      <c r="BF32" s="82">
        <f t="shared" si="3"/>
        <v>0</v>
      </c>
      <c r="BG32" s="82">
        <f t="shared" si="4"/>
        <v>0</v>
      </c>
      <c r="BH32" s="82">
        <f t="shared" si="5"/>
        <v>0</v>
      </c>
      <c r="BI32" s="82">
        <f t="shared" si="6"/>
        <v>0</v>
      </c>
      <c r="BJ32" s="82">
        <f t="shared" si="7"/>
        <v>0</v>
      </c>
      <c r="BK32" s="83">
        <f t="shared" si="8"/>
        <v>0</v>
      </c>
      <c r="BL32" s="96">
        <f t="shared" si="9"/>
        <v>0</v>
      </c>
      <c r="BM32" s="139">
        <f t="shared" si="10"/>
        <v>8.9649719338360289E-5</v>
      </c>
      <c r="BN32" s="80">
        <f t="shared" si="11"/>
        <v>0</v>
      </c>
      <c r="BO32" s="83">
        <f t="shared" si="12"/>
        <v>0</v>
      </c>
      <c r="BP32" s="80">
        <f t="shared" si="13"/>
        <v>-8.9649639072022212E-5</v>
      </c>
      <c r="BQ32" s="80">
        <f t="shared" si="14"/>
        <v>0</v>
      </c>
      <c r="BR32" s="81">
        <f t="shared" si="15"/>
        <v>-8.9649639123224662E-5</v>
      </c>
      <c r="BS32" s="80">
        <f t="shared" si="16"/>
        <v>-8.9649639059690415E-5</v>
      </c>
      <c r="BT32" s="80">
        <f t="shared" si="17"/>
        <v>-8.9649639052464749E-5</v>
      </c>
      <c r="BU32" s="96">
        <f t="shared" si="18"/>
        <v>-8.9649639583200619E-5</v>
      </c>
    </row>
    <row r="33" spans="1:73" x14ac:dyDescent="0.25">
      <c r="A33" s="1">
        <v>7.8491869999999997</v>
      </c>
      <c r="B33" s="1">
        <v>2.5377610000000002</v>
      </c>
      <c r="C33" s="6">
        <v>7</v>
      </c>
      <c r="D33" s="211" t="s">
        <v>7</v>
      </c>
      <c r="E33" s="248">
        <v>100.000032170804</v>
      </c>
      <c r="F33" s="54">
        <v>18.566386203237801</v>
      </c>
      <c r="G33" s="241">
        <v>61.433581625958197</v>
      </c>
      <c r="H33" s="211" t="s">
        <v>21</v>
      </c>
      <c r="I33" s="118">
        <v>1589.86</v>
      </c>
      <c r="J33" s="1">
        <v>52.160800000000002</v>
      </c>
      <c r="K33" s="1">
        <v>625.92999999999995</v>
      </c>
      <c r="L33" s="1">
        <v>15.8986</v>
      </c>
      <c r="M33" s="1">
        <v>9.8789499999999992E-3</v>
      </c>
      <c r="N33" s="1">
        <v>15898.6</v>
      </c>
      <c r="O33" s="1">
        <v>17.386900000000001</v>
      </c>
      <c r="P33" s="119">
        <v>15898624</v>
      </c>
      <c r="Q33" s="118">
        <v>7313789</v>
      </c>
      <c r="R33" s="1">
        <v>73137.899999999994</v>
      </c>
      <c r="S33" s="1">
        <v>731.37900000000002</v>
      </c>
      <c r="T33" s="1">
        <v>7.31379</v>
      </c>
      <c r="U33" s="1">
        <v>11336.4</v>
      </c>
      <c r="V33" s="1">
        <v>78.724999999999994</v>
      </c>
      <c r="W33" s="1">
        <v>7.3137900000000006E-2</v>
      </c>
      <c r="X33" s="1">
        <v>7.3137899999999999E-4</v>
      </c>
      <c r="Y33" s="119">
        <v>1.8072800000000001E-3</v>
      </c>
      <c r="Z33" s="143">
        <v>7</v>
      </c>
      <c r="AA33" s="15">
        <v>7.8491869999999997</v>
      </c>
      <c r="AB33" s="2">
        <v>2.5377610000000002</v>
      </c>
      <c r="AC33" s="16">
        <v>7</v>
      </c>
      <c r="AD33" s="19" t="s">
        <v>7</v>
      </c>
      <c r="AE33" s="15">
        <v>100</v>
      </c>
      <c r="AF33" s="2">
        <v>18.566400000000002</v>
      </c>
      <c r="AG33" s="16">
        <v>61.433599999999998</v>
      </c>
      <c r="AH33" s="19" t="s">
        <v>21</v>
      </c>
      <c r="AI33" s="15">
        <v>1589.87</v>
      </c>
      <c r="AJ33" s="2">
        <v>52.161000000000001</v>
      </c>
      <c r="AK33" s="2">
        <v>625.93200000000002</v>
      </c>
      <c r="AL33" s="2">
        <v>15.8987</v>
      </c>
      <c r="AM33" s="2">
        <v>9.8789900000000007E-3</v>
      </c>
      <c r="AN33" s="2">
        <v>15898.7</v>
      </c>
      <c r="AO33" s="2">
        <f>AA33+AB33+AC33</f>
        <v>17.386948</v>
      </c>
      <c r="AP33" s="16">
        <v>15898673</v>
      </c>
      <c r="AQ33" s="15">
        <v>7313789</v>
      </c>
      <c r="AR33" s="2">
        <v>73137.899999999994</v>
      </c>
      <c r="AS33" s="2">
        <v>731.37900000000002</v>
      </c>
      <c r="AT33" s="2">
        <v>7.31379</v>
      </c>
      <c r="AU33" s="2">
        <v>11336.4</v>
      </c>
      <c r="AV33" s="2">
        <v>78.724999999999994</v>
      </c>
      <c r="AW33" s="2">
        <v>7.3137900000000006E-2</v>
      </c>
      <c r="AX33" s="2">
        <v>7.3137899999999999E-4</v>
      </c>
      <c r="AY33" s="42">
        <v>1.8072800000000001E-3</v>
      </c>
      <c r="AZ33" s="46" t="s">
        <v>7</v>
      </c>
      <c r="BA33" s="73">
        <f t="shared" si="19"/>
        <v>3.2170804004749698E-5</v>
      </c>
      <c r="BB33" s="73">
        <f t="shared" si="20"/>
        <v>-7.4310378965538365E-5</v>
      </c>
      <c r="BC33" s="234">
        <f t="shared" si="1"/>
        <v>-2.9908782491892495E-5</v>
      </c>
      <c r="BD33" s="238" t="s">
        <v>21</v>
      </c>
      <c r="BE33" s="134">
        <f t="shared" si="2"/>
        <v>-6.2898224383068464E-4</v>
      </c>
      <c r="BF33" s="82">
        <f t="shared" si="3"/>
        <v>-3.8342823181981535E-4</v>
      </c>
      <c r="BG33" s="82">
        <f t="shared" si="4"/>
        <v>-3.1952352652786455E-4</v>
      </c>
      <c r="BH33" s="82">
        <f t="shared" si="5"/>
        <v>-6.2898224382979071E-4</v>
      </c>
      <c r="BI33" s="82">
        <f t="shared" si="6"/>
        <v>-4.0489969117791564E-4</v>
      </c>
      <c r="BJ33" s="82">
        <f t="shared" si="7"/>
        <v>-6.2898224383354487E-4</v>
      </c>
      <c r="BK33" s="83">
        <f t="shared" si="8"/>
        <v>-2.7606915255974721E-4</v>
      </c>
      <c r="BL33" s="96">
        <f t="shared" si="9"/>
        <v>-3.0820182288169586E-4</v>
      </c>
      <c r="BM33" s="139">
        <f t="shared" si="10"/>
        <v>0</v>
      </c>
      <c r="BN33" s="80">
        <f t="shared" si="11"/>
        <v>0</v>
      </c>
      <c r="BO33" s="83">
        <f t="shared" si="12"/>
        <v>0</v>
      </c>
      <c r="BP33" s="80">
        <f t="shared" si="13"/>
        <v>0</v>
      </c>
      <c r="BQ33" s="80">
        <f t="shared" si="14"/>
        <v>0</v>
      </c>
      <c r="BR33" s="81">
        <f t="shared" si="15"/>
        <v>0</v>
      </c>
      <c r="BS33" s="80">
        <f t="shared" si="16"/>
        <v>0</v>
      </c>
      <c r="BT33" s="80">
        <f t="shared" si="17"/>
        <v>0</v>
      </c>
      <c r="BU33" s="96">
        <f t="shared" si="18"/>
        <v>0</v>
      </c>
    </row>
    <row r="34" spans="1:73" ht="15.75" thickBot="1" x14ac:dyDescent="0.3">
      <c r="A34" s="55">
        <v>5.3244879999999997</v>
      </c>
      <c r="B34" s="55">
        <v>3.7282470000000001</v>
      </c>
      <c r="C34" s="113">
        <v>6.5</v>
      </c>
      <c r="D34" s="212" t="s">
        <v>20</v>
      </c>
      <c r="E34" s="249">
        <v>54.999995575866997</v>
      </c>
      <c r="F34" s="63">
        <v>35.000034044155903</v>
      </c>
      <c r="G34" s="243">
        <v>89.9999703799771</v>
      </c>
      <c r="H34" s="212" t="s">
        <v>21</v>
      </c>
      <c r="I34" s="121">
        <v>1.5552700000000001E-3</v>
      </c>
      <c r="J34" s="64">
        <v>5.1026043307086598E-5</v>
      </c>
      <c r="K34" s="55">
        <v>6.1231299999999996E-4</v>
      </c>
      <c r="L34" s="62">
        <v>1.5552738000000002E-5</v>
      </c>
      <c r="M34" s="65">
        <v>9.6640233536148898E-9</v>
      </c>
      <c r="N34" s="66">
        <v>1.5552699999999999E-2</v>
      </c>
      <c r="O34" s="64">
        <v>1.70086811023622E-5</v>
      </c>
      <c r="P34" s="122">
        <v>15.5527</v>
      </c>
      <c r="Q34" s="129">
        <v>9.9255111929986697E-6</v>
      </c>
      <c r="R34" s="67">
        <v>9.9255111929986699E-8</v>
      </c>
      <c r="S34" s="68">
        <v>9.9255111929986696E-10</v>
      </c>
      <c r="T34" s="69">
        <v>9.9255111929986707E-12</v>
      </c>
      <c r="U34" s="67">
        <v>1.5384573118294201E-8</v>
      </c>
      <c r="V34" s="68">
        <v>1.06837313321487E-10</v>
      </c>
      <c r="W34" s="70">
        <v>9.9255111929986696E-14</v>
      </c>
      <c r="X34" s="71">
        <v>9.9255111929986694E-16</v>
      </c>
      <c r="Y34" s="72">
        <v>2.4526472296025599E-15</v>
      </c>
      <c r="Z34" s="144">
        <v>8</v>
      </c>
      <c r="AA34" s="17">
        <v>5.3244879999999997</v>
      </c>
      <c r="AB34" s="9">
        <v>3.7282470000000001</v>
      </c>
      <c r="AC34" s="10">
        <v>6.5</v>
      </c>
      <c r="AD34" s="20" t="s">
        <v>20</v>
      </c>
      <c r="AE34" s="17">
        <v>55</v>
      </c>
      <c r="AF34" s="9">
        <v>35</v>
      </c>
      <c r="AG34" s="10">
        <v>90</v>
      </c>
      <c r="AH34" s="20" t="s">
        <v>21</v>
      </c>
      <c r="AI34" s="17">
        <v>1.5552700000000001E-3</v>
      </c>
      <c r="AJ34" s="36">
        <v>5.1025918635170598E-5</v>
      </c>
      <c r="AK34" s="9">
        <v>6.1231100000000004E-4</v>
      </c>
      <c r="AL34" s="37">
        <v>1.5552700000000001E-5</v>
      </c>
      <c r="AM34" s="38">
        <v>9.6639997415095904E-9</v>
      </c>
      <c r="AN34" s="9">
        <v>1.5552699999999999E-2</v>
      </c>
      <c r="AO34" s="36">
        <v>1.7008639545056901E-5</v>
      </c>
      <c r="AP34" s="10">
        <f>AA34+AB34+AC34</f>
        <v>15.552735</v>
      </c>
      <c r="AQ34" s="17">
        <f>SQRT((AP34/2)*(AP34/2-AA34)*(AP34/2-AB34)*(AP34/2-AC34))/1000000</f>
        <v>9.9255032062679894E-6</v>
      </c>
      <c r="AR34" s="39">
        <v>9.9254999999999998E-8</v>
      </c>
      <c r="AS34" s="39">
        <v>9.9255000000000005E-10</v>
      </c>
      <c r="AT34" s="39">
        <v>9.9255000000000001E-12</v>
      </c>
      <c r="AU34" s="40">
        <v>1.53845557691115E-8</v>
      </c>
      <c r="AV34" s="40">
        <v>1.06837192841052E-10</v>
      </c>
      <c r="AW34" s="39">
        <v>9.9255000000000002E-14</v>
      </c>
      <c r="AX34" s="39">
        <v>9.9254999999999993E-16</v>
      </c>
      <c r="AY34" s="45">
        <v>2.4526444637523502E-15</v>
      </c>
      <c r="AZ34" s="48" t="s">
        <v>20</v>
      </c>
      <c r="BA34" s="97">
        <f t="shared" si="19"/>
        <v>-8.0438781873743377E-6</v>
      </c>
      <c r="BB34" s="97">
        <f t="shared" si="20"/>
        <v>9.7269016866416026E-5</v>
      </c>
      <c r="BC34" s="235">
        <f t="shared" si="1"/>
        <v>-3.2911136555766359E-5</v>
      </c>
      <c r="BD34" s="239" t="s">
        <v>21</v>
      </c>
      <c r="BE34" s="135">
        <f t="shared" si="2"/>
        <v>0</v>
      </c>
      <c r="BF34" s="98">
        <f t="shared" si="3"/>
        <v>2.4433056637561721E-4</v>
      </c>
      <c r="BG34" s="98">
        <f t="shared" si="4"/>
        <v>3.26631401350469E-4</v>
      </c>
      <c r="BH34" s="98">
        <f t="shared" si="5"/>
        <v>2.4433056640085272E-4</v>
      </c>
      <c r="BI34" s="98">
        <f t="shared" si="6"/>
        <v>2.4433056633951192E-4</v>
      </c>
      <c r="BJ34" s="98">
        <f t="shared" si="7"/>
        <v>0</v>
      </c>
      <c r="BK34" s="99">
        <f t="shared" si="8"/>
        <v>2.4433056617641604E-4</v>
      </c>
      <c r="BL34" s="102">
        <f t="shared" si="9"/>
        <v>-2.2504080472310071E-4</v>
      </c>
      <c r="BM34" s="140">
        <f t="shared" si="10"/>
        <v>8.0466758352171937E-5</v>
      </c>
      <c r="BN34" s="100">
        <f t="shared" si="11"/>
        <v>1.1277012412576927E-4</v>
      </c>
      <c r="BO34" s="99">
        <f t="shared" si="12"/>
        <v>1.1277012411576859E-4</v>
      </c>
      <c r="BP34" s="100">
        <f t="shared" si="13"/>
        <v>1.1277012413074356E-4</v>
      </c>
      <c r="BQ34" s="100">
        <f t="shared" si="14"/>
        <v>1.1277012453918534E-4</v>
      </c>
      <c r="BR34" s="101">
        <f t="shared" si="15"/>
        <v>1.1277012414131002E-4</v>
      </c>
      <c r="BS34" s="100">
        <f t="shared" si="16"/>
        <v>1.127701241185357E-4</v>
      </c>
      <c r="BT34" s="100">
        <f t="shared" si="17"/>
        <v>1.1277012412568875E-4</v>
      </c>
      <c r="BU34" s="102">
        <f t="shared" si="18"/>
        <v>1.1277012427207022E-4</v>
      </c>
    </row>
    <row r="35" spans="1:73" x14ac:dyDescent="0.25">
      <c r="A35" s="1">
        <v>3</v>
      </c>
      <c r="B35" s="1">
        <v>4</v>
      </c>
      <c r="C35" s="6">
        <v>6</v>
      </c>
      <c r="D35" s="245" t="s">
        <v>9</v>
      </c>
      <c r="E35" s="246">
        <v>0.46049342505910001</v>
      </c>
      <c r="F35" s="60">
        <v>0.63418384082400003</v>
      </c>
      <c r="G35" s="244">
        <v>2.0469153877066999</v>
      </c>
      <c r="H35" s="245" t="s">
        <v>31</v>
      </c>
      <c r="I35" s="118">
        <v>13</v>
      </c>
      <c r="J35" s="1">
        <v>0.42650900000000003</v>
      </c>
      <c r="K35" s="1">
        <v>5.1181099999999997</v>
      </c>
      <c r="L35" s="1">
        <v>0.13</v>
      </c>
      <c r="M35" s="49">
        <v>8.0778254990853402E-5</v>
      </c>
      <c r="N35" s="1">
        <v>130</v>
      </c>
      <c r="O35" s="1">
        <v>0.14216999999999999</v>
      </c>
      <c r="P35" s="119">
        <v>130000</v>
      </c>
      <c r="Q35" s="118">
        <v>533.26800000000003</v>
      </c>
      <c r="R35" s="1">
        <v>5.3326799999999999</v>
      </c>
      <c r="S35" s="1">
        <v>5.3326800000000001E-2</v>
      </c>
      <c r="T35" s="1">
        <v>5.3326800000000004E-4</v>
      </c>
      <c r="U35" s="1">
        <v>0.82656700000000005</v>
      </c>
      <c r="V35" s="1">
        <v>5.74005E-3</v>
      </c>
      <c r="W35" s="50">
        <v>5.3326822519253901E-6</v>
      </c>
      <c r="X35" s="51">
        <v>5.3326822519253902E-8</v>
      </c>
      <c r="Y35" s="126">
        <v>1.3177344821051999E-7</v>
      </c>
      <c r="Z35" s="142">
        <v>1</v>
      </c>
      <c r="AA35" s="13">
        <v>3</v>
      </c>
      <c r="AB35" s="7">
        <v>4</v>
      </c>
      <c r="AC35" s="14">
        <v>6</v>
      </c>
      <c r="AD35" s="18" t="s">
        <v>9</v>
      </c>
      <c r="AE35" s="13">
        <v>0.46049299999999999</v>
      </c>
      <c r="AF35" s="7">
        <v>0.63418300000000005</v>
      </c>
      <c r="AG35" s="14">
        <v>2.0469170000000001</v>
      </c>
      <c r="AH35" s="18" t="s">
        <v>31</v>
      </c>
      <c r="AI35" s="13">
        <f>AA35+AB35+AC35</f>
        <v>13</v>
      </c>
      <c r="AJ35" s="7">
        <v>0.42650900000000003</v>
      </c>
      <c r="AK35" s="7">
        <v>5.1181099999999997</v>
      </c>
      <c r="AL35" s="7">
        <v>0.13</v>
      </c>
      <c r="AM35" s="11">
        <v>8.0778254990853402E-5</v>
      </c>
      <c r="AN35" s="7">
        <v>130</v>
      </c>
      <c r="AO35" s="7">
        <v>0.14216999999999999</v>
      </c>
      <c r="AP35" s="14">
        <v>130000</v>
      </c>
      <c r="AQ35" s="13">
        <v>533.26800000000003</v>
      </c>
      <c r="AR35" s="12">
        <f>SQRT((AI35/2)*(AI35/2-AA35)*(AI35/2-AB35)*(AI35/2-AC35))</f>
        <v>5.3326822519253856</v>
      </c>
      <c r="AS35" s="7">
        <v>5.3326800000000001E-2</v>
      </c>
      <c r="AT35" s="7">
        <v>5.3326800000000004E-4</v>
      </c>
      <c r="AU35" s="7">
        <v>0.82656700000000005</v>
      </c>
      <c r="AV35" s="7">
        <v>5.74005E-3</v>
      </c>
      <c r="AW35" s="21">
        <v>5.3326800000000001E-6</v>
      </c>
      <c r="AX35" s="22">
        <v>5.3326800000000001E-8</v>
      </c>
      <c r="AY35" s="41">
        <v>1.3177339256423201E-7</v>
      </c>
      <c r="AZ35" s="47" t="s">
        <v>9</v>
      </c>
      <c r="BA35" s="90">
        <f t="shared" si="19"/>
        <v>9.2305225058528242E-5</v>
      </c>
      <c r="BB35" s="90">
        <f t="shared" si="20"/>
        <v>1.3258381255588851E-4</v>
      </c>
      <c r="BC35" s="233">
        <f t="shared" si="1"/>
        <v>-7.876691141856891E-5</v>
      </c>
      <c r="BD35" s="237" t="s">
        <v>31</v>
      </c>
      <c r="BE35" s="133">
        <f t="shared" si="2"/>
        <v>0</v>
      </c>
      <c r="BF35" s="91">
        <f t="shared" si="3"/>
        <v>0</v>
      </c>
      <c r="BG35" s="91">
        <f t="shared" si="4"/>
        <v>0</v>
      </c>
      <c r="BH35" s="91">
        <f t="shared" si="5"/>
        <v>0</v>
      </c>
      <c r="BI35" s="91">
        <f t="shared" si="6"/>
        <v>0</v>
      </c>
      <c r="BJ35" s="91">
        <f t="shared" si="7"/>
        <v>0</v>
      </c>
      <c r="BK35" s="92">
        <f t="shared" si="8"/>
        <v>0</v>
      </c>
      <c r="BL35" s="95">
        <f t="shared" si="9"/>
        <v>0</v>
      </c>
      <c r="BM35" s="138">
        <f t="shared" si="10"/>
        <v>0</v>
      </c>
      <c r="BN35" s="93">
        <f t="shared" si="11"/>
        <v>-4.2228756174401703E-5</v>
      </c>
      <c r="BO35" s="92">
        <f t="shared" si="12"/>
        <v>0</v>
      </c>
      <c r="BP35" s="93">
        <f t="shared" si="13"/>
        <v>0</v>
      </c>
      <c r="BQ35" s="93">
        <f t="shared" si="14"/>
        <v>0</v>
      </c>
      <c r="BR35" s="94">
        <f t="shared" si="15"/>
        <v>0</v>
      </c>
      <c r="BS35" s="93">
        <f t="shared" si="16"/>
        <v>4.2228774088679179E-5</v>
      </c>
      <c r="BT35" s="93">
        <f t="shared" si="17"/>
        <v>4.222877409016829E-5</v>
      </c>
      <c r="BU35" s="95">
        <f t="shared" si="18"/>
        <v>4.222877387957446E-5</v>
      </c>
    </row>
    <row r="36" spans="1:73" x14ac:dyDescent="0.25">
      <c r="A36" s="1">
        <v>6.1032790400000003</v>
      </c>
      <c r="B36" s="1">
        <v>3.5</v>
      </c>
      <c r="C36" s="6">
        <v>5</v>
      </c>
      <c r="D36" s="211" t="s">
        <v>5</v>
      </c>
      <c r="E36" s="56">
        <v>1.5707967565120999</v>
      </c>
      <c r="F36" s="54">
        <v>0.61072582307279999</v>
      </c>
      <c r="G36" s="241">
        <v>0.96007007400489996</v>
      </c>
      <c r="H36" s="211" t="s">
        <v>31</v>
      </c>
      <c r="I36" s="118">
        <v>445.108</v>
      </c>
      <c r="J36" s="1">
        <v>14.603300000000001</v>
      </c>
      <c r="K36" s="1">
        <v>175.239</v>
      </c>
      <c r="L36" s="1">
        <v>4.4510800000000001</v>
      </c>
      <c r="M36" s="1">
        <v>2.7657699999999999E-3</v>
      </c>
      <c r="N36" s="1">
        <v>4451.08</v>
      </c>
      <c r="O36" s="1">
        <v>4.8677599999999996</v>
      </c>
      <c r="P36" s="119">
        <v>4451079</v>
      </c>
      <c r="Q36" s="118">
        <v>812902</v>
      </c>
      <c r="R36" s="1">
        <v>8129.02</v>
      </c>
      <c r="S36" s="1">
        <v>81.290199999999999</v>
      </c>
      <c r="T36" s="1">
        <v>0.81290200000000001</v>
      </c>
      <c r="U36" s="1">
        <v>1260</v>
      </c>
      <c r="V36" s="1">
        <v>8.75</v>
      </c>
      <c r="W36" s="1">
        <v>8.1290200000000007E-3</v>
      </c>
      <c r="X36" s="52">
        <v>8.1290159999992506E-5</v>
      </c>
      <c r="Y36" s="119">
        <v>2.00872E-4</v>
      </c>
      <c r="Z36" s="143">
        <v>2</v>
      </c>
      <c r="AA36" s="15">
        <v>6.1032790400000003</v>
      </c>
      <c r="AB36" s="34">
        <v>3.5</v>
      </c>
      <c r="AC36" s="16">
        <v>5</v>
      </c>
      <c r="AD36" s="19" t="s">
        <v>5</v>
      </c>
      <c r="AE36" s="15">
        <v>1.5707960000000001</v>
      </c>
      <c r="AF36" s="2">
        <v>0.61072599999999999</v>
      </c>
      <c r="AG36" s="34">
        <v>0.96006999999999998</v>
      </c>
      <c r="AH36" s="19" t="s">
        <v>31</v>
      </c>
      <c r="AI36" s="15">
        <v>445.10899999999998</v>
      </c>
      <c r="AJ36" s="2">
        <f>AA36+AB36+AC36</f>
        <v>14.60327904</v>
      </c>
      <c r="AK36" s="2">
        <v>175.24</v>
      </c>
      <c r="AL36" s="2">
        <v>4.4510899999999998</v>
      </c>
      <c r="AM36" s="2">
        <v>2.7657799999999998E-3</v>
      </c>
      <c r="AN36" s="2">
        <v>4451.09</v>
      </c>
      <c r="AO36" s="2">
        <v>4.8677700000000002</v>
      </c>
      <c r="AP36" s="16">
        <v>4451086</v>
      </c>
      <c r="AQ36" s="15">
        <v>812902</v>
      </c>
      <c r="AR36" s="2">
        <v>8129.02</v>
      </c>
      <c r="AS36" s="2">
        <v>81.290199999999999</v>
      </c>
      <c r="AT36" s="2">
        <v>0.81290200000000001</v>
      </c>
      <c r="AU36" s="2">
        <v>1260</v>
      </c>
      <c r="AV36" s="2">
        <f>SQRT((AJ36/2)*(AJ36/2-AA36)*(AJ36/2-AB36)*(AJ36/2-AC36))</f>
        <v>8.7499999999991918</v>
      </c>
      <c r="AW36" s="2">
        <v>8.1290200000000007E-3</v>
      </c>
      <c r="AX36" s="23">
        <v>8.129016E-5</v>
      </c>
      <c r="AY36" s="42">
        <v>2.00872E-4</v>
      </c>
      <c r="AZ36" s="46" t="s">
        <v>5</v>
      </c>
      <c r="BA36" s="73">
        <f t="shared" si="19"/>
        <v>4.8161066099809791E-5</v>
      </c>
      <c r="BB36" s="73">
        <f t="shared" si="20"/>
        <v>-2.896997999132865E-5</v>
      </c>
      <c r="BC36" s="234">
        <f t="shared" si="1"/>
        <v>7.7082816863228722E-6</v>
      </c>
      <c r="BD36" s="238" t="s">
        <v>31</v>
      </c>
      <c r="BE36" s="134">
        <f t="shared" si="2"/>
        <v>-2.2466407104245324E-4</v>
      </c>
      <c r="BF36" s="82">
        <f t="shared" si="3"/>
        <v>1.435294083137228E-4</v>
      </c>
      <c r="BG36" s="82">
        <f t="shared" si="4"/>
        <v>-5.706459712421678E-4</v>
      </c>
      <c r="BH36" s="82">
        <f t="shared" si="5"/>
        <v>-2.2466407103926056E-4</v>
      </c>
      <c r="BI36" s="82">
        <f t="shared" si="6"/>
        <v>-3.6156165710723965E-4</v>
      </c>
      <c r="BJ36" s="82">
        <f t="shared" si="7"/>
        <v>-2.2466407105266976E-4</v>
      </c>
      <c r="BK36" s="83">
        <f t="shared" si="8"/>
        <v>-2.0543287789911193E-4</v>
      </c>
      <c r="BL36" s="96">
        <f t="shared" si="9"/>
        <v>-1.5726499106060858E-4</v>
      </c>
      <c r="BM36" s="139">
        <f t="shared" si="10"/>
        <v>0</v>
      </c>
      <c r="BN36" s="80">
        <f t="shared" si="11"/>
        <v>0</v>
      </c>
      <c r="BO36" s="83">
        <f t="shared" si="12"/>
        <v>0</v>
      </c>
      <c r="BP36" s="80">
        <f t="shared" si="13"/>
        <v>0</v>
      </c>
      <c r="BQ36" s="80">
        <f t="shared" si="14"/>
        <v>0</v>
      </c>
      <c r="BR36" s="81">
        <f t="shared" si="15"/>
        <v>9.2370555648821554E-12</v>
      </c>
      <c r="BS36" s="80">
        <f t="shared" si="16"/>
        <v>0</v>
      </c>
      <c r="BT36" s="80">
        <f t="shared" si="17"/>
        <v>-9.2195014960064654E-12</v>
      </c>
      <c r="BU36" s="96">
        <f t="shared" si="18"/>
        <v>0</v>
      </c>
    </row>
    <row r="37" spans="1:73" x14ac:dyDescent="0.25">
      <c r="A37" s="1">
        <v>4</v>
      </c>
      <c r="B37" s="1">
        <v>4</v>
      </c>
      <c r="C37" s="6">
        <v>4</v>
      </c>
      <c r="D37" s="211" t="s">
        <v>8</v>
      </c>
      <c r="E37" s="56">
        <v>1.0471975511966001</v>
      </c>
      <c r="F37" s="1">
        <v>1.0471975511966001</v>
      </c>
      <c r="G37" s="241">
        <v>1.0471975511966001</v>
      </c>
      <c r="H37" s="211" t="s">
        <v>31</v>
      </c>
      <c r="I37" s="118">
        <v>30.48</v>
      </c>
      <c r="J37" s="1">
        <v>1</v>
      </c>
      <c r="K37" s="1">
        <v>12</v>
      </c>
      <c r="L37" s="1">
        <v>0.30480000000000002</v>
      </c>
      <c r="M37" s="1">
        <v>1.8939400000000001E-4</v>
      </c>
      <c r="N37" s="1">
        <v>304.8</v>
      </c>
      <c r="O37" s="1">
        <v>0.33333299999999999</v>
      </c>
      <c r="P37" s="119">
        <v>304800</v>
      </c>
      <c r="Q37" s="118">
        <v>4469.8</v>
      </c>
      <c r="R37" s="1">
        <v>44.698</v>
      </c>
      <c r="S37" s="1">
        <v>0.44697999999999999</v>
      </c>
      <c r="T37" s="1">
        <v>4.4698000000000003E-3</v>
      </c>
      <c r="U37" s="1">
        <v>6.9282000000000004</v>
      </c>
      <c r="V37" s="1">
        <v>4.8112500000000002E-2</v>
      </c>
      <c r="W37" s="49">
        <v>4.46979959604455E-5</v>
      </c>
      <c r="X37" s="58">
        <v>4.46979959604455E-7</v>
      </c>
      <c r="Y37" s="126">
        <v>1.10451153426237E-6</v>
      </c>
      <c r="Z37" s="143">
        <v>3</v>
      </c>
      <c r="AA37" s="15">
        <v>4</v>
      </c>
      <c r="AB37" s="2">
        <v>4</v>
      </c>
      <c r="AC37" s="16">
        <v>4</v>
      </c>
      <c r="AD37" s="19" t="s">
        <v>8</v>
      </c>
      <c r="AE37" s="15">
        <v>1.0471980000000001</v>
      </c>
      <c r="AF37" s="2">
        <v>1.0471969999999999</v>
      </c>
      <c r="AG37" s="16">
        <v>1.0471980000000001</v>
      </c>
      <c r="AH37" s="19" t="s">
        <v>31</v>
      </c>
      <c r="AI37" s="15">
        <v>30.48</v>
      </c>
      <c r="AJ37" s="2">
        <v>1</v>
      </c>
      <c r="AK37" s="2">
        <f>AA37+AB37+AC37</f>
        <v>12</v>
      </c>
      <c r="AL37" s="2">
        <v>0.30480000000000002</v>
      </c>
      <c r="AM37" s="2">
        <v>1.8939400000000001E-4</v>
      </c>
      <c r="AN37" s="2">
        <v>304.8</v>
      </c>
      <c r="AO37" s="2">
        <v>0.33333299999999999</v>
      </c>
      <c r="AP37" s="16">
        <v>304800</v>
      </c>
      <c r="AQ37" s="27">
        <v>4469.8</v>
      </c>
      <c r="AR37" s="26">
        <v>44.698</v>
      </c>
      <c r="AS37" s="2">
        <v>0.44697999999999999</v>
      </c>
      <c r="AT37" s="2">
        <v>4.4698000000000003E-3</v>
      </c>
      <c r="AU37" s="2">
        <f>SQRT((AK37/2)*(AK37/2-AA37)*(AK37/2-AB37)*(AK37/2-AC37))</f>
        <v>6.9282032302755088</v>
      </c>
      <c r="AV37" s="2">
        <v>4.8112500000000002E-2</v>
      </c>
      <c r="AW37" s="24">
        <v>4.4697975120000001E-5</v>
      </c>
      <c r="AX37" s="25">
        <v>4.4697975119999998E-7</v>
      </c>
      <c r="AY37" s="43">
        <v>1.1045110192837499E-6</v>
      </c>
      <c r="AZ37" s="46" t="s">
        <v>8</v>
      </c>
      <c r="BA37" s="73">
        <f t="shared" si="19"/>
        <v>-4.2857549384110747E-5</v>
      </c>
      <c r="BB37" s="73">
        <f t="shared" si="20"/>
        <v>5.2635425821536723E-5</v>
      </c>
      <c r="BC37" s="234">
        <f t="shared" si="1"/>
        <v>-4.2857549384110747E-5</v>
      </c>
      <c r="BD37" s="238" t="s">
        <v>31</v>
      </c>
      <c r="BE37" s="134">
        <f t="shared" si="2"/>
        <v>0</v>
      </c>
      <c r="BF37" s="82">
        <f t="shared" si="3"/>
        <v>0</v>
      </c>
      <c r="BG37" s="82">
        <f t="shared" si="4"/>
        <v>0</v>
      </c>
      <c r="BH37" s="82">
        <f t="shared" si="5"/>
        <v>0</v>
      </c>
      <c r="BI37" s="82">
        <f t="shared" si="6"/>
        <v>0</v>
      </c>
      <c r="BJ37" s="82">
        <f t="shared" si="7"/>
        <v>0</v>
      </c>
      <c r="BK37" s="83">
        <f t="shared" si="8"/>
        <v>0</v>
      </c>
      <c r="BL37" s="96">
        <f t="shared" si="9"/>
        <v>0</v>
      </c>
      <c r="BM37" s="139">
        <f t="shared" si="10"/>
        <v>0</v>
      </c>
      <c r="BN37" s="80">
        <f t="shared" si="11"/>
        <v>0</v>
      </c>
      <c r="BO37" s="83">
        <f t="shared" si="12"/>
        <v>0</v>
      </c>
      <c r="BP37" s="80">
        <f t="shared" si="13"/>
        <v>0</v>
      </c>
      <c r="BQ37" s="80">
        <f t="shared" si="14"/>
        <v>-4.6625010858495514E-5</v>
      </c>
      <c r="BR37" s="81">
        <f t="shared" si="15"/>
        <v>0</v>
      </c>
      <c r="BS37" s="80">
        <f t="shared" si="16"/>
        <v>4.6625032661845805E-5</v>
      </c>
      <c r="BT37" s="80">
        <f t="shared" si="17"/>
        <v>4.6625032668004601E-5</v>
      </c>
      <c r="BU37" s="96">
        <f t="shared" si="18"/>
        <v>4.6625032355362504E-5</v>
      </c>
    </row>
    <row r="38" spans="1:73" x14ac:dyDescent="0.25">
      <c r="A38" s="1">
        <v>4.1620460000000001</v>
      </c>
      <c r="B38" s="1">
        <v>9.2236370000000001</v>
      </c>
      <c r="C38" s="6">
        <v>5.5</v>
      </c>
      <c r="D38" s="211" t="s">
        <v>4</v>
      </c>
      <c r="E38" s="56">
        <v>0.26179805605779999</v>
      </c>
      <c r="F38" s="1">
        <v>2.5307302547567998</v>
      </c>
      <c r="G38" s="241">
        <v>0.34906434277519999</v>
      </c>
      <c r="H38" s="211" t="s">
        <v>31</v>
      </c>
      <c r="I38" s="118">
        <v>1888.57</v>
      </c>
      <c r="J38" s="1">
        <v>61.960900000000002</v>
      </c>
      <c r="K38" s="1">
        <v>743.53099999999995</v>
      </c>
      <c r="L38" s="1">
        <v>18.8857</v>
      </c>
      <c r="M38" s="1">
        <v>1.1735000000000001E-2</v>
      </c>
      <c r="N38" s="1">
        <v>18885.7</v>
      </c>
      <c r="O38" s="1">
        <v>20.653600000000001</v>
      </c>
      <c r="P38" s="119">
        <v>18885686</v>
      </c>
      <c r="Q38" s="118">
        <v>6564915</v>
      </c>
      <c r="R38" s="1">
        <v>65649.2</v>
      </c>
      <c r="S38" s="1">
        <v>656.49199999999996</v>
      </c>
      <c r="T38" s="1">
        <v>6.5649199999999999</v>
      </c>
      <c r="U38" s="1">
        <v>10175.6</v>
      </c>
      <c r="V38" s="1">
        <v>70.664199999999994</v>
      </c>
      <c r="W38" s="1">
        <v>6.5649200000000005E-2</v>
      </c>
      <c r="X38" s="1">
        <v>6.5649199999999995E-4</v>
      </c>
      <c r="Y38" s="119">
        <v>1.6222299999999999E-3</v>
      </c>
      <c r="Z38" s="143">
        <v>4</v>
      </c>
      <c r="AA38" s="2">
        <v>4.1620460000000001</v>
      </c>
      <c r="AB38" s="2">
        <v>9.2236370000000001</v>
      </c>
      <c r="AC38" s="35">
        <v>5.5</v>
      </c>
      <c r="AD38" s="19" t="s">
        <v>4</v>
      </c>
      <c r="AE38" s="74">
        <v>0.261799</v>
      </c>
      <c r="AF38" s="76">
        <v>2.5307270000000002</v>
      </c>
      <c r="AG38" s="232">
        <v>0.34906599999999999</v>
      </c>
      <c r="AH38" s="19" t="s">
        <v>31</v>
      </c>
      <c r="AI38" s="15">
        <v>1888.57</v>
      </c>
      <c r="AJ38" s="2">
        <v>61.960999999999999</v>
      </c>
      <c r="AK38" s="2">
        <v>743.53099999999995</v>
      </c>
      <c r="AL38" s="2">
        <f>AA38+AB38+AC38</f>
        <v>18.885683</v>
      </c>
      <c r="AM38" s="2">
        <v>1.1735000000000001E-2</v>
      </c>
      <c r="AN38" s="2">
        <v>18885.7</v>
      </c>
      <c r="AO38" s="2">
        <v>20.653700000000001</v>
      </c>
      <c r="AP38" s="16">
        <v>18885700</v>
      </c>
      <c r="AQ38" s="15">
        <v>6564930</v>
      </c>
      <c r="AR38" s="2">
        <v>65649.3</v>
      </c>
      <c r="AS38" s="2">
        <v>656.49300000000005</v>
      </c>
      <c r="AT38" s="2">
        <f>SQRT((AL38/2)*(AL38/2-AA38)*(AL38/2-AB38)*(AL38/2-AC38))</f>
        <v>6.5649347977470658</v>
      </c>
      <c r="AU38" s="2">
        <v>10175.700000000001</v>
      </c>
      <c r="AV38" s="2">
        <v>70.664299999999997</v>
      </c>
      <c r="AW38" s="2">
        <v>6.5649299999999994E-2</v>
      </c>
      <c r="AX38" s="2">
        <v>6.5649299999999996E-4</v>
      </c>
      <c r="AY38" s="42">
        <v>1.6222299999999999E-3</v>
      </c>
      <c r="AZ38" s="46" t="s">
        <v>4</v>
      </c>
      <c r="BA38" s="73">
        <f t="shared" si="19"/>
        <v>-3.60559895192763E-4</v>
      </c>
      <c r="BB38" s="73">
        <f t="shared" si="20"/>
        <v>1.2860955763427083E-4</v>
      </c>
      <c r="BC38" s="234">
        <f t="shared" si="1"/>
        <v>-4.7475973025164008E-4</v>
      </c>
      <c r="BD38" s="238" t="s">
        <v>31</v>
      </c>
      <c r="BE38" s="134">
        <f t="shared" si="2"/>
        <v>0</v>
      </c>
      <c r="BF38" s="82">
        <f t="shared" si="3"/>
        <v>-1.613918432501319E-4</v>
      </c>
      <c r="BG38" s="82">
        <f t="shared" si="4"/>
        <v>0</v>
      </c>
      <c r="BH38" s="82">
        <f t="shared" si="5"/>
        <v>9.0015277709107417E-5</v>
      </c>
      <c r="BI38" s="82">
        <f t="shared" si="6"/>
        <v>0</v>
      </c>
      <c r="BJ38" s="82">
        <f t="shared" si="7"/>
        <v>0</v>
      </c>
      <c r="BK38" s="83">
        <f t="shared" si="8"/>
        <v>-4.8417474834904612E-4</v>
      </c>
      <c r="BL38" s="96">
        <f t="shared" si="9"/>
        <v>-7.4130161974403911E-5</v>
      </c>
      <c r="BM38" s="139">
        <f t="shared" si="10"/>
        <v>-2.2848682316490808E-4</v>
      </c>
      <c r="BN38" s="80">
        <f t="shared" si="11"/>
        <v>-1.5232454878547183E-4</v>
      </c>
      <c r="BO38" s="83">
        <f t="shared" si="12"/>
        <v>-1.5232454879032068E-4</v>
      </c>
      <c r="BP38" s="80">
        <f t="shared" si="13"/>
        <v>-2.2540584974276072E-4</v>
      </c>
      <c r="BQ38" s="80">
        <f t="shared" si="14"/>
        <v>-9.827333746117101E-4</v>
      </c>
      <c r="BR38" s="81">
        <f t="shared" si="15"/>
        <v>-1.4151417335672985E-4</v>
      </c>
      <c r="BS38" s="80">
        <f t="shared" si="16"/>
        <v>-1.5232454875984631E-4</v>
      </c>
      <c r="BT38" s="80">
        <f t="shared" si="17"/>
        <v>-1.5232454877900378E-4</v>
      </c>
      <c r="BU38" s="96">
        <f t="shared" si="18"/>
        <v>0</v>
      </c>
    </row>
    <row r="39" spans="1:73" x14ac:dyDescent="0.25">
      <c r="A39" s="1">
        <v>2.74674</v>
      </c>
      <c r="B39" s="1">
        <v>2.74674</v>
      </c>
      <c r="C39" s="6">
        <v>4.5</v>
      </c>
      <c r="D39" s="211" t="s">
        <v>10</v>
      </c>
      <c r="E39" s="247">
        <v>0.61086376950679999</v>
      </c>
      <c r="F39" s="54">
        <v>0.61086376950679999</v>
      </c>
      <c r="G39" s="241">
        <v>1.9198651145762</v>
      </c>
      <c r="H39" s="211" t="s">
        <v>31</v>
      </c>
      <c r="I39" s="120">
        <v>1608295</v>
      </c>
      <c r="J39" s="1">
        <v>52765.599999999999</v>
      </c>
      <c r="K39" s="1">
        <v>633187</v>
      </c>
      <c r="L39" s="1">
        <v>16082.9</v>
      </c>
      <c r="M39" s="1">
        <v>9.9934799999999999</v>
      </c>
      <c r="N39" s="1">
        <v>16082947</v>
      </c>
      <c r="O39" s="1">
        <v>17588.5</v>
      </c>
      <c r="P39" s="119">
        <v>16082947077</v>
      </c>
      <c r="Q39" s="120">
        <v>9180962869770</v>
      </c>
      <c r="R39" s="59">
        <v>91809628698</v>
      </c>
      <c r="S39" s="1">
        <v>918096287</v>
      </c>
      <c r="T39" s="1">
        <v>9180963</v>
      </c>
      <c r="U39" s="1">
        <v>14230520909</v>
      </c>
      <c r="V39" s="1">
        <v>98823062</v>
      </c>
      <c r="W39" s="1">
        <v>91809.600000000006</v>
      </c>
      <c r="X39" s="1">
        <v>918.096</v>
      </c>
      <c r="Y39" s="119">
        <v>2268.67</v>
      </c>
      <c r="Z39" s="143">
        <v>5</v>
      </c>
      <c r="AA39" s="15">
        <v>2.74674</v>
      </c>
      <c r="AB39" s="2">
        <v>2.74674</v>
      </c>
      <c r="AC39" s="16">
        <v>4.5</v>
      </c>
      <c r="AD39" s="19" t="s">
        <v>10</v>
      </c>
      <c r="AE39" s="15">
        <v>0.61086499999999999</v>
      </c>
      <c r="AF39" s="2">
        <v>0.61086499999999999</v>
      </c>
      <c r="AG39" s="16">
        <v>1.919862</v>
      </c>
      <c r="AH39" s="19" t="s">
        <v>31</v>
      </c>
      <c r="AI39" s="15">
        <v>1608295</v>
      </c>
      <c r="AJ39" s="2">
        <v>52765.599999999999</v>
      </c>
      <c r="AK39" s="2">
        <v>633187</v>
      </c>
      <c r="AL39" s="2">
        <v>16082.9</v>
      </c>
      <c r="AM39" s="2">
        <f>AA39+AB39+AC39</f>
        <v>9.9934799999999999</v>
      </c>
      <c r="AN39" s="2">
        <v>16082947</v>
      </c>
      <c r="AO39" s="2">
        <v>17588.5</v>
      </c>
      <c r="AP39" s="16">
        <v>16082947077</v>
      </c>
      <c r="AQ39" s="28">
        <v>9180755000000</v>
      </c>
      <c r="AR39" s="2">
        <v>91807550000</v>
      </c>
      <c r="AS39" s="2">
        <v>918075500</v>
      </c>
      <c r="AT39" s="2">
        <f>SQRT((AL39/2)*(AL39/2-AA39*63360*2.54/100)*(AL39/2-AB39*63360*2.54/100)*(AL39/2-AC39*63360*2.54/100))</f>
        <v>9180754.5881258342</v>
      </c>
      <c r="AU39" s="29">
        <v>14230198710</v>
      </c>
      <c r="AV39" s="2">
        <v>98820824</v>
      </c>
      <c r="AW39" s="2">
        <v>91807.6</v>
      </c>
      <c r="AX39" s="2">
        <v>918.07600000000002</v>
      </c>
      <c r="AY39" s="42">
        <v>2268.61</v>
      </c>
      <c r="AZ39" s="46" t="s">
        <v>10</v>
      </c>
      <c r="BA39" s="73">
        <f t="shared" si="19"/>
        <v>-2.0143455591653994E-4</v>
      </c>
      <c r="BB39" s="73">
        <f t="shared" si="20"/>
        <v>-2.0143455591653994E-4</v>
      </c>
      <c r="BC39" s="234">
        <f t="shared" si="1"/>
        <v>1.6222917064134788E-4</v>
      </c>
      <c r="BD39" s="238" t="s">
        <v>31</v>
      </c>
      <c r="BE39" s="134">
        <f t="shared" si="2"/>
        <v>0</v>
      </c>
      <c r="BF39" s="82">
        <f t="shared" si="3"/>
        <v>0</v>
      </c>
      <c r="BG39" s="82">
        <f t="shared" si="4"/>
        <v>0</v>
      </c>
      <c r="BH39" s="82">
        <f t="shared" si="5"/>
        <v>0</v>
      </c>
      <c r="BI39" s="82">
        <f t="shared" si="6"/>
        <v>0</v>
      </c>
      <c r="BJ39" s="82">
        <f t="shared" si="7"/>
        <v>0</v>
      </c>
      <c r="BK39" s="83">
        <f t="shared" si="8"/>
        <v>0</v>
      </c>
      <c r="BL39" s="96">
        <f t="shared" si="9"/>
        <v>0</v>
      </c>
      <c r="BM39" s="139">
        <f t="shared" si="10"/>
        <v>2.2641903634287156E-3</v>
      </c>
      <c r="BN39" s="80">
        <f t="shared" si="11"/>
        <v>2.2641906901992265E-3</v>
      </c>
      <c r="BO39" s="83">
        <f t="shared" si="12"/>
        <v>2.2641928686692979E-3</v>
      </c>
      <c r="BP39" s="80">
        <f t="shared" si="13"/>
        <v>2.2700952537748191E-3</v>
      </c>
      <c r="BQ39" s="80">
        <f t="shared" si="14"/>
        <v>2.2641918540011728E-3</v>
      </c>
      <c r="BR39" s="81">
        <f t="shared" si="15"/>
        <v>2.2647048561343711E-3</v>
      </c>
      <c r="BS39" s="80">
        <f t="shared" si="16"/>
        <v>2.1784688849289164E-3</v>
      </c>
      <c r="BT39" s="80">
        <f t="shared" si="17"/>
        <v>2.1784688849269354E-3</v>
      </c>
      <c r="BU39" s="96">
        <f t="shared" si="18"/>
        <v>2.6447913039237872E-3</v>
      </c>
    </row>
    <row r="40" spans="1:73" x14ac:dyDescent="0.25">
      <c r="A40" s="1">
        <v>3.6547499999999999</v>
      </c>
      <c r="B40" s="1">
        <v>3.6547499999999999</v>
      </c>
      <c r="C40" s="6">
        <v>2.5</v>
      </c>
      <c r="D40" s="211" t="s">
        <v>6</v>
      </c>
      <c r="E40" s="56">
        <v>1.2217299286401999</v>
      </c>
      <c r="F40" s="1">
        <v>1.2217299286401999</v>
      </c>
      <c r="G40" s="6">
        <v>0.69813279630939995</v>
      </c>
      <c r="H40" s="211" t="s">
        <v>31</v>
      </c>
      <c r="I40" s="118">
        <v>0.98094999999999999</v>
      </c>
      <c r="J40" s="1">
        <v>3.2183400000000001E-2</v>
      </c>
      <c r="K40" s="1">
        <v>0.38620100000000002</v>
      </c>
      <c r="L40" s="1">
        <v>9.8095000000000005E-3</v>
      </c>
      <c r="M40" s="77">
        <v>6.0953407102521299E-6</v>
      </c>
      <c r="N40" s="1">
        <v>9.8094999999999999</v>
      </c>
      <c r="O40" s="1">
        <v>1.0727799999999999E-2</v>
      </c>
      <c r="P40" s="119">
        <v>9809.5</v>
      </c>
      <c r="Q40" s="127">
        <v>4.2929300000000001</v>
      </c>
      <c r="R40" s="78">
        <v>4.2929299999999997E-2</v>
      </c>
      <c r="S40" s="78">
        <v>4.2929300000000002E-4</v>
      </c>
      <c r="T40" s="50">
        <v>4.2929261514037498E-6</v>
      </c>
      <c r="U40" s="78">
        <v>6.6540499999999999E-3</v>
      </c>
      <c r="V40" s="49">
        <v>4.6208672519260403E-5</v>
      </c>
      <c r="W40" s="51">
        <v>4.2929261514037502E-8</v>
      </c>
      <c r="X40" s="79">
        <v>4.2929261514037502E-10</v>
      </c>
      <c r="Y40" s="128">
        <v>1.0608051542529899E-9</v>
      </c>
      <c r="Z40" s="143">
        <v>6</v>
      </c>
      <c r="AA40" s="15">
        <v>3.6547499999999999</v>
      </c>
      <c r="AB40" s="2">
        <v>3.6547499999999999</v>
      </c>
      <c r="AC40" s="16">
        <v>2.5</v>
      </c>
      <c r="AD40" s="19" t="s">
        <v>6</v>
      </c>
      <c r="AE40" s="15">
        <v>1.22173</v>
      </c>
      <c r="AF40" s="2">
        <v>1.22173</v>
      </c>
      <c r="AG40" s="16">
        <v>0.69813199999999997</v>
      </c>
      <c r="AH40" s="19" t="s">
        <v>31</v>
      </c>
      <c r="AI40" s="15">
        <v>0.98094999999999999</v>
      </c>
      <c r="AJ40" s="2">
        <v>3.2183400000000001E-2</v>
      </c>
      <c r="AK40" s="2">
        <v>0.38620100000000002</v>
      </c>
      <c r="AL40" s="2">
        <v>9.8095000000000005E-3</v>
      </c>
      <c r="AM40" s="33">
        <v>6.0953407102521299E-6</v>
      </c>
      <c r="AN40" s="2">
        <f>AA40+AB40+AC40</f>
        <v>9.8094999999999999</v>
      </c>
      <c r="AO40" s="2">
        <v>1.0727799999999999E-2</v>
      </c>
      <c r="AP40" s="16">
        <v>9809.5</v>
      </c>
      <c r="AQ40" s="15">
        <f>SQRT((AN40/2)*(AN40/2-AA40)*(AN40/2-AB40)*(AN40/2-AC40))</f>
        <v>4.292926151403754</v>
      </c>
      <c r="AR40" s="2">
        <v>4.2929299999999997E-2</v>
      </c>
      <c r="AS40" s="2">
        <v>4.2929300000000002E-4</v>
      </c>
      <c r="AT40" s="23">
        <v>4.2929300000000004E-6</v>
      </c>
      <c r="AU40" s="2">
        <v>6.6540499999999999E-3</v>
      </c>
      <c r="AV40" s="30">
        <v>4.6208713945205698E-5</v>
      </c>
      <c r="AW40" s="31">
        <v>4.2929300000000003E-8</v>
      </c>
      <c r="AX40" s="32">
        <v>4.29293E-10</v>
      </c>
      <c r="AY40" s="44">
        <v>1.06080610526184E-9</v>
      </c>
      <c r="AZ40" s="46" t="s">
        <v>6</v>
      </c>
      <c r="BA40" s="73">
        <f t="shared" si="19"/>
        <v>-5.8408813787828823E-6</v>
      </c>
      <c r="BB40" s="73">
        <f t="shared" si="20"/>
        <v>-5.8408813787828823E-6</v>
      </c>
      <c r="BC40" s="234">
        <f t="shared" si="1"/>
        <v>1.1406287062836464E-4</v>
      </c>
      <c r="BD40" s="238" t="s">
        <v>31</v>
      </c>
      <c r="BE40" s="134">
        <f t="shared" si="2"/>
        <v>0</v>
      </c>
      <c r="BF40" s="82">
        <f t="shared" si="3"/>
        <v>0</v>
      </c>
      <c r="BG40" s="82">
        <f t="shared" si="4"/>
        <v>0</v>
      </c>
      <c r="BH40" s="82">
        <f t="shared" si="5"/>
        <v>0</v>
      </c>
      <c r="BI40" s="82">
        <f t="shared" si="6"/>
        <v>0</v>
      </c>
      <c r="BJ40" s="82">
        <f t="shared" si="7"/>
        <v>0</v>
      </c>
      <c r="BK40" s="83">
        <f t="shared" si="8"/>
        <v>0</v>
      </c>
      <c r="BL40" s="96">
        <f t="shared" si="9"/>
        <v>0</v>
      </c>
      <c r="BM40" s="139">
        <f t="shared" si="10"/>
        <v>8.9649719338360289E-5</v>
      </c>
      <c r="BN40" s="80">
        <f t="shared" si="11"/>
        <v>0</v>
      </c>
      <c r="BO40" s="83">
        <f t="shared" si="12"/>
        <v>0</v>
      </c>
      <c r="BP40" s="80">
        <f t="shared" si="13"/>
        <v>-8.9649639072022212E-5</v>
      </c>
      <c r="BQ40" s="80">
        <f t="shared" si="14"/>
        <v>0</v>
      </c>
      <c r="BR40" s="81">
        <f t="shared" si="15"/>
        <v>-8.9649639123224662E-5</v>
      </c>
      <c r="BS40" s="80">
        <f t="shared" si="16"/>
        <v>-8.9649639059690415E-5</v>
      </c>
      <c r="BT40" s="80">
        <f t="shared" si="17"/>
        <v>-8.9649639052464749E-5</v>
      </c>
      <c r="BU40" s="96">
        <f t="shared" si="18"/>
        <v>-8.9649639583200619E-5</v>
      </c>
    </row>
    <row r="41" spans="1:73" x14ac:dyDescent="0.25">
      <c r="A41" s="1">
        <v>7.8491869999999997</v>
      </c>
      <c r="B41" s="1">
        <v>2.5377610000000002</v>
      </c>
      <c r="C41" s="6">
        <v>7</v>
      </c>
      <c r="D41" s="211" t="s">
        <v>7</v>
      </c>
      <c r="E41" s="56">
        <v>1.7453298134808</v>
      </c>
      <c r="F41" s="1">
        <v>0.32404456944330001</v>
      </c>
      <c r="G41" s="241">
        <v>1.0722182706657</v>
      </c>
      <c r="H41" s="211" t="s">
        <v>31</v>
      </c>
      <c r="I41" s="118">
        <v>1589.86</v>
      </c>
      <c r="J41" s="1">
        <v>52.160800000000002</v>
      </c>
      <c r="K41" s="1">
        <v>625.92999999999995</v>
      </c>
      <c r="L41" s="1">
        <v>15.8986</v>
      </c>
      <c r="M41" s="1">
        <v>9.8789499999999992E-3</v>
      </c>
      <c r="N41" s="1">
        <v>15898.6</v>
      </c>
      <c r="O41" s="1">
        <v>17.386900000000001</v>
      </c>
      <c r="P41" s="119">
        <v>15898624</v>
      </c>
      <c r="Q41" s="118">
        <v>7313789</v>
      </c>
      <c r="R41" s="1">
        <v>73137.899999999994</v>
      </c>
      <c r="S41" s="1">
        <v>731.37900000000002</v>
      </c>
      <c r="T41" s="1">
        <v>7.31379</v>
      </c>
      <c r="U41" s="1">
        <v>11336.4</v>
      </c>
      <c r="V41" s="1">
        <v>78.724999999999994</v>
      </c>
      <c r="W41" s="1">
        <v>7.3137900000000006E-2</v>
      </c>
      <c r="X41" s="1">
        <v>7.3137899999999999E-4</v>
      </c>
      <c r="Y41" s="119">
        <v>1.8072800000000001E-3</v>
      </c>
      <c r="Z41" s="143">
        <v>7</v>
      </c>
      <c r="AA41" s="15">
        <v>7.8491869999999997</v>
      </c>
      <c r="AB41" s="2">
        <v>2.5377610000000002</v>
      </c>
      <c r="AC41" s="16">
        <v>7</v>
      </c>
      <c r="AD41" s="19" t="s">
        <v>7</v>
      </c>
      <c r="AE41" s="15">
        <v>1.7453289999999999</v>
      </c>
      <c r="AF41" s="2">
        <v>0.32404500000000003</v>
      </c>
      <c r="AG41" s="16">
        <v>1.072219</v>
      </c>
      <c r="AH41" s="19" t="s">
        <v>31</v>
      </c>
      <c r="AI41" s="15">
        <v>1589.87</v>
      </c>
      <c r="AJ41" s="2">
        <v>52.161000000000001</v>
      </c>
      <c r="AK41" s="2">
        <v>625.93200000000002</v>
      </c>
      <c r="AL41" s="2">
        <v>15.8987</v>
      </c>
      <c r="AM41" s="2">
        <v>9.8789800000000007E-3</v>
      </c>
      <c r="AN41" s="2">
        <v>15898.7</v>
      </c>
      <c r="AO41" s="2">
        <f>AA41+AB41+AC41</f>
        <v>17.386948</v>
      </c>
      <c r="AP41" s="16">
        <v>15898673</v>
      </c>
      <c r="AQ41" s="15">
        <v>7313789</v>
      </c>
      <c r="AR41" s="2">
        <v>73137.899999999994</v>
      </c>
      <c r="AS41" s="2">
        <v>731.37900000000002</v>
      </c>
      <c r="AT41" s="2">
        <v>7.31379</v>
      </c>
      <c r="AU41" s="2">
        <v>11336.4</v>
      </c>
      <c r="AV41" s="2">
        <v>78.724999999999994</v>
      </c>
      <c r="AW41" s="2">
        <v>7.3137900000000006E-2</v>
      </c>
      <c r="AX41" s="2">
        <v>7.3137899999999999E-4</v>
      </c>
      <c r="AY41" s="42">
        <v>1.8072800000000001E-3</v>
      </c>
      <c r="AZ41" s="46" t="s">
        <v>7</v>
      </c>
      <c r="BA41" s="73">
        <f t="shared" si="19"/>
        <v>4.6609023287576918E-5</v>
      </c>
      <c r="BB41" s="73">
        <f t="shared" si="20"/>
        <v>-1.3286941628944368E-4</v>
      </c>
      <c r="BC41" s="234">
        <f t="shared" si="1"/>
        <v>-6.8021019965578037E-5</v>
      </c>
      <c r="BD41" s="238" t="s">
        <v>31</v>
      </c>
      <c r="BE41" s="134">
        <f t="shared" si="2"/>
        <v>-6.2898224383068464E-4</v>
      </c>
      <c r="BF41" s="82">
        <f t="shared" si="3"/>
        <v>-3.8342823181981535E-4</v>
      </c>
      <c r="BG41" s="82">
        <f t="shared" si="4"/>
        <v>-3.1952352652786455E-4</v>
      </c>
      <c r="BH41" s="82">
        <f t="shared" si="5"/>
        <v>-6.2898224382979071E-4</v>
      </c>
      <c r="BI41" s="82">
        <f t="shared" si="6"/>
        <v>-3.0367507578268768E-4</v>
      </c>
      <c r="BJ41" s="82">
        <f t="shared" si="7"/>
        <v>-6.2898224383354487E-4</v>
      </c>
      <c r="BK41" s="83">
        <f t="shared" si="8"/>
        <v>-2.7606915255974721E-4</v>
      </c>
      <c r="BL41" s="96">
        <f t="shared" si="9"/>
        <v>-3.0820182288169586E-4</v>
      </c>
      <c r="BM41" s="139">
        <f t="shared" si="10"/>
        <v>0</v>
      </c>
      <c r="BN41" s="80">
        <f t="shared" si="11"/>
        <v>0</v>
      </c>
      <c r="BO41" s="83">
        <f t="shared" si="12"/>
        <v>0</v>
      </c>
      <c r="BP41" s="80">
        <f t="shared" si="13"/>
        <v>0</v>
      </c>
      <c r="BQ41" s="80">
        <f t="shared" si="14"/>
        <v>0</v>
      </c>
      <c r="BR41" s="81">
        <f t="shared" si="15"/>
        <v>0</v>
      </c>
      <c r="BS41" s="80">
        <f t="shared" si="16"/>
        <v>0</v>
      </c>
      <c r="BT41" s="80">
        <f t="shared" si="17"/>
        <v>0</v>
      </c>
      <c r="BU41" s="96">
        <f t="shared" si="18"/>
        <v>0</v>
      </c>
    </row>
    <row r="42" spans="1:73" ht="15.75" thickBot="1" x14ac:dyDescent="0.3">
      <c r="A42" s="55">
        <v>5.3244879999999997</v>
      </c>
      <c r="B42" s="55">
        <v>3.7282470000000001</v>
      </c>
      <c r="C42" s="113">
        <v>6.5</v>
      </c>
      <c r="D42" s="212" t="s">
        <v>20</v>
      </c>
      <c r="E42" s="61">
        <v>0.95993101138119996</v>
      </c>
      <c r="F42" s="55">
        <v>0.61086583238059999</v>
      </c>
      <c r="G42" s="113">
        <v>1.5707958098279999</v>
      </c>
      <c r="H42" s="212" t="s">
        <v>31</v>
      </c>
      <c r="I42" s="121">
        <v>1.5552700000000001E-3</v>
      </c>
      <c r="J42" s="64">
        <v>5.1026043307086598E-5</v>
      </c>
      <c r="K42" s="55">
        <v>6.1231299999999996E-4</v>
      </c>
      <c r="L42" s="62">
        <v>1.5552738000000002E-5</v>
      </c>
      <c r="M42" s="65">
        <v>9.6640233536148898E-9</v>
      </c>
      <c r="N42" s="66">
        <v>1.5552699999999999E-2</v>
      </c>
      <c r="O42" s="64">
        <v>1.70086811023622E-5</v>
      </c>
      <c r="P42" s="122">
        <v>15.5527</v>
      </c>
      <c r="Q42" s="129">
        <v>9.9255111929986697E-6</v>
      </c>
      <c r="R42" s="67">
        <v>9.9255111929986699E-8</v>
      </c>
      <c r="S42" s="68">
        <v>9.9255111929986696E-10</v>
      </c>
      <c r="T42" s="69">
        <v>9.9255111929986707E-12</v>
      </c>
      <c r="U42" s="67">
        <v>1.5384573118294201E-8</v>
      </c>
      <c r="V42" s="68">
        <v>1.06837313321487E-10</v>
      </c>
      <c r="W42" s="70">
        <v>9.9255111929986696E-14</v>
      </c>
      <c r="X42" s="71">
        <v>9.9255111929986694E-16</v>
      </c>
      <c r="Y42" s="72">
        <v>2.4526472296025599E-15</v>
      </c>
      <c r="Z42" s="144">
        <v>8</v>
      </c>
      <c r="AA42" s="17">
        <v>5.3244879999999997</v>
      </c>
      <c r="AB42" s="9">
        <v>3.7282470000000001</v>
      </c>
      <c r="AC42" s="10">
        <v>6.5</v>
      </c>
      <c r="AD42" s="20" t="s">
        <v>20</v>
      </c>
      <c r="AE42" s="17">
        <v>0.95993099999999998</v>
      </c>
      <c r="AF42" s="9">
        <v>0.61086499999999999</v>
      </c>
      <c r="AG42" s="10">
        <v>1.5707960000000001</v>
      </c>
      <c r="AH42" s="20" t="s">
        <v>31</v>
      </c>
      <c r="AI42" s="17">
        <v>1.5552700000000001E-3</v>
      </c>
      <c r="AJ42" s="36">
        <v>5.1025918635170598E-5</v>
      </c>
      <c r="AK42" s="9">
        <v>6.1231100000000004E-4</v>
      </c>
      <c r="AL42" s="37">
        <v>1.5552700000000001E-5</v>
      </c>
      <c r="AM42" s="38">
        <v>9.6639997415095904E-9</v>
      </c>
      <c r="AN42" s="9">
        <v>1.5552699999999999E-2</v>
      </c>
      <c r="AO42" s="36">
        <v>1.7008639545056901E-5</v>
      </c>
      <c r="AP42" s="10">
        <f>AA42+AB42+AC42</f>
        <v>15.552735</v>
      </c>
      <c r="AQ42" s="17">
        <f>SQRT((AP42/2)*(AP42/2-AA42)*(AP42/2-AB42)*(AP42/2-AC42))/1000000</f>
        <v>9.9255032062679894E-6</v>
      </c>
      <c r="AR42" s="39">
        <v>9.9254999999999998E-8</v>
      </c>
      <c r="AS42" s="39">
        <v>9.9255000000000005E-10</v>
      </c>
      <c r="AT42" s="39">
        <v>9.9255000000000001E-12</v>
      </c>
      <c r="AU42" s="40">
        <v>1.53845557691115E-8</v>
      </c>
      <c r="AV42" s="40">
        <v>1.06837192841052E-10</v>
      </c>
      <c r="AW42" s="39">
        <v>9.9255000000000002E-14</v>
      </c>
      <c r="AX42" s="39">
        <v>9.9254999999999993E-16</v>
      </c>
      <c r="AY42" s="45">
        <v>2.4526444637523502E-15</v>
      </c>
      <c r="AZ42" s="48" t="s">
        <v>20</v>
      </c>
      <c r="BA42" s="97">
        <f t="shared" si="19"/>
        <v>1.1856268817708791E-6</v>
      </c>
      <c r="BB42" s="97">
        <f t="shared" si="20"/>
        <v>1.3626261121559182E-4</v>
      </c>
      <c r="BC42" s="235">
        <f t="shared" si="1"/>
        <v>-1.2106728063183925E-5</v>
      </c>
      <c r="BD42" s="239" t="s">
        <v>31</v>
      </c>
      <c r="BE42" s="135">
        <f t="shared" si="2"/>
        <v>0</v>
      </c>
      <c r="BF42" s="98">
        <f t="shared" si="3"/>
        <v>2.4433056637561721E-4</v>
      </c>
      <c r="BG42" s="98">
        <f t="shared" si="4"/>
        <v>3.26631401350469E-4</v>
      </c>
      <c r="BH42" s="98">
        <f t="shared" si="5"/>
        <v>2.4433056640085272E-4</v>
      </c>
      <c r="BI42" s="98">
        <f t="shared" si="6"/>
        <v>2.4433056633951192E-4</v>
      </c>
      <c r="BJ42" s="98">
        <f t="shared" si="7"/>
        <v>0</v>
      </c>
      <c r="BK42" s="99">
        <f t="shared" si="8"/>
        <v>2.4433056617641604E-4</v>
      </c>
      <c r="BL42" s="102">
        <f t="shared" si="9"/>
        <v>-2.2504080472310071E-4</v>
      </c>
      <c r="BM42" s="140">
        <f t="shared" si="10"/>
        <v>8.0466758352171937E-5</v>
      </c>
      <c r="BN42" s="100">
        <f t="shared" si="11"/>
        <v>1.1277012412576927E-4</v>
      </c>
      <c r="BO42" s="99">
        <f t="shared" si="12"/>
        <v>1.1277012411576859E-4</v>
      </c>
      <c r="BP42" s="100">
        <f t="shared" si="13"/>
        <v>1.1277012413074356E-4</v>
      </c>
      <c r="BQ42" s="100">
        <f t="shared" si="14"/>
        <v>1.1277012453918534E-4</v>
      </c>
      <c r="BR42" s="101">
        <f t="shared" si="15"/>
        <v>1.1277012414131002E-4</v>
      </c>
      <c r="BS42" s="100">
        <f t="shared" si="16"/>
        <v>1.127701241185357E-4</v>
      </c>
      <c r="BT42" s="100">
        <f t="shared" si="17"/>
        <v>1.1277012412568875E-4</v>
      </c>
      <c r="BU42" s="102">
        <f t="shared" si="18"/>
        <v>1.1277012427207022E-4</v>
      </c>
    </row>
    <row r="43" spans="1:73" x14ac:dyDescent="0.25">
      <c r="A43" s="1">
        <v>3</v>
      </c>
      <c r="B43" s="1">
        <v>4</v>
      </c>
      <c r="C43" s="6">
        <v>6</v>
      </c>
      <c r="D43" s="245" t="s">
        <v>9</v>
      </c>
      <c r="E43" s="246">
        <v>29.315921943789199</v>
      </c>
      <c r="F43" s="57">
        <v>40.373397238457301</v>
      </c>
      <c r="G43" s="112">
        <v>130.31068081775399</v>
      </c>
      <c r="H43" s="245" t="s">
        <v>32</v>
      </c>
      <c r="I43" s="118">
        <v>13</v>
      </c>
      <c r="J43" s="1">
        <v>0.42650900000000003</v>
      </c>
      <c r="K43" s="1">
        <v>5.1181099999999997</v>
      </c>
      <c r="L43" s="1">
        <v>0.13</v>
      </c>
      <c r="M43" s="49">
        <v>8.0778254990853402E-5</v>
      </c>
      <c r="N43" s="1">
        <v>130</v>
      </c>
      <c r="O43" s="1">
        <v>0.14216999999999999</v>
      </c>
      <c r="P43" s="119">
        <v>130000</v>
      </c>
      <c r="Q43" s="118">
        <v>533.26800000000003</v>
      </c>
      <c r="R43" s="1">
        <v>5.3326799999999999</v>
      </c>
      <c r="S43" s="1">
        <v>5.3326800000000001E-2</v>
      </c>
      <c r="T43" s="1">
        <v>5.3326800000000004E-4</v>
      </c>
      <c r="U43" s="1">
        <v>0.82656700000000005</v>
      </c>
      <c r="V43" s="1">
        <v>5.74005E-3</v>
      </c>
      <c r="W43" s="50">
        <v>5.3326822519253901E-6</v>
      </c>
      <c r="X43" s="51">
        <v>5.3326822519253902E-8</v>
      </c>
      <c r="Y43" s="126">
        <v>1.3177344821051999E-7</v>
      </c>
      <c r="Z43" s="142">
        <v>1</v>
      </c>
      <c r="AA43" s="13">
        <v>3</v>
      </c>
      <c r="AB43" s="7">
        <v>4</v>
      </c>
      <c r="AC43" s="14">
        <v>6</v>
      </c>
      <c r="AD43" s="18" t="s">
        <v>9</v>
      </c>
      <c r="AE43" s="13">
        <v>29.315922</v>
      </c>
      <c r="AF43" s="7">
        <v>40.373325000000001</v>
      </c>
      <c r="AG43" s="14">
        <v>130.31075300000001</v>
      </c>
      <c r="AH43" s="18" t="s">
        <v>32</v>
      </c>
      <c r="AI43" s="13">
        <f>AA43+AB43+AC43</f>
        <v>13</v>
      </c>
      <c r="AJ43" s="7">
        <v>0.42650900000000003</v>
      </c>
      <c r="AK43" s="7">
        <v>5.1181099999999997</v>
      </c>
      <c r="AL43" s="7">
        <v>0.13</v>
      </c>
      <c r="AM43" s="11">
        <v>8.0778254990853402E-5</v>
      </c>
      <c r="AN43" s="7">
        <v>130</v>
      </c>
      <c r="AO43" s="7">
        <v>0.14216999999999999</v>
      </c>
      <c r="AP43" s="14">
        <v>130000</v>
      </c>
      <c r="AQ43" s="13">
        <v>533.26800000000003</v>
      </c>
      <c r="AR43" s="12">
        <f>SQRT((AI43/2)*(AI43/2-AA43)*(AI43/2-AB43)*(AI43/2-AC43))</f>
        <v>5.3326822519253856</v>
      </c>
      <c r="AS43" s="7">
        <v>5.3326800000000001E-2</v>
      </c>
      <c r="AT43" s="7">
        <v>5.3326800000000004E-4</v>
      </c>
      <c r="AU43" s="7">
        <v>0.82656700000000005</v>
      </c>
      <c r="AV43" s="7">
        <v>5.74005E-3</v>
      </c>
      <c r="AW43" s="21">
        <v>5.3326800000000001E-6</v>
      </c>
      <c r="AX43" s="22">
        <v>5.3326800000000001E-8</v>
      </c>
      <c r="AY43" s="41">
        <v>1.3177339256423201E-7</v>
      </c>
      <c r="AZ43" s="84" t="s">
        <v>9</v>
      </c>
      <c r="BA43" s="85">
        <f t="shared" si="19"/>
        <v>-1.9174154354373955E-7</v>
      </c>
      <c r="BB43" s="85">
        <f t="shared" si="20"/>
        <v>1.7892620263387725E-4</v>
      </c>
      <c r="BC43" s="236">
        <f t="shared" si="1"/>
        <v>-5.5392394221693952E-5</v>
      </c>
      <c r="BD43" s="240" t="s">
        <v>32</v>
      </c>
      <c r="BE43" s="136">
        <f t="shared" si="2"/>
        <v>0</v>
      </c>
      <c r="BF43" s="86">
        <f t="shared" si="3"/>
        <v>0</v>
      </c>
      <c r="BG43" s="86">
        <f t="shared" si="4"/>
        <v>0</v>
      </c>
      <c r="BH43" s="86">
        <f t="shared" si="5"/>
        <v>0</v>
      </c>
      <c r="BI43" s="86">
        <f t="shared" si="6"/>
        <v>0</v>
      </c>
      <c r="BJ43" s="86">
        <f t="shared" si="7"/>
        <v>0</v>
      </c>
      <c r="BK43" s="87">
        <f t="shared" si="8"/>
        <v>0</v>
      </c>
      <c r="BL43" s="137">
        <f t="shared" si="9"/>
        <v>0</v>
      </c>
      <c r="BM43" s="141">
        <f t="shared" si="10"/>
        <v>0</v>
      </c>
      <c r="BN43" s="88">
        <f t="shared" si="11"/>
        <v>-4.2228756174401703E-5</v>
      </c>
      <c r="BO43" s="87">
        <f t="shared" si="12"/>
        <v>0</v>
      </c>
      <c r="BP43" s="88">
        <f t="shared" si="13"/>
        <v>0</v>
      </c>
      <c r="BQ43" s="88">
        <f t="shared" si="14"/>
        <v>0</v>
      </c>
      <c r="BR43" s="89">
        <f t="shared" si="15"/>
        <v>0</v>
      </c>
      <c r="BS43" s="88">
        <f t="shared" si="16"/>
        <v>4.2228774088679179E-5</v>
      </c>
      <c r="BT43" s="88">
        <f t="shared" si="17"/>
        <v>4.222877409016829E-5</v>
      </c>
      <c r="BU43" s="137">
        <f t="shared" si="18"/>
        <v>4.222877387957446E-5</v>
      </c>
    </row>
    <row r="44" spans="1:73" x14ac:dyDescent="0.25">
      <c r="A44" s="1">
        <v>6.1032790400000003</v>
      </c>
      <c r="B44" s="1">
        <v>3.5</v>
      </c>
      <c r="C44" s="6">
        <v>5</v>
      </c>
      <c r="D44" s="211" t="s">
        <v>5</v>
      </c>
      <c r="E44" s="56">
        <v>100</v>
      </c>
      <c r="F44" s="53">
        <v>61.119959196991999</v>
      </c>
      <c r="G44" s="242">
        <v>38.880013446360998</v>
      </c>
      <c r="H44" s="211" t="s">
        <v>32</v>
      </c>
      <c r="I44" s="118">
        <v>445.108</v>
      </c>
      <c r="J44" s="1">
        <v>14.603300000000001</v>
      </c>
      <c r="K44" s="1">
        <v>175.239</v>
      </c>
      <c r="L44" s="1">
        <v>4.4510800000000001</v>
      </c>
      <c r="M44" s="1">
        <v>2.7657699999999999E-3</v>
      </c>
      <c r="N44" s="1">
        <v>4451.08</v>
      </c>
      <c r="O44" s="1">
        <v>4.8677599999999996</v>
      </c>
      <c r="P44" s="119">
        <v>4451079</v>
      </c>
      <c r="Q44" s="118">
        <v>812902</v>
      </c>
      <c r="R44" s="1">
        <v>8129.02</v>
      </c>
      <c r="S44" s="1">
        <v>81.290199999999999</v>
      </c>
      <c r="T44" s="1">
        <v>0.81290200000000001</v>
      </c>
      <c r="U44" s="1">
        <v>1260</v>
      </c>
      <c r="V44" s="1">
        <v>8.75</v>
      </c>
      <c r="W44" s="1">
        <v>8.1290200000000007E-3</v>
      </c>
      <c r="X44" s="52">
        <v>8.1290159999992506E-5</v>
      </c>
      <c r="Y44" s="119">
        <v>2.00872E-4</v>
      </c>
      <c r="Z44" s="143">
        <v>2</v>
      </c>
      <c r="AA44" s="15">
        <v>6.1032790400000003</v>
      </c>
      <c r="AB44" s="34">
        <v>3.5</v>
      </c>
      <c r="AC44" s="16">
        <v>5</v>
      </c>
      <c r="AD44" s="19" t="s">
        <v>5</v>
      </c>
      <c r="AE44" s="15">
        <v>100</v>
      </c>
      <c r="AF44" s="2">
        <v>61.119976999999999</v>
      </c>
      <c r="AG44" s="16">
        <v>38.880023000000001</v>
      </c>
      <c r="AH44" s="19" t="s">
        <v>32</v>
      </c>
      <c r="AI44" s="15">
        <v>445.10899999999998</v>
      </c>
      <c r="AJ44" s="2">
        <f>AA44+AB44+AC44</f>
        <v>14.60327904</v>
      </c>
      <c r="AK44" s="2">
        <v>175.24</v>
      </c>
      <c r="AL44" s="2">
        <v>4.4510899999999998</v>
      </c>
      <c r="AM44" s="2">
        <v>2.7657799999999998E-3</v>
      </c>
      <c r="AN44" s="2">
        <v>4451.09</v>
      </c>
      <c r="AO44" s="2">
        <v>4.8677700000000002</v>
      </c>
      <c r="AP44" s="16">
        <v>4451086</v>
      </c>
      <c r="AQ44" s="15">
        <v>812902</v>
      </c>
      <c r="AR44" s="2">
        <v>8129.02</v>
      </c>
      <c r="AS44" s="2">
        <v>81.290199999999999</v>
      </c>
      <c r="AT44" s="2">
        <v>0.81290200000000001</v>
      </c>
      <c r="AU44" s="2">
        <v>1260</v>
      </c>
      <c r="AV44" s="2">
        <f>SQRT((AJ44/2)*(AJ44/2-AA44)*(AJ44/2-AB44)*(AJ44/2-AC44))</f>
        <v>8.7499999999991918</v>
      </c>
      <c r="AW44" s="2">
        <v>8.1290200000000007E-3</v>
      </c>
      <c r="AX44" s="23">
        <v>8.129016E-5</v>
      </c>
      <c r="AY44" s="42">
        <v>2.00872E-4</v>
      </c>
      <c r="AZ44" s="46" t="s">
        <v>5</v>
      </c>
      <c r="BA44" s="73">
        <f t="shared" si="19"/>
        <v>0</v>
      </c>
      <c r="BB44" s="73">
        <f t="shared" si="20"/>
        <v>-2.9127969075253177E-5</v>
      </c>
      <c r="BC44" s="234">
        <f t="shared" si="1"/>
        <v>-2.4572102242472279E-5</v>
      </c>
      <c r="BD44" s="238" t="s">
        <v>32</v>
      </c>
      <c r="BE44" s="134">
        <f t="shared" si="2"/>
        <v>-2.2466407104245324E-4</v>
      </c>
      <c r="BF44" s="82">
        <f t="shared" si="3"/>
        <v>1.435294083137228E-4</v>
      </c>
      <c r="BG44" s="82">
        <f t="shared" si="4"/>
        <v>-5.706459712421678E-4</v>
      </c>
      <c r="BH44" s="82">
        <f t="shared" si="5"/>
        <v>-2.2466407103926056E-4</v>
      </c>
      <c r="BI44" s="82">
        <f t="shared" si="6"/>
        <v>-3.6156165710723965E-4</v>
      </c>
      <c r="BJ44" s="82">
        <f t="shared" si="7"/>
        <v>-2.2466407105266976E-4</v>
      </c>
      <c r="BK44" s="83">
        <f t="shared" si="8"/>
        <v>-2.0543287789911193E-4</v>
      </c>
      <c r="BL44" s="96">
        <f t="shared" si="9"/>
        <v>-1.5726499106060858E-4</v>
      </c>
      <c r="BM44" s="139">
        <f t="shared" si="10"/>
        <v>0</v>
      </c>
      <c r="BN44" s="80">
        <f t="shared" si="11"/>
        <v>0</v>
      </c>
      <c r="BO44" s="83">
        <f t="shared" si="12"/>
        <v>0</v>
      </c>
      <c r="BP44" s="80">
        <f t="shared" si="13"/>
        <v>0</v>
      </c>
      <c r="BQ44" s="80">
        <f t="shared" si="14"/>
        <v>0</v>
      </c>
      <c r="BR44" s="81">
        <f t="shared" si="15"/>
        <v>9.2370555648821554E-12</v>
      </c>
      <c r="BS44" s="80">
        <f t="shared" si="16"/>
        <v>0</v>
      </c>
      <c r="BT44" s="80">
        <f t="shared" si="17"/>
        <v>-9.2195014960064654E-12</v>
      </c>
      <c r="BU44" s="96">
        <f t="shared" si="18"/>
        <v>0</v>
      </c>
    </row>
    <row r="45" spans="1:73" x14ac:dyDescent="0.25">
      <c r="A45" s="1">
        <v>4</v>
      </c>
      <c r="B45" s="1">
        <v>4</v>
      </c>
      <c r="C45" s="6">
        <v>4</v>
      </c>
      <c r="D45" s="211" t="s">
        <v>8</v>
      </c>
      <c r="E45" s="56">
        <v>66.666666666666799</v>
      </c>
      <c r="F45" s="1">
        <v>66.666666666666799</v>
      </c>
      <c r="G45" s="6">
        <v>66.666666666666401</v>
      </c>
      <c r="H45" s="211" t="s">
        <v>32</v>
      </c>
      <c r="I45" s="118">
        <v>30.48</v>
      </c>
      <c r="J45" s="1">
        <v>1</v>
      </c>
      <c r="K45" s="1">
        <v>12</v>
      </c>
      <c r="L45" s="1">
        <v>0.30480000000000002</v>
      </c>
      <c r="M45" s="1">
        <v>1.8939400000000001E-4</v>
      </c>
      <c r="N45" s="1">
        <v>304.8</v>
      </c>
      <c r="O45" s="1">
        <v>0.33333299999999999</v>
      </c>
      <c r="P45" s="119">
        <v>304800</v>
      </c>
      <c r="Q45" s="118">
        <v>4469.8</v>
      </c>
      <c r="R45" s="1">
        <v>44.698</v>
      </c>
      <c r="S45" s="1">
        <v>0.44697999999999999</v>
      </c>
      <c r="T45" s="1">
        <v>4.4698000000000003E-3</v>
      </c>
      <c r="U45" s="1">
        <v>6.9282000000000004</v>
      </c>
      <c r="V45" s="1">
        <v>4.8112500000000002E-2</v>
      </c>
      <c r="W45" s="49">
        <v>4.46979959604455E-5</v>
      </c>
      <c r="X45" s="58">
        <v>4.46979959604455E-7</v>
      </c>
      <c r="Y45" s="126">
        <v>1.10451153426237E-6</v>
      </c>
      <c r="Z45" s="143">
        <v>3</v>
      </c>
      <c r="AA45" s="15">
        <v>4</v>
      </c>
      <c r="AB45" s="2">
        <v>4</v>
      </c>
      <c r="AC45" s="16">
        <v>4</v>
      </c>
      <c r="AD45" s="19" t="s">
        <v>8</v>
      </c>
      <c r="AE45" s="15">
        <v>66.666666000000006</v>
      </c>
      <c r="AF45" s="2">
        <v>66.666657999999998</v>
      </c>
      <c r="AG45" s="16">
        <v>66.666675999999995</v>
      </c>
      <c r="AH45" s="19" t="s">
        <v>32</v>
      </c>
      <c r="AI45" s="15">
        <v>30.48</v>
      </c>
      <c r="AJ45" s="2">
        <v>1</v>
      </c>
      <c r="AK45" s="2">
        <f>AA45+AB45+AC45</f>
        <v>12</v>
      </c>
      <c r="AL45" s="2">
        <v>0.30480000000000002</v>
      </c>
      <c r="AM45" s="2">
        <v>1.8939400000000001E-4</v>
      </c>
      <c r="AN45" s="2">
        <v>304.8</v>
      </c>
      <c r="AO45" s="2">
        <v>0.33333299999999999</v>
      </c>
      <c r="AP45" s="16">
        <v>304800</v>
      </c>
      <c r="AQ45" s="27">
        <v>4469.8</v>
      </c>
      <c r="AR45" s="26">
        <v>44.698</v>
      </c>
      <c r="AS45" s="2">
        <v>0.44697999999999999</v>
      </c>
      <c r="AT45" s="2">
        <v>4.4698000000000003E-3</v>
      </c>
      <c r="AU45" s="2">
        <f>SQRT((AK45/2)*(AK45/2-AA45)*(AK45/2-AB45)*(AK45/2-AC45))</f>
        <v>6.9282032302755088</v>
      </c>
      <c r="AV45" s="2">
        <v>4.8112500000000002E-2</v>
      </c>
      <c r="AW45" s="24">
        <v>4.4697975120000001E-5</v>
      </c>
      <c r="AX45" s="25">
        <v>4.4697975119999998E-7</v>
      </c>
      <c r="AY45" s="43">
        <v>1.1045110192837499E-6</v>
      </c>
      <c r="AZ45" s="46" t="s">
        <v>8</v>
      </c>
      <c r="BA45" s="73">
        <f t="shared" si="19"/>
        <v>1.0000001993217833E-6</v>
      </c>
      <c r="BB45" s="73">
        <f t="shared" si="20"/>
        <v>1.3000001891657504E-5</v>
      </c>
      <c r="BC45" s="234">
        <f t="shared" si="1"/>
        <v>-1.399999843097926E-5</v>
      </c>
      <c r="BD45" s="238" t="s">
        <v>32</v>
      </c>
      <c r="BE45" s="134">
        <f t="shared" si="2"/>
        <v>0</v>
      </c>
      <c r="BF45" s="82">
        <f t="shared" si="3"/>
        <v>0</v>
      </c>
      <c r="BG45" s="82">
        <f t="shared" si="4"/>
        <v>0</v>
      </c>
      <c r="BH45" s="82">
        <f t="shared" si="5"/>
        <v>0</v>
      </c>
      <c r="BI45" s="82">
        <f t="shared" si="6"/>
        <v>0</v>
      </c>
      <c r="BJ45" s="82">
        <f t="shared" si="7"/>
        <v>0</v>
      </c>
      <c r="BK45" s="83">
        <f t="shared" si="8"/>
        <v>0</v>
      </c>
      <c r="BL45" s="96">
        <f t="shared" si="9"/>
        <v>0</v>
      </c>
      <c r="BM45" s="139">
        <f t="shared" si="10"/>
        <v>0</v>
      </c>
      <c r="BN45" s="80">
        <f t="shared" si="11"/>
        <v>0</v>
      </c>
      <c r="BO45" s="83">
        <f t="shared" si="12"/>
        <v>0</v>
      </c>
      <c r="BP45" s="80">
        <f t="shared" si="13"/>
        <v>0</v>
      </c>
      <c r="BQ45" s="80">
        <f t="shared" si="14"/>
        <v>-4.6625010858495514E-5</v>
      </c>
      <c r="BR45" s="81">
        <f t="shared" si="15"/>
        <v>0</v>
      </c>
      <c r="BS45" s="80">
        <f t="shared" si="16"/>
        <v>4.6625032661845805E-5</v>
      </c>
      <c r="BT45" s="80">
        <f t="shared" si="17"/>
        <v>4.6625032668004601E-5</v>
      </c>
      <c r="BU45" s="96">
        <f t="shared" si="18"/>
        <v>4.6625032355362504E-5</v>
      </c>
    </row>
    <row r="46" spans="1:73" x14ac:dyDescent="0.25">
      <c r="A46" s="1">
        <v>4.1620460000000001</v>
      </c>
      <c r="B46" s="1">
        <v>9.2236370000000001</v>
      </c>
      <c r="C46" s="6">
        <v>5.5</v>
      </c>
      <c r="D46" s="211" t="s">
        <v>4</v>
      </c>
      <c r="E46" s="56">
        <v>16.666581885379198</v>
      </c>
      <c r="F46" s="1">
        <v>161.11129187070301</v>
      </c>
      <c r="G46" s="6">
        <v>22.222126243917799</v>
      </c>
      <c r="H46" s="211" t="s">
        <v>32</v>
      </c>
      <c r="I46" s="118">
        <v>1888.57</v>
      </c>
      <c r="J46" s="1">
        <v>61.960900000000002</v>
      </c>
      <c r="K46" s="1">
        <v>743.53099999999995</v>
      </c>
      <c r="L46" s="1">
        <v>18.8857</v>
      </c>
      <c r="M46" s="1">
        <v>1.1735000000000001E-2</v>
      </c>
      <c r="N46" s="1">
        <v>18885.7</v>
      </c>
      <c r="O46" s="1">
        <v>20.653600000000001</v>
      </c>
      <c r="P46" s="119">
        <v>18885686</v>
      </c>
      <c r="Q46" s="118">
        <v>6564915</v>
      </c>
      <c r="R46" s="1">
        <v>65649.2</v>
      </c>
      <c r="S46" s="1">
        <v>656.49199999999996</v>
      </c>
      <c r="T46" s="1">
        <v>6.5649199999999999</v>
      </c>
      <c r="U46" s="1">
        <v>10175.6</v>
      </c>
      <c r="V46" s="1">
        <v>70.664199999999994</v>
      </c>
      <c r="W46" s="1">
        <v>6.5649200000000005E-2</v>
      </c>
      <c r="X46" s="1">
        <v>6.5649199999999995E-4</v>
      </c>
      <c r="Y46" s="119">
        <v>1.6222299999999999E-3</v>
      </c>
      <c r="Z46" s="143">
        <v>4</v>
      </c>
      <c r="AA46" s="2">
        <v>4.1620460000000001</v>
      </c>
      <c r="AB46" s="2">
        <v>9.2236370000000001</v>
      </c>
      <c r="AC46" s="35">
        <v>5.5</v>
      </c>
      <c r="AD46" s="19" t="s">
        <v>4</v>
      </c>
      <c r="AE46" s="15">
        <v>16.666667</v>
      </c>
      <c r="AF46" s="2">
        <v>161.11111099999999</v>
      </c>
      <c r="AG46" s="34">
        <v>22.222221999999999</v>
      </c>
      <c r="AH46" s="19" t="s">
        <v>32</v>
      </c>
      <c r="AI46" s="15">
        <v>1888.57</v>
      </c>
      <c r="AJ46" s="2">
        <v>61.960999999999999</v>
      </c>
      <c r="AK46" s="2">
        <v>743.53099999999995</v>
      </c>
      <c r="AL46" s="2">
        <f>AA46+AB46+AC46</f>
        <v>18.885683</v>
      </c>
      <c r="AM46" s="2">
        <v>1.1735000000000001E-2</v>
      </c>
      <c r="AN46" s="2">
        <v>18885.7</v>
      </c>
      <c r="AO46" s="2">
        <v>20.653700000000001</v>
      </c>
      <c r="AP46" s="16">
        <v>18885700</v>
      </c>
      <c r="AQ46" s="15">
        <v>6564930</v>
      </c>
      <c r="AR46" s="2">
        <v>65649.3</v>
      </c>
      <c r="AS46" s="2">
        <v>656.49300000000005</v>
      </c>
      <c r="AT46" s="2">
        <f>SQRT((AL46/2)*(AL46/2-AA46)*(AL46/2-AB46)*(AL46/2-AC46))</f>
        <v>6.5649347977470658</v>
      </c>
      <c r="AU46" s="2">
        <v>10175.700000000001</v>
      </c>
      <c r="AV46" s="2">
        <v>70.664299999999997</v>
      </c>
      <c r="AW46" s="2">
        <v>6.5649299999999994E-2</v>
      </c>
      <c r="AX46" s="2">
        <v>6.5649299999999996E-4</v>
      </c>
      <c r="AY46" s="42">
        <v>1.6222299999999999E-3</v>
      </c>
      <c r="AZ46" s="46" t="s">
        <v>4</v>
      </c>
      <c r="BA46" s="73">
        <f t="shared" si="19"/>
        <v>-5.1068771459868764E-4</v>
      </c>
      <c r="BB46" s="73">
        <f t="shared" si="20"/>
        <v>1.1226457436527086E-4</v>
      </c>
      <c r="BC46" s="234">
        <f t="shared" si="1"/>
        <v>-4.309023742066471E-4</v>
      </c>
      <c r="BD46" s="238" t="s">
        <v>32</v>
      </c>
      <c r="BE46" s="134">
        <f t="shared" si="2"/>
        <v>0</v>
      </c>
      <c r="BF46" s="82">
        <f t="shared" si="3"/>
        <v>-1.613918432501319E-4</v>
      </c>
      <c r="BG46" s="82">
        <f t="shared" si="4"/>
        <v>0</v>
      </c>
      <c r="BH46" s="82">
        <f t="shared" si="5"/>
        <v>9.0015277709107417E-5</v>
      </c>
      <c r="BI46" s="82">
        <f t="shared" si="6"/>
        <v>0</v>
      </c>
      <c r="BJ46" s="82">
        <f t="shared" si="7"/>
        <v>0</v>
      </c>
      <c r="BK46" s="83">
        <f t="shared" si="8"/>
        <v>-4.8417474834904612E-4</v>
      </c>
      <c r="BL46" s="96">
        <f t="shared" si="9"/>
        <v>-7.4130161974403911E-5</v>
      </c>
      <c r="BM46" s="139">
        <f t="shared" si="10"/>
        <v>-2.2848682316490808E-4</v>
      </c>
      <c r="BN46" s="80">
        <f t="shared" si="11"/>
        <v>-1.5232454878547183E-4</v>
      </c>
      <c r="BO46" s="83">
        <f t="shared" si="12"/>
        <v>-1.5232454879032068E-4</v>
      </c>
      <c r="BP46" s="80">
        <f t="shared" si="13"/>
        <v>-2.2540584974276072E-4</v>
      </c>
      <c r="BQ46" s="80">
        <f t="shared" si="14"/>
        <v>-9.827333746117101E-4</v>
      </c>
      <c r="BR46" s="81">
        <f t="shared" si="15"/>
        <v>-1.4151417335672985E-4</v>
      </c>
      <c r="BS46" s="80">
        <f t="shared" si="16"/>
        <v>-1.5232454875984631E-4</v>
      </c>
      <c r="BT46" s="80">
        <f t="shared" si="17"/>
        <v>-1.5232454877900378E-4</v>
      </c>
      <c r="BU46" s="96">
        <f t="shared" si="18"/>
        <v>0</v>
      </c>
    </row>
    <row r="47" spans="1:73" x14ac:dyDescent="0.25">
      <c r="A47" s="1">
        <v>2.74674</v>
      </c>
      <c r="B47" s="1">
        <v>2.74674</v>
      </c>
      <c r="C47" s="6">
        <v>4.5</v>
      </c>
      <c r="D47" s="211" t="s">
        <v>10</v>
      </c>
      <c r="E47" s="247">
        <v>38.888795389102199</v>
      </c>
      <c r="F47" s="54">
        <v>38.888795389102199</v>
      </c>
      <c r="G47" s="242">
        <v>122.222409221796</v>
      </c>
      <c r="H47" s="211" t="s">
        <v>32</v>
      </c>
      <c r="I47" s="120">
        <v>1608295</v>
      </c>
      <c r="J47" s="1">
        <v>52765.599999999999</v>
      </c>
      <c r="K47" s="1">
        <v>633187</v>
      </c>
      <c r="L47" s="1">
        <v>16082.9</v>
      </c>
      <c r="M47" s="1">
        <v>9.9934799999999999</v>
      </c>
      <c r="N47" s="1">
        <v>16082947</v>
      </c>
      <c r="O47" s="1">
        <v>17588.5</v>
      </c>
      <c r="P47" s="119">
        <v>16082947077</v>
      </c>
      <c r="Q47" s="120">
        <v>9180962869770</v>
      </c>
      <c r="R47" s="59">
        <v>91809628698</v>
      </c>
      <c r="S47" s="1">
        <v>918096287</v>
      </c>
      <c r="T47" s="1">
        <v>9180963</v>
      </c>
      <c r="U47" s="1">
        <v>14230520909</v>
      </c>
      <c r="V47" s="1">
        <v>98823062</v>
      </c>
      <c r="W47" s="1">
        <v>91809.600000000006</v>
      </c>
      <c r="X47" s="1">
        <v>918.096</v>
      </c>
      <c r="Y47" s="119">
        <v>2268.67</v>
      </c>
      <c r="Z47" s="143">
        <v>5</v>
      </c>
      <c r="AA47" s="15">
        <v>2.74674</v>
      </c>
      <c r="AB47" s="2">
        <v>2.74674</v>
      </c>
      <c r="AC47" s="16">
        <v>4.5</v>
      </c>
      <c r="AD47" s="19" t="s">
        <v>10</v>
      </c>
      <c r="AE47" s="15">
        <v>38.888888999999999</v>
      </c>
      <c r="AF47" s="2">
        <v>38.888888999999999</v>
      </c>
      <c r="AG47" s="16">
        <v>122.222222</v>
      </c>
      <c r="AH47" s="19" t="s">
        <v>32</v>
      </c>
      <c r="AI47" s="15">
        <v>1608295</v>
      </c>
      <c r="AJ47" s="2">
        <v>52765.599999999999</v>
      </c>
      <c r="AK47" s="2">
        <v>633187</v>
      </c>
      <c r="AL47" s="2">
        <v>16082.9</v>
      </c>
      <c r="AM47" s="2">
        <f>AA47+AB47+AC47</f>
        <v>9.9934799999999999</v>
      </c>
      <c r="AN47" s="2">
        <v>16082947</v>
      </c>
      <c r="AO47" s="2">
        <v>17588.5</v>
      </c>
      <c r="AP47" s="16">
        <v>16082947077</v>
      </c>
      <c r="AQ47" s="28">
        <v>9180755000000</v>
      </c>
      <c r="AR47" s="2">
        <v>91807550000</v>
      </c>
      <c r="AS47" s="2">
        <v>918075500</v>
      </c>
      <c r="AT47" s="2">
        <f>SQRT((AL47/2)*(AL47/2-AA47*63360*2.54/100)*(AL47/2-AB47*63360*2.54/100)*(AL47/2-AC47*63360*2.54/100))</f>
        <v>9180754.5881258342</v>
      </c>
      <c r="AU47" s="29">
        <v>14230198710</v>
      </c>
      <c r="AV47" s="2">
        <v>98820824</v>
      </c>
      <c r="AW47" s="2">
        <v>91807.6</v>
      </c>
      <c r="AX47" s="2">
        <v>918.07600000000002</v>
      </c>
      <c r="AY47" s="42">
        <v>2268.61</v>
      </c>
      <c r="AZ47" s="46" t="s">
        <v>10</v>
      </c>
      <c r="BA47" s="73">
        <f t="shared" si="19"/>
        <v>-2.40713736511163E-4</v>
      </c>
      <c r="BB47" s="73">
        <f t="shared" si="20"/>
        <v>-2.40713736511163E-4</v>
      </c>
      <c r="BC47" s="234">
        <f t="shared" si="1"/>
        <v>1.5318146973065277E-4</v>
      </c>
      <c r="BD47" s="238" t="s">
        <v>32</v>
      </c>
      <c r="BE47" s="134">
        <f t="shared" si="2"/>
        <v>0</v>
      </c>
      <c r="BF47" s="82">
        <f t="shared" si="3"/>
        <v>0</v>
      </c>
      <c r="BG47" s="82">
        <f t="shared" si="4"/>
        <v>0</v>
      </c>
      <c r="BH47" s="82">
        <f t="shared" si="5"/>
        <v>0</v>
      </c>
      <c r="BI47" s="82">
        <f t="shared" si="6"/>
        <v>0</v>
      </c>
      <c r="BJ47" s="82">
        <f t="shared" si="7"/>
        <v>0</v>
      </c>
      <c r="BK47" s="83">
        <f t="shared" si="8"/>
        <v>0</v>
      </c>
      <c r="BL47" s="96">
        <f t="shared" si="9"/>
        <v>0</v>
      </c>
      <c r="BM47" s="139">
        <f t="shared" si="10"/>
        <v>2.2641903634287156E-3</v>
      </c>
      <c r="BN47" s="80">
        <f t="shared" si="11"/>
        <v>2.2641906901992265E-3</v>
      </c>
      <c r="BO47" s="83">
        <f t="shared" si="12"/>
        <v>2.2641928686692979E-3</v>
      </c>
      <c r="BP47" s="80">
        <f t="shared" si="13"/>
        <v>2.2700952537748191E-3</v>
      </c>
      <c r="BQ47" s="80">
        <f t="shared" si="14"/>
        <v>2.2641918540011728E-3</v>
      </c>
      <c r="BR47" s="81">
        <f t="shared" si="15"/>
        <v>2.2647048561343711E-3</v>
      </c>
      <c r="BS47" s="80">
        <f t="shared" si="16"/>
        <v>2.1784688849289164E-3</v>
      </c>
      <c r="BT47" s="80">
        <f t="shared" si="17"/>
        <v>2.1784688849269354E-3</v>
      </c>
      <c r="BU47" s="96">
        <f t="shared" si="18"/>
        <v>2.6447913039237872E-3</v>
      </c>
    </row>
    <row r="48" spans="1:73" x14ac:dyDescent="0.25">
      <c r="A48" s="1">
        <v>3.6547499999999999</v>
      </c>
      <c r="B48" s="1">
        <v>3.6547499999999999</v>
      </c>
      <c r="C48" s="6">
        <v>2.5</v>
      </c>
      <c r="D48" s="211" t="s">
        <v>6</v>
      </c>
      <c r="E48" s="56">
        <v>77.777742906558501</v>
      </c>
      <c r="F48" s="1">
        <v>77.777742906558501</v>
      </c>
      <c r="G48" s="6">
        <v>44.444514186882998</v>
      </c>
      <c r="H48" s="211" t="s">
        <v>32</v>
      </c>
      <c r="I48" s="118">
        <v>0.98094999999999999</v>
      </c>
      <c r="J48" s="1">
        <v>3.2183400000000001E-2</v>
      </c>
      <c r="K48" s="1">
        <v>0.38620100000000002</v>
      </c>
      <c r="L48" s="1">
        <v>9.8095000000000005E-3</v>
      </c>
      <c r="M48" s="77">
        <v>6.0953407102521299E-6</v>
      </c>
      <c r="N48" s="1">
        <v>9.8094999999999999</v>
      </c>
      <c r="O48" s="1">
        <v>1.0727799999999999E-2</v>
      </c>
      <c r="P48" s="119">
        <v>9809.5</v>
      </c>
      <c r="Q48" s="127">
        <v>4.2929300000000001</v>
      </c>
      <c r="R48" s="78">
        <v>4.2929299999999997E-2</v>
      </c>
      <c r="S48" s="78">
        <v>4.2929300000000002E-4</v>
      </c>
      <c r="T48" s="50">
        <v>4.2929261514037498E-6</v>
      </c>
      <c r="U48" s="78">
        <v>6.6540499999999999E-3</v>
      </c>
      <c r="V48" s="49">
        <v>4.6208672519260403E-5</v>
      </c>
      <c r="W48" s="51">
        <v>4.2929261514037502E-8</v>
      </c>
      <c r="X48" s="79">
        <v>4.2929261514037502E-10</v>
      </c>
      <c r="Y48" s="128">
        <v>1.0608051542529899E-9</v>
      </c>
      <c r="Z48" s="143">
        <v>6</v>
      </c>
      <c r="AA48" s="15">
        <v>3.6547499999999999</v>
      </c>
      <c r="AB48" s="2">
        <v>3.6547499999999999</v>
      </c>
      <c r="AC48" s="16">
        <v>2.5</v>
      </c>
      <c r="AD48" s="19" t="s">
        <v>6</v>
      </c>
      <c r="AE48" s="15">
        <v>77.777777</v>
      </c>
      <c r="AF48" s="2">
        <v>77.777777</v>
      </c>
      <c r="AG48" s="16">
        <v>44.444445999999999</v>
      </c>
      <c r="AH48" s="19" t="s">
        <v>32</v>
      </c>
      <c r="AI48" s="15">
        <v>0.98094999999999999</v>
      </c>
      <c r="AJ48" s="2">
        <v>3.2183400000000001E-2</v>
      </c>
      <c r="AK48" s="2">
        <v>0.38620100000000002</v>
      </c>
      <c r="AL48" s="2">
        <v>9.8095000000000005E-3</v>
      </c>
      <c r="AM48" s="33">
        <v>6.0953407102521299E-6</v>
      </c>
      <c r="AN48" s="2">
        <f>AA48+AB48+AC48</f>
        <v>9.8094999999999999</v>
      </c>
      <c r="AO48" s="2">
        <v>1.0727799999999999E-2</v>
      </c>
      <c r="AP48" s="16">
        <v>9809.5</v>
      </c>
      <c r="AQ48" s="15">
        <f>SQRT((AN48/2)*(AN48/2-AA48)*(AN48/2-AB48)*(AN48/2-AC48))</f>
        <v>4.292926151403754</v>
      </c>
      <c r="AR48" s="2">
        <v>4.2929299999999997E-2</v>
      </c>
      <c r="AS48" s="2">
        <v>4.2929300000000002E-4</v>
      </c>
      <c r="AT48" s="23">
        <v>4.2929300000000004E-6</v>
      </c>
      <c r="AU48" s="2">
        <v>6.6540499999999999E-3</v>
      </c>
      <c r="AV48" s="30">
        <v>4.6208713945205698E-5</v>
      </c>
      <c r="AW48" s="31">
        <v>4.2929300000000003E-8</v>
      </c>
      <c r="AX48" s="32">
        <v>4.29293E-10</v>
      </c>
      <c r="AY48" s="44">
        <v>1.06080610526184E-9</v>
      </c>
      <c r="AZ48" s="46" t="s">
        <v>6</v>
      </c>
      <c r="BA48" s="73">
        <f t="shared" si="19"/>
        <v>-4.3834425223151321E-5</v>
      </c>
      <c r="BB48" s="73">
        <f t="shared" si="20"/>
        <v>-4.3834425223151321E-5</v>
      </c>
      <c r="BC48" s="234">
        <f t="shared" si="1"/>
        <v>1.5342048137710788E-4</v>
      </c>
      <c r="BD48" s="238" t="s">
        <v>32</v>
      </c>
      <c r="BE48" s="134">
        <f t="shared" si="2"/>
        <v>0</v>
      </c>
      <c r="BF48" s="82">
        <f t="shared" si="3"/>
        <v>0</v>
      </c>
      <c r="BG48" s="82">
        <f t="shared" si="4"/>
        <v>0</v>
      </c>
      <c r="BH48" s="82">
        <f t="shared" si="5"/>
        <v>0</v>
      </c>
      <c r="BI48" s="82">
        <f t="shared" si="6"/>
        <v>0</v>
      </c>
      <c r="BJ48" s="82">
        <f t="shared" si="7"/>
        <v>0</v>
      </c>
      <c r="BK48" s="83">
        <f t="shared" si="8"/>
        <v>0</v>
      </c>
      <c r="BL48" s="96">
        <f t="shared" si="9"/>
        <v>0</v>
      </c>
      <c r="BM48" s="139">
        <f t="shared" si="10"/>
        <v>8.9649719338360289E-5</v>
      </c>
      <c r="BN48" s="80">
        <f t="shared" si="11"/>
        <v>0</v>
      </c>
      <c r="BO48" s="83">
        <f t="shared" si="12"/>
        <v>0</v>
      </c>
      <c r="BP48" s="80">
        <f t="shared" si="13"/>
        <v>-8.9649639072022212E-5</v>
      </c>
      <c r="BQ48" s="80">
        <f t="shared" si="14"/>
        <v>0</v>
      </c>
      <c r="BR48" s="81">
        <f t="shared" si="15"/>
        <v>-8.9649639123224662E-5</v>
      </c>
      <c r="BS48" s="80">
        <f t="shared" si="16"/>
        <v>-8.9649639059690415E-5</v>
      </c>
      <c r="BT48" s="80">
        <f t="shared" si="17"/>
        <v>-8.9649639052464749E-5</v>
      </c>
      <c r="BU48" s="96">
        <f t="shared" si="18"/>
        <v>-8.9649639583200619E-5</v>
      </c>
    </row>
    <row r="49" spans="1:73" x14ac:dyDescent="0.25">
      <c r="A49" s="1">
        <v>7.8491869999999997</v>
      </c>
      <c r="B49" s="1">
        <v>2.5377610000000002</v>
      </c>
      <c r="C49" s="6">
        <v>7</v>
      </c>
      <c r="D49" s="211" t="s">
        <v>7</v>
      </c>
      <c r="E49" s="56">
        <v>111.11114685645001</v>
      </c>
      <c r="F49" s="1">
        <v>20.629318003594499</v>
      </c>
      <c r="G49" s="6">
        <v>68.259535139955503</v>
      </c>
      <c r="H49" s="211" t="s">
        <v>32</v>
      </c>
      <c r="I49" s="118">
        <v>1589.86</v>
      </c>
      <c r="J49" s="1">
        <v>52.160800000000002</v>
      </c>
      <c r="K49" s="1">
        <v>625.92999999999995</v>
      </c>
      <c r="L49" s="1">
        <v>15.8986</v>
      </c>
      <c r="M49" s="1">
        <v>9.8789499999999992E-3</v>
      </c>
      <c r="N49" s="1">
        <v>15898.6</v>
      </c>
      <c r="O49" s="1">
        <v>17.386900000000001</v>
      </c>
      <c r="P49" s="119">
        <v>15898624</v>
      </c>
      <c r="Q49" s="118">
        <v>7313789</v>
      </c>
      <c r="R49" s="1">
        <v>73137.899999999994</v>
      </c>
      <c r="S49" s="1">
        <v>731.37900000000002</v>
      </c>
      <c r="T49" s="1">
        <v>7.31379</v>
      </c>
      <c r="U49" s="1">
        <v>11336.4</v>
      </c>
      <c r="V49" s="1">
        <v>78.724999999999994</v>
      </c>
      <c r="W49" s="1">
        <v>7.3137900000000006E-2</v>
      </c>
      <c r="X49" s="1">
        <v>7.3137899999999999E-4</v>
      </c>
      <c r="Y49" s="119">
        <v>1.8072800000000001E-3</v>
      </c>
      <c r="Z49" s="143">
        <v>7</v>
      </c>
      <c r="AA49" s="15">
        <v>7.8491869999999997</v>
      </c>
      <c r="AB49" s="2">
        <v>2.5377610000000002</v>
      </c>
      <c r="AC49" s="16">
        <v>7</v>
      </c>
      <c r="AD49" s="19" t="s">
        <v>7</v>
      </c>
      <c r="AE49" s="15">
        <v>111.11111099999999</v>
      </c>
      <c r="AF49" s="2">
        <v>20.629318999999999</v>
      </c>
      <c r="AG49" s="16">
        <v>68.259568999999999</v>
      </c>
      <c r="AH49" s="19" t="s">
        <v>32</v>
      </c>
      <c r="AI49" s="15">
        <v>1589.87</v>
      </c>
      <c r="AJ49" s="2">
        <v>52.161000000000001</v>
      </c>
      <c r="AK49" s="2">
        <v>625.93200000000002</v>
      </c>
      <c r="AL49" s="2">
        <v>15.8987</v>
      </c>
      <c r="AM49" s="2">
        <v>9.8789800000000007E-3</v>
      </c>
      <c r="AN49" s="2">
        <v>15898.7</v>
      </c>
      <c r="AO49" s="2">
        <f>AA49+AB49+AC49</f>
        <v>17.386948</v>
      </c>
      <c r="AP49" s="16">
        <v>15898673</v>
      </c>
      <c r="AQ49" s="15">
        <v>7313789</v>
      </c>
      <c r="AR49" s="2">
        <v>73137.899999999994</v>
      </c>
      <c r="AS49" s="2">
        <v>731.37900000000002</v>
      </c>
      <c r="AT49" s="2">
        <v>7.31379</v>
      </c>
      <c r="AU49" s="2">
        <v>11336.4</v>
      </c>
      <c r="AV49" s="2">
        <v>78.724999999999994</v>
      </c>
      <c r="AW49" s="2">
        <v>7.3137900000000006E-2</v>
      </c>
      <c r="AX49" s="2">
        <v>7.3137899999999999E-4</v>
      </c>
      <c r="AY49" s="42">
        <v>1.8072800000000001E-3</v>
      </c>
      <c r="AZ49" s="46" t="s">
        <v>7</v>
      </c>
      <c r="BA49" s="73">
        <f t="shared" si="19"/>
        <v>3.2270805042896543E-5</v>
      </c>
      <c r="BB49" s="73">
        <f t="shared" si="20"/>
        <v>-4.8300455304940795E-6</v>
      </c>
      <c r="BC49" s="234">
        <f t="shared" si="1"/>
        <v>-4.9604831955848852E-5</v>
      </c>
      <c r="BD49" s="238" t="s">
        <v>32</v>
      </c>
      <c r="BE49" s="134">
        <f t="shared" si="2"/>
        <v>-6.2898224383068464E-4</v>
      </c>
      <c r="BF49" s="82">
        <f t="shared" si="3"/>
        <v>-3.8342823181981535E-4</v>
      </c>
      <c r="BG49" s="82">
        <f t="shared" si="4"/>
        <v>-3.1952352652786455E-4</v>
      </c>
      <c r="BH49" s="82">
        <f t="shared" si="5"/>
        <v>-6.2898224382979071E-4</v>
      </c>
      <c r="BI49" s="82">
        <f t="shared" si="6"/>
        <v>-3.0367507578268768E-4</v>
      </c>
      <c r="BJ49" s="82">
        <f t="shared" si="7"/>
        <v>-6.2898224383354487E-4</v>
      </c>
      <c r="BK49" s="83">
        <f t="shared" si="8"/>
        <v>-2.7606915255974721E-4</v>
      </c>
      <c r="BL49" s="96">
        <f t="shared" si="9"/>
        <v>-3.0820182288169586E-4</v>
      </c>
      <c r="BM49" s="139">
        <f t="shared" si="10"/>
        <v>0</v>
      </c>
      <c r="BN49" s="80">
        <f t="shared" si="11"/>
        <v>0</v>
      </c>
      <c r="BO49" s="83">
        <f t="shared" si="12"/>
        <v>0</v>
      </c>
      <c r="BP49" s="80">
        <f t="shared" si="13"/>
        <v>0</v>
      </c>
      <c r="BQ49" s="80">
        <f t="shared" si="14"/>
        <v>0</v>
      </c>
      <c r="BR49" s="81">
        <f t="shared" si="15"/>
        <v>0</v>
      </c>
      <c r="BS49" s="80">
        <f t="shared" si="16"/>
        <v>0</v>
      </c>
      <c r="BT49" s="80">
        <f t="shared" si="17"/>
        <v>0</v>
      </c>
      <c r="BU49" s="96">
        <f t="shared" si="18"/>
        <v>0</v>
      </c>
    </row>
    <row r="50" spans="1:73" ht="15.75" thickBot="1" x14ac:dyDescent="0.3">
      <c r="A50" s="55">
        <v>5.3244879999999997</v>
      </c>
      <c r="B50" s="55">
        <v>3.7282470000000001</v>
      </c>
      <c r="C50" s="113">
        <v>6.5</v>
      </c>
      <c r="D50" s="212" t="s">
        <v>20</v>
      </c>
      <c r="E50" s="61">
        <v>61.111106195408198</v>
      </c>
      <c r="F50" s="55">
        <v>38.888926715727102</v>
      </c>
      <c r="G50" s="113">
        <v>99.999967088864693</v>
      </c>
      <c r="H50" s="212" t="s">
        <v>32</v>
      </c>
      <c r="I50" s="121">
        <v>1.5552700000000001E-3</v>
      </c>
      <c r="J50" s="64">
        <v>5.1026043307086598E-5</v>
      </c>
      <c r="K50" s="55">
        <v>6.1231299999999996E-4</v>
      </c>
      <c r="L50" s="62">
        <v>1.5552738000000002E-5</v>
      </c>
      <c r="M50" s="65">
        <v>9.6640233536148898E-9</v>
      </c>
      <c r="N50" s="66">
        <v>1.5552699999999999E-2</v>
      </c>
      <c r="O50" s="64">
        <v>1.70086811023622E-5</v>
      </c>
      <c r="P50" s="122">
        <v>15.5527</v>
      </c>
      <c r="Q50" s="129">
        <v>9.9255111929986697E-6</v>
      </c>
      <c r="R50" s="67">
        <v>9.9255111929986699E-8</v>
      </c>
      <c r="S50" s="68">
        <v>9.9255111929986696E-10</v>
      </c>
      <c r="T50" s="69">
        <v>9.9255111929986707E-12</v>
      </c>
      <c r="U50" s="67">
        <v>1.5384573118294201E-8</v>
      </c>
      <c r="V50" s="68">
        <v>1.06837313321487E-10</v>
      </c>
      <c r="W50" s="70">
        <v>9.9255111929986696E-14</v>
      </c>
      <c r="X50" s="71">
        <v>9.9255111929986694E-16</v>
      </c>
      <c r="Y50" s="72">
        <v>2.4526472296025599E-15</v>
      </c>
      <c r="Z50" s="144">
        <v>8</v>
      </c>
      <c r="AA50" s="17">
        <v>5.3244879999999997</v>
      </c>
      <c r="AB50" s="9">
        <v>3.7282470000000001</v>
      </c>
      <c r="AC50" s="10">
        <v>6.5</v>
      </c>
      <c r="AD50" s="20" t="s">
        <v>20</v>
      </c>
      <c r="AE50" s="17">
        <v>61.111111000000001</v>
      </c>
      <c r="AF50" s="9">
        <v>38.888888999999999</v>
      </c>
      <c r="AG50" s="10">
        <v>100</v>
      </c>
      <c r="AH50" s="20" t="s">
        <v>32</v>
      </c>
      <c r="AI50" s="17">
        <v>1.5552700000000001E-3</v>
      </c>
      <c r="AJ50" s="36">
        <v>5.1025918635170598E-5</v>
      </c>
      <c r="AK50" s="9">
        <v>6.1231100000000004E-4</v>
      </c>
      <c r="AL50" s="37">
        <v>1.5552700000000001E-5</v>
      </c>
      <c r="AM50" s="38">
        <v>9.6639997415095904E-9</v>
      </c>
      <c r="AN50" s="9">
        <v>1.5552699999999999E-2</v>
      </c>
      <c r="AO50" s="36">
        <v>1.7008639545056901E-5</v>
      </c>
      <c r="AP50" s="10">
        <f>AA50+AB50+AC50</f>
        <v>15.552735</v>
      </c>
      <c r="AQ50" s="17">
        <f>SQRT((AP50/2)*(AP50/2-AA50)*(AP50/2-AB50)*(AP50/2-AC50))/1000000</f>
        <v>9.9255032062679894E-6</v>
      </c>
      <c r="AR50" s="39">
        <v>9.9254999999999998E-8</v>
      </c>
      <c r="AS50" s="39">
        <v>9.9255000000000005E-10</v>
      </c>
      <c r="AT50" s="39">
        <v>9.9255000000000001E-12</v>
      </c>
      <c r="AU50" s="40">
        <v>1.53845557691115E-8</v>
      </c>
      <c r="AV50" s="40">
        <v>1.06837192841052E-10</v>
      </c>
      <c r="AW50" s="39">
        <v>9.9255000000000002E-14</v>
      </c>
      <c r="AX50" s="39">
        <v>9.9254999999999993E-16</v>
      </c>
      <c r="AY50" s="45">
        <v>2.4526444637523502E-15</v>
      </c>
      <c r="AZ50" s="48" t="s">
        <v>20</v>
      </c>
      <c r="BA50" s="97">
        <f t="shared" si="19"/>
        <v>-7.8620593291455582E-6</v>
      </c>
      <c r="BB50" s="97">
        <f t="shared" si="20"/>
        <v>9.6983297988288372E-5</v>
      </c>
      <c r="BC50" s="235">
        <f t="shared" si="1"/>
        <v>-3.2911135306790129E-5</v>
      </c>
      <c r="BD50" s="239" t="s">
        <v>32</v>
      </c>
      <c r="BE50" s="135">
        <f t="shared" si="2"/>
        <v>0</v>
      </c>
      <c r="BF50" s="98">
        <f t="shared" si="3"/>
        <v>2.4433056637561721E-4</v>
      </c>
      <c r="BG50" s="98">
        <f t="shared" si="4"/>
        <v>3.26631401350469E-4</v>
      </c>
      <c r="BH50" s="98">
        <f t="shared" si="5"/>
        <v>2.4433056640085272E-4</v>
      </c>
      <c r="BI50" s="98">
        <f t="shared" si="6"/>
        <v>2.4433056633951192E-4</v>
      </c>
      <c r="BJ50" s="98">
        <f t="shared" si="7"/>
        <v>0</v>
      </c>
      <c r="BK50" s="99">
        <f t="shared" si="8"/>
        <v>2.4433056617641604E-4</v>
      </c>
      <c r="BL50" s="102">
        <f t="shared" si="9"/>
        <v>-2.2504080472310071E-4</v>
      </c>
      <c r="BM50" s="140">
        <f t="shared" si="10"/>
        <v>8.0466758352171937E-5</v>
      </c>
      <c r="BN50" s="100">
        <f t="shared" si="11"/>
        <v>1.1277012412576927E-4</v>
      </c>
      <c r="BO50" s="99">
        <f t="shared" si="12"/>
        <v>1.1277012411576859E-4</v>
      </c>
      <c r="BP50" s="100">
        <f t="shared" si="13"/>
        <v>1.1277012413074356E-4</v>
      </c>
      <c r="BQ50" s="100">
        <f t="shared" si="14"/>
        <v>1.1277012453918534E-4</v>
      </c>
      <c r="BR50" s="101">
        <f t="shared" si="15"/>
        <v>1.1277012414131002E-4</v>
      </c>
      <c r="BS50" s="100">
        <f t="shared" si="16"/>
        <v>1.127701241185357E-4</v>
      </c>
      <c r="BT50" s="100">
        <f t="shared" si="17"/>
        <v>1.1277012412568875E-4</v>
      </c>
      <c r="BU50" s="102">
        <f t="shared" si="18"/>
        <v>1.1277012427207022E-4</v>
      </c>
    </row>
    <row r="51" spans="1:73" s="4" customForma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</row>
    <row r="52" spans="1:73" s="4" customFormat="1" x14ac:dyDescent="0.25">
      <c r="A52" s="627"/>
      <c r="B52" s="627"/>
      <c r="C52" s="627"/>
      <c r="D52" s="627"/>
      <c r="E52" s="627"/>
      <c r="F52" s="627"/>
      <c r="G52" s="627"/>
      <c r="H52" s="627"/>
      <c r="I52" s="627"/>
      <c r="J52" s="627"/>
      <c r="K52" s="627"/>
      <c r="L52" s="627"/>
      <c r="M52" s="627"/>
      <c r="N52" s="627"/>
      <c r="O52" s="627"/>
      <c r="P52" s="627"/>
      <c r="Q52" s="627"/>
      <c r="R52" s="627"/>
      <c r="S52" s="627"/>
      <c r="T52" s="627"/>
      <c r="U52" s="627"/>
      <c r="V52" s="627"/>
      <c r="W52" s="627"/>
      <c r="X52" s="627"/>
      <c r="Y52" s="627"/>
      <c r="Z52" s="627"/>
      <c r="AA52" s="627"/>
      <c r="AB52" s="627"/>
      <c r="AC52" s="627"/>
      <c r="AD52" s="627"/>
      <c r="AE52" s="627"/>
      <c r="AF52" s="627"/>
      <c r="AG52" s="625"/>
      <c r="AH52" s="625"/>
      <c r="AI52" s="625"/>
      <c r="AJ52" s="625"/>
      <c r="AK52" s="625"/>
      <c r="AL52" s="625"/>
    </row>
    <row r="53" spans="1:73" s="4" customFormat="1" ht="18.75" x14ac:dyDescent="0.3">
      <c r="A53" s="627"/>
      <c r="B53" s="625"/>
      <c r="C53" s="626"/>
      <c r="D53" s="635">
        <v>1</v>
      </c>
      <c r="E53" s="627"/>
      <c r="F53" s="627"/>
      <c r="G53" s="627"/>
      <c r="H53" s="626"/>
      <c r="I53" s="635">
        <v>2</v>
      </c>
      <c r="J53" s="625"/>
      <c r="K53" s="627"/>
      <c r="L53" s="627"/>
      <c r="M53" s="635">
        <v>3</v>
      </c>
      <c r="N53" s="625"/>
      <c r="O53" s="627"/>
      <c r="P53" s="627"/>
      <c r="Q53" s="626">
        <v>4</v>
      </c>
      <c r="R53" s="625"/>
      <c r="S53" s="625"/>
      <c r="T53" s="627"/>
      <c r="U53" s="635">
        <v>5</v>
      </c>
      <c r="V53" s="625"/>
      <c r="W53" s="625"/>
      <c r="X53" s="635">
        <v>6</v>
      </c>
      <c r="Y53" s="627"/>
      <c r="Z53" s="627"/>
      <c r="AA53" s="625"/>
      <c r="AB53" s="626">
        <v>7</v>
      </c>
      <c r="AC53" s="627"/>
      <c r="AD53" s="627"/>
      <c r="AE53" s="627"/>
      <c r="AF53" s="625"/>
      <c r="AG53" s="625"/>
      <c r="AH53" s="634">
        <v>8</v>
      </c>
      <c r="AI53" s="625"/>
      <c r="AJ53" s="625"/>
      <c r="AK53" s="625"/>
      <c r="AL53" s="625"/>
    </row>
    <row r="54" spans="1:73" s="4" customFormat="1" ht="18.75" x14ac:dyDescent="0.3">
      <c r="A54" s="627"/>
      <c r="B54" s="627"/>
      <c r="C54" s="627"/>
      <c r="D54" s="627"/>
      <c r="E54" s="627"/>
      <c r="F54" s="627"/>
      <c r="G54" s="627"/>
      <c r="H54" s="627"/>
      <c r="I54" s="627"/>
      <c r="J54" s="627"/>
      <c r="K54" s="627"/>
      <c r="L54" s="627"/>
      <c r="M54" s="627"/>
      <c r="N54" s="627"/>
      <c r="O54" s="627"/>
      <c r="P54" s="627"/>
      <c r="Q54" s="627"/>
      <c r="R54" s="627"/>
      <c r="S54" s="627"/>
      <c r="T54" s="627"/>
      <c r="U54" s="627"/>
      <c r="V54" s="625"/>
      <c r="W54" s="627"/>
      <c r="X54" s="627"/>
      <c r="Y54" s="627"/>
      <c r="Z54" s="627"/>
      <c r="AA54" s="627"/>
      <c r="AB54" s="627"/>
      <c r="AC54" s="627"/>
      <c r="AD54" s="627"/>
      <c r="AE54" s="627"/>
      <c r="AF54" s="627"/>
      <c r="AG54" s="625"/>
      <c r="AH54" s="634"/>
      <c r="AI54" s="625"/>
      <c r="AJ54" s="625"/>
      <c r="AK54" s="625"/>
      <c r="AL54" s="625"/>
    </row>
    <row r="55" spans="1:73" s="4" customFormat="1" x14ac:dyDescent="0.25">
      <c r="A55" s="627"/>
      <c r="B55" s="627"/>
      <c r="C55" s="627"/>
      <c r="D55" s="627"/>
      <c r="E55" s="627"/>
      <c r="F55" s="627"/>
      <c r="G55" s="627"/>
      <c r="H55" s="627"/>
      <c r="I55" s="627"/>
      <c r="J55" s="627"/>
      <c r="K55" s="627"/>
      <c r="L55" s="627"/>
      <c r="M55" s="627"/>
      <c r="N55" s="627"/>
      <c r="O55" s="627"/>
      <c r="P55" s="627"/>
      <c r="Q55" s="627"/>
      <c r="R55" s="627"/>
      <c r="S55" s="627"/>
      <c r="T55" s="627"/>
      <c r="U55" s="627"/>
      <c r="V55" s="627"/>
      <c r="W55" s="627"/>
      <c r="X55" s="627"/>
      <c r="Y55" s="627"/>
      <c r="Z55" s="627"/>
      <c r="AA55" s="627"/>
      <c r="AB55" s="627"/>
      <c r="AC55" s="627"/>
      <c r="AD55" s="627"/>
      <c r="AE55" s="627"/>
      <c r="AF55" s="627"/>
      <c r="AG55" s="625"/>
      <c r="AH55" s="625"/>
      <c r="AI55" s="625"/>
      <c r="AJ55" s="625"/>
      <c r="AK55" s="625"/>
      <c r="AL55" s="625"/>
    </row>
    <row r="56" spans="1:73" s="4" customFormat="1" x14ac:dyDescent="0.25">
      <c r="A56" s="627"/>
      <c r="B56" s="627"/>
      <c r="C56" s="627"/>
      <c r="D56" s="627"/>
      <c r="E56" s="627"/>
      <c r="F56" s="627"/>
      <c r="G56" s="627"/>
      <c r="H56" s="627"/>
      <c r="I56" s="627"/>
      <c r="J56" s="627"/>
      <c r="K56" s="627"/>
      <c r="L56" s="627"/>
      <c r="M56" s="627"/>
      <c r="N56" s="627"/>
      <c r="O56" s="627"/>
      <c r="P56" s="627"/>
      <c r="Q56" s="627"/>
      <c r="R56" s="627"/>
      <c r="S56" s="627"/>
      <c r="T56" s="627"/>
      <c r="U56" s="627"/>
      <c r="V56" s="627"/>
      <c r="W56" s="627"/>
      <c r="X56" s="627"/>
      <c r="Y56" s="627"/>
      <c r="Z56" s="627"/>
      <c r="AA56" s="627"/>
      <c r="AB56" s="627"/>
      <c r="AC56" s="627"/>
      <c r="AD56" s="627"/>
      <c r="AE56" s="627"/>
      <c r="AF56" s="627"/>
      <c r="AG56" s="625"/>
      <c r="AH56" s="625"/>
      <c r="AI56" s="625"/>
      <c r="AJ56" s="625"/>
      <c r="AK56" s="625"/>
      <c r="AL56" s="625"/>
    </row>
    <row r="57" spans="1:73" s="4" customFormat="1" x14ac:dyDescent="0.25">
      <c r="A57" s="627"/>
      <c r="B57" s="627"/>
      <c r="C57" s="627"/>
      <c r="D57" s="627"/>
      <c r="E57" s="627"/>
      <c r="F57" s="627"/>
      <c r="G57" s="627"/>
      <c r="H57" s="627"/>
      <c r="I57" s="627"/>
      <c r="J57" s="627"/>
      <c r="K57" s="627"/>
      <c r="L57" s="627"/>
      <c r="M57" s="627"/>
      <c r="N57" s="627"/>
      <c r="O57" s="627"/>
      <c r="P57" s="627"/>
      <c r="Q57" s="627"/>
      <c r="R57" s="627"/>
      <c r="S57" s="627"/>
      <c r="T57" s="627"/>
      <c r="U57" s="627"/>
      <c r="V57" s="627"/>
      <c r="W57" s="627"/>
      <c r="X57" s="627"/>
      <c r="Y57" s="627"/>
      <c r="Z57" s="627"/>
      <c r="AA57" s="627"/>
      <c r="AB57" s="627"/>
      <c r="AC57" s="627"/>
      <c r="AD57" s="627"/>
      <c r="AE57" s="627"/>
      <c r="AF57" s="627"/>
      <c r="AG57" s="625"/>
      <c r="AH57" s="625"/>
      <c r="AI57" s="625"/>
      <c r="AJ57" s="625"/>
      <c r="AK57" s="625"/>
      <c r="AL57" s="625"/>
    </row>
    <row r="58" spans="1:73" s="4" customFormat="1" x14ac:dyDescent="0.25">
      <c r="A58" s="627"/>
      <c r="B58" s="627"/>
      <c r="C58" s="627"/>
      <c r="D58" s="627"/>
      <c r="E58" s="627"/>
      <c r="F58" s="627"/>
      <c r="G58" s="627"/>
      <c r="H58" s="627"/>
      <c r="I58" s="627"/>
      <c r="J58" s="627"/>
      <c r="K58" s="627"/>
      <c r="L58" s="627"/>
      <c r="M58" s="627"/>
      <c r="N58" s="627"/>
      <c r="O58" s="627"/>
      <c r="P58" s="627"/>
      <c r="Q58" s="627"/>
      <c r="R58" s="627"/>
      <c r="S58" s="627"/>
      <c r="T58" s="627"/>
      <c r="U58" s="627"/>
      <c r="V58" s="627"/>
      <c r="W58" s="627"/>
      <c r="X58" s="627"/>
      <c r="Y58" s="627"/>
      <c r="Z58" s="627"/>
      <c r="AA58" s="627"/>
      <c r="AB58" s="627"/>
      <c r="AC58" s="627"/>
      <c r="AD58" s="627"/>
      <c r="AE58" s="627"/>
      <c r="AF58" s="627"/>
      <c r="AG58" s="625"/>
      <c r="AH58" s="625"/>
      <c r="AI58" s="625"/>
      <c r="AJ58" s="625"/>
      <c r="AK58" s="625"/>
      <c r="AL58" s="625"/>
    </row>
    <row r="59" spans="1:73" s="4" customFormat="1" x14ac:dyDescent="0.25">
      <c r="A59" s="627"/>
      <c r="B59" s="627"/>
      <c r="C59" s="627"/>
      <c r="D59" s="627"/>
      <c r="E59" s="627"/>
      <c r="F59" s="627"/>
      <c r="G59" s="627"/>
      <c r="H59" s="627"/>
      <c r="I59" s="627"/>
      <c r="J59" s="627"/>
      <c r="K59" s="627"/>
      <c r="L59" s="627"/>
      <c r="M59" s="627"/>
      <c r="N59" s="627"/>
      <c r="O59" s="627"/>
      <c r="P59" s="627"/>
      <c r="Q59" s="627"/>
      <c r="R59" s="627"/>
      <c r="S59" s="627"/>
      <c r="T59" s="627"/>
      <c r="U59" s="627"/>
      <c r="V59" s="627"/>
      <c r="W59" s="627"/>
      <c r="X59" s="627"/>
      <c r="Y59" s="627"/>
      <c r="Z59" s="627"/>
      <c r="AA59" s="627"/>
      <c r="AB59" s="627"/>
      <c r="AC59" s="627"/>
      <c r="AD59" s="627"/>
      <c r="AE59" s="627"/>
      <c r="AF59" s="627"/>
      <c r="AG59" s="625"/>
      <c r="AH59" s="625"/>
      <c r="AI59" s="625"/>
      <c r="AJ59" s="625"/>
      <c r="AK59" s="625"/>
      <c r="AL59" s="625"/>
    </row>
    <row r="60" spans="1:73" s="4" customFormat="1" x14ac:dyDescent="0.25">
      <c r="A60" s="627"/>
      <c r="B60" s="627"/>
      <c r="C60" s="627"/>
      <c r="D60" s="627"/>
      <c r="E60" s="627"/>
      <c r="F60" s="627"/>
      <c r="G60" s="627"/>
      <c r="H60" s="627"/>
      <c r="I60" s="627"/>
      <c r="J60" s="627"/>
      <c r="K60" s="627"/>
      <c r="L60" s="627"/>
      <c r="M60" s="627"/>
      <c r="N60" s="627"/>
      <c r="O60" s="627"/>
      <c r="P60" s="627"/>
      <c r="Q60" s="627"/>
      <c r="R60" s="627"/>
      <c r="S60" s="627"/>
      <c r="T60" s="627"/>
      <c r="U60" s="627"/>
      <c r="V60" s="627"/>
      <c r="W60" s="627"/>
      <c r="X60" s="627"/>
      <c r="Y60" s="627"/>
      <c r="Z60" s="627"/>
      <c r="AA60" s="627"/>
      <c r="AB60" s="627"/>
      <c r="AC60" s="627"/>
      <c r="AD60" s="627"/>
      <c r="AE60" s="627"/>
      <c r="AF60" s="627"/>
      <c r="AG60" s="625"/>
      <c r="AH60" s="625"/>
      <c r="AI60" s="625"/>
      <c r="AJ60" s="625"/>
      <c r="AK60" s="625"/>
      <c r="AL60" s="625"/>
    </row>
    <row r="61" spans="1:73" s="4" customFormat="1" x14ac:dyDescent="0.25">
      <c r="A61" s="627"/>
      <c r="B61" s="627"/>
      <c r="C61" s="627"/>
      <c r="D61" s="627"/>
      <c r="E61" s="627"/>
      <c r="F61" s="627"/>
      <c r="G61" s="627"/>
      <c r="H61" s="627"/>
      <c r="I61" s="627"/>
      <c r="J61" s="627"/>
      <c r="K61" s="627"/>
      <c r="L61" s="627"/>
      <c r="M61" s="627"/>
      <c r="N61" s="627"/>
      <c r="O61" s="627"/>
      <c r="P61" s="627"/>
      <c r="Q61" s="627"/>
      <c r="R61" s="627"/>
      <c r="S61" s="627"/>
      <c r="T61" s="627"/>
      <c r="U61" s="627"/>
      <c r="V61" s="627"/>
      <c r="W61" s="627"/>
      <c r="X61" s="627"/>
      <c r="Y61" s="627"/>
      <c r="Z61" s="627"/>
      <c r="AA61" s="627"/>
      <c r="AB61" s="627"/>
      <c r="AC61" s="627"/>
      <c r="AD61" s="627"/>
      <c r="AE61" s="627"/>
      <c r="AF61" s="627"/>
      <c r="AG61" s="625"/>
      <c r="AH61" s="625"/>
      <c r="AI61" s="625"/>
      <c r="AJ61" s="625"/>
      <c r="AK61" s="625"/>
      <c r="AL61" s="625"/>
    </row>
    <row r="62" spans="1:73" s="4" customFormat="1" x14ac:dyDescent="0.25">
      <c r="A62" s="627"/>
      <c r="B62" s="627"/>
      <c r="C62" s="627"/>
      <c r="D62" s="627"/>
      <c r="E62" s="627"/>
      <c r="F62" s="627"/>
      <c r="G62" s="627"/>
      <c r="H62" s="627"/>
      <c r="I62" s="627"/>
      <c r="J62" s="627"/>
      <c r="K62" s="627"/>
      <c r="L62" s="627"/>
      <c r="M62" s="627"/>
      <c r="N62" s="627"/>
      <c r="O62" s="627"/>
      <c r="P62" s="627"/>
      <c r="Q62" s="627"/>
      <c r="R62" s="627"/>
      <c r="S62" s="627"/>
      <c r="T62" s="627"/>
      <c r="U62" s="627"/>
      <c r="V62" s="627"/>
      <c r="W62" s="627"/>
      <c r="X62" s="627"/>
      <c r="Y62" s="627"/>
      <c r="Z62" s="627"/>
      <c r="AA62" s="627"/>
      <c r="AB62" s="627"/>
      <c r="AC62" s="627"/>
      <c r="AD62" s="627"/>
      <c r="AE62" s="627"/>
      <c r="AF62" s="627"/>
      <c r="AG62" s="625"/>
      <c r="AH62" s="625"/>
      <c r="AI62" s="625"/>
      <c r="AJ62" s="625"/>
      <c r="AK62" s="625"/>
      <c r="AL62" s="625"/>
    </row>
    <row r="63" spans="1:73" s="4" customFormat="1" x14ac:dyDescent="0.25">
      <c r="A63" s="627"/>
      <c r="B63" s="627"/>
      <c r="C63" s="627"/>
      <c r="D63" s="627"/>
      <c r="E63" s="627"/>
      <c r="F63" s="627"/>
      <c r="G63" s="627"/>
      <c r="H63" s="627"/>
      <c r="I63" s="627"/>
      <c r="J63" s="627"/>
      <c r="K63" s="627"/>
      <c r="L63" s="627"/>
      <c r="M63" s="627"/>
      <c r="N63" s="627"/>
      <c r="O63" s="627"/>
      <c r="P63" s="627"/>
      <c r="Q63" s="627"/>
      <c r="R63" s="627"/>
      <c r="S63" s="627"/>
      <c r="T63" s="627"/>
      <c r="U63" s="627"/>
      <c r="V63" s="627"/>
      <c r="W63" s="627"/>
      <c r="X63" s="627"/>
      <c r="Y63" s="627"/>
      <c r="Z63" s="627"/>
      <c r="AA63" s="627"/>
      <c r="AB63" s="627"/>
      <c r="AC63" s="627"/>
      <c r="AD63" s="627"/>
      <c r="AE63" s="627"/>
      <c r="AF63" s="627"/>
      <c r="AG63" s="625"/>
      <c r="AH63" s="625"/>
      <c r="AI63" s="625"/>
      <c r="AJ63" s="625"/>
      <c r="AK63" s="625"/>
      <c r="AL63" s="625"/>
    </row>
    <row r="64" spans="1:73" s="4" customFormat="1" x14ac:dyDescent="0.25">
      <c r="A64" s="627"/>
      <c r="B64" s="627"/>
      <c r="C64" s="627"/>
      <c r="D64" s="627"/>
      <c r="E64" s="627"/>
      <c r="F64" s="627"/>
      <c r="G64" s="627"/>
      <c r="H64" s="627"/>
      <c r="I64" s="627"/>
      <c r="J64" s="627"/>
      <c r="K64" s="627"/>
      <c r="L64" s="627"/>
      <c r="M64" s="627"/>
      <c r="N64" s="627"/>
      <c r="O64" s="627"/>
      <c r="P64" s="627"/>
      <c r="Q64" s="627"/>
      <c r="R64" s="627"/>
      <c r="S64" s="627"/>
      <c r="T64" s="627"/>
      <c r="U64" s="627"/>
      <c r="V64" s="627"/>
      <c r="W64" s="627"/>
      <c r="X64" s="627"/>
      <c r="Y64" s="627"/>
      <c r="Z64" s="627"/>
      <c r="AA64" s="627"/>
      <c r="AB64" s="627"/>
      <c r="AC64" s="627"/>
      <c r="AD64" s="627"/>
      <c r="AE64" s="627"/>
      <c r="AF64" s="627"/>
      <c r="AG64" s="625"/>
      <c r="AH64" s="625"/>
      <c r="AI64" s="625"/>
      <c r="AJ64" s="625"/>
      <c r="AK64" s="625"/>
      <c r="AL64" s="625"/>
    </row>
    <row r="65" spans="1:73" s="4" customFormat="1" x14ac:dyDescent="0.25">
      <c r="A65" s="627"/>
      <c r="B65" s="627"/>
      <c r="C65" s="627"/>
      <c r="D65" s="627"/>
      <c r="E65" s="627"/>
      <c r="F65" s="627"/>
      <c r="G65" s="627"/>
      <c r="H65" s="627"/>
      <c r="I65" s="627"/>
      <c r="J65" s="627"/>
      <c r="K65" s="627"/>
      <c r="L65" s="627"/>
      <c r="M65" s="627"/>
      <c r="N65" s="627"/>
      <c r="O65" s="627"/>
      <c r="P65" s="627"/>
      <c r="Q65" s="627"/>
      <c r="R65" s="627"/>
      <c r="S65" s="627"/>
      <c r="T65" s="627"/>
      <c r="U65" s="627"/>
      <c r="V65" s="627"/>
      <c r="W65" s="627"/>
      <c r="X65" s="627"/>
      <c r="Y65" s="627"/>
      <c r="Z65" s="627"/>
      <c r="AA65" s="627"/>
      <c r="AB65" s="627"/>
      <c r="AC65" s="627"/>
      <c r="AD65" s="627"/>
      <c r="AE65" s="627"/>
      <c r="AF65" s="627"/>
      <c r="AG65" s="625"/>
      <c r="AH65" s="625"/>
      <c r="AI65" s="625"/>
      <c r="AJ65" s="625"/>
      <c r="AK65" s="625"/>
      <c r="AL65" s="625"/>
    </row>
    <row r="66" spans="1:73" s="4" customFormat="1" x14ac:dyDescent="0.25">
      <c r="A66" s="627"/>
      <c r="B66" s="627"/>
      <c r="C66" s="627"/>
      <c r="D66" s="627"/>
      <c r="E66" s="627"/>
      <c r="F66" s="627"/>
      <c r="G66" s="627"/>
      <c r="H66" s="627"/>
      <c r="I66" s="627"/>
      <c r="J66" s="627"/>
      <c r="K66" s="627"/>
      <c r="L66" s="627"/>
      <c r="M66" s="627"/>
      <c r="N66" s="627"/>
      <c r="O66" s="627"/>
      <c r="P66" s="627"/>
      <c r="Q66" s="627"/>
      <c r="R66" s="627"/>
      <c r="S66" s="627"/>
      <c r="T66" s="627"/>
      <c r="U66" s="627"/>
      <c r="V66" s="627"/>
      <c r="W66" s="627"/>
      <c r="X66" s="627"/>
      <c r="Y66" s="627"/>
      <c r="Z66" s="627"/>
      <c r="AA66" s="627"/>
      <c r="AB66" s="627"/>
      <c r="AC66" s="627"/>
      <c r="AD66" s="627"/>
      <c r="AE66" s="627"/>
      <c r="AF66" s="627"/>
      <c r="AG66" s="625"/>
      <c r="AH66" s="625"/>
      <c r="AI66" s="625"/>
      <c r="AJ66" s="625"/>
      <c r="AK66" s="625"/>
      <c r="AL66" s="625"/>
    </row>
    <row r="67" spans="1:73" s="4" customFormat="1" x14ac:dyDescent="0.25">
      <c r="A67" s="627"/>
      <c r="B67" s="627"/>
      <c r="C67" s="627"/>
      <c r="D67" s="627"/>
      <c r="E67" s="627"/>
      <c r="F67" s="627"/>
      <c r="G67" s="627"/>
      <c r="H67" s="627"/>
      <c r="I67" s="627"/>
      <c r="J67" s="627"/>
      <c r="K67" s="627"/>
      <c r="L67" s="627"/>
      <c r="M67" s="627"/>
      <c r="N67" s="627"/>
      <c r="O67" s="627"/>
      <c r="P67" s="627"/>
      <c r="Q67" s="627"/>
      <c r="R67" s="627"/>
      <c r="S67" s="627"/>
      <c r="T67" s="627"/>
      <c r="U67" s="627"/>
      <c r="V67" s="627"/>
      <c r="W67" s="627"/>
      <c r="X67" s="627"/>
      <c r="Y67" s="627"/>
      <c r="Z67" s="627"/>
      <c r="AA67" s="627"/>
      <c r="AB67" s="627"/>
      <c r="AC67" s="627"/>
      <c r="AD67" s="627"/>
      <c r="AE67" s="627"/>
      <c r="AF67" s="627"/>
      <c r="AG67" s="625"/>
      <c r="AH67" s="625"/>
      <c r="AI67" s="625"/>
      <c r="AJ67" s="625"/>
      <c r="AK67" s="625"/>
      <c r="AL67" s="625"/>
    </row>
    <row r="68" spans="1:73" s="4" customFormat="1" x14ac:dyDescent="0.25">
      <c r="A68" s="627"/>
      <c r="B68" s="627"/>
      <c r="C68" s="627"/>
      <c r="D68" s="627"/>
      <c r="E68" s="627"/>
      <c r="F68" s="627"/>
      <c r="G68" s="627"/>
      <c r="H68" s="627"/>
      <c r="I68" s="627"/>
      <c r="J68" s="627"/>
      <c r="K68" s="627"/>
      <c r="L68" s="627"/>
      <c r="M68" s="627"/>
      <c r="N68" s="627"/>
      <c r="O68" s="627"/>
      <c r="P68" s="627"/>
      <c r="Q68" s="627"/>
      <c r="R68" s="627"/>
      <c r="S68" s="627"/>
      <c r="T68" s="627"/>
      <c r="U68" s="627"/>
      <c r="V68" s="627"/>
      <c r="W68" s="627"/>
      <c r="X68" s="627"/>
      <c r="Y68" s="627"/>
      <c r="Z68" s="627"/>
      <c r="AA68" s="627"/>
      <c r="AB68" s="627"/>
      <c r="AC68" s="627"/>
      <c r="AD68" s="627"/>
      <c r="AE68" s="627"/>
      <c r="AF68" s="627"/>
      <c r="AG68" s="625"/>
      <c r="AH68" s="625"/>
      <c r="AI68" s="625"/>
      <c r="AJ68" s="625"/>
      <c r="AK68" s="625"/>
      <c r="AL68" s="625"/>
    </row>
    <row r="69" spans="1:73" s="4" customFormat="1" x14ac:dyDescent="0.25">
      <c r="A69" s="627"/>
      <c r="B69" s="627"/>
      <c r="C69" s="627"/>
      <c r="D69" s="627"/>
      <c r="E69" s="627"/>
      <c r="F69" s="627"/>
      <c r="G69" s="627"/>
      <c r="H69" s="627"/>
      <c r="I69" s="627"/>
      <c r="J69" s="627"/>
      <c r="K69" s="627"/>
      <c r="L69" s="627"/>
      <c r="M69" s="627"/>
      <c r="N69" s="627"/>
      <c r="O69" s="627"/>
      <c r="P69" s="627"/>
      <c r="Q69" s="627"/>
      <c r="R69" s="627"/>
      <c r="S69" s="627"/>
      <c r="T69" s="627"/>
      <c r="U69" s="627"/>
      <c r="V69" s="627"/>
      <c r="W69" s="627"/>
      <c r="X69" s="627"/>
      <c r="Y69" s="627"/>
      <c r="Z69" s="627"/>
      <c r="AA69" s="627"/>
      <c r="AB69" s="627"/>
      <c r="AC69" s="627"/>
      <c r="AD69" s="627"/>
      <c r="AE69" s="627"/>
      <c r="AF69" s="627"/>
      <c r="AG69" s="625"/>
      <c r="AH69" s="625"/>
      <c r="AI69" s="625"/>
      <c r="AJ69" s="625"/>
      <c r="AK69" s="625"/>
      <c r="AL69" s="625"/>
    </row>
    <row r="70" spans="1:73" s="4" customFormat="1" x14ac:dyDescent="0.25">
      <c r="A70" s="627"/>
      <c r="B70" s="627"/>
      <c r="C70" s="627"/>
      <c r="D70" s="627"/>
      <c r="E70" s="627"/>
      <c r="F70" s="627"/>
      <c r="G70" s="627"/>
      <c r="H70" s="627"/>
      <c r="I70" s="627"/>
      <c r="J70" s="627"/>
      <c r="K70" s="627"/>
      <c r="L70" s="627"/>
      <c r="M70" s="627"/>
      <c r="N70" s="627"/>
      <c r="O70" s="627"/>
      <c r="P70" s="627"/>
      <c r="Q70" s="627"/>
      <c r="R70" s="627"/>
      <c r="S70" s="627"/>
      <c r="T70" s="627"/>
      <c r="U70" s="627"/>
      <c r="V70" s="627"/>
      <c r="W70" s="627"/>
      <c r="X70" s="627"/>
      <c r="Y70" s="627"/>
      <c r="Z70" s="627"/>
      <c r="AA70" s="627"/>
      <c r="AB70" s="627"/>
      <c r="AC70" s="627"/>
      <c r="AD70" s="627"/>
      <c r="AE70" s="627"/>
      <c r="AF70" s="627"/>
      <c r="AG70" s="625"/>
      <c r="AH70" s="625"/>
      <c r="AI70" s="625"/>
      <c r="AJ70" s="625"/>
      <c r="AK70" s="625"/>
      <c r="AL70" s="625"/>
    </row>
    <row r="71" spans="1:73" ht="14.25" customHeight="1" x14ac:dyDescent="0.25">
      <c r="A71" s="636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25"/>
      <c r="S71" s="625"/>
      <c r="T71" s="625"/>
      <c r="U71" s="625"/>
      <c r="V71" s="625"/>
      <c r="W71" s="625"/>
      <c r="X71" s="625"/>
      <c r="Y71" s="625"/>
      <c r="Z71" s="625"/>
      <c r="AA71" s="625"/>
      <c r="AB71" s="625"/>
      <c r="AC71" s="625"/>
      <c r="AD71" s="625"/>
      <c r="AE71" s="625"/>
      <c r="AF71" s="625"/>
      <c r="AG71" s="625"/>
      <c r="AH71" s="625"/>
      <c r="AI71" s="625"/>
      <c r="AJ71" s="625"/>
      <c r="AK71" s="625"/>
      <c r="AL71" s="625"/>
    </row>
    <row r="72" spans="1:73" ht="14.25" customHeight="1" x14ac:dyDescent="0.25">
      <c r="A72" s="636"/>
      <c r="B72" s="637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25"/>
      <c r="S72" s="625"/>
      <c r="T72" s="625"/>
      <c r="U72" s="625"/>
      <c r="V72" s="625"/>
      <c r="W72" s="625"/>
      <c r="X72" s="625"/>
      <c r="Y72" s="625"/>
      <c r="Z72" s="625"/>
      <c r="AA72" s="625"/>
      <c r="AB72" s="625"/>
      <c r="AC72" s="625"/>
      <c r="AD72" s="625"/>
      <c r="AE72" s="625"/>
      <c r="AF72" s="625"/>
      <c r="AG72" s="625"/>
      <c r="AH72" s="625"/>
      <c r="AI72" s="625"/>
      <c r="AJ72" s="625"/>
      <c r="AK72" s="625"/>
      <c r="AL72" s="625"/>
    </row>
    <row r="73" spans="1:73" ht="14.25" customHeight="1" x14ac:dyDescent="0.25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25"/>
      <c r="S73" s="625"/>
      <c r="T73" s="625"/>
      <c r="U73" s="625"/>
      <c r="V73" s="625"/>
      <c r="W73" s="625"/>
      <c r="X73" s="625"/>
      <c r="Y73" s="625"/>
      <c r="Z73" s="625"/>
      <c r="AA73" s="625"/>
      <c r="AB73" s="625"/>
      <c r="AC73" s="625"/>
      <c r="AD73" s="625"/>
      <c r="AE73" s="625"/>
      <c r="AF73" s="625"/>
      <c r="AG73" s="625"/>
      <c r="AH73" s="625"/>
      <c r="AI73" s="625"/>
      <c r="AJ73" s="625"/>
      <c r="AK73" s="625"/>
      <c r="AL73" s="625"/>
    </row>
    <row r="74" spans="1:73" ht="14.25" customHeight="1" thickBo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73" ht="14.25" customHeight="1" thickBot="1" x14ac:dyDescent="0.3">
      <c r="A75" s="915" t="s">
        <v>36</v>
      </c>
      <c r="B75" s="916"/>
      <c r="C75" s="916"/>
      <c r="D75" s="916"/>
      <c r="E75" s="916"/>
      <c r="F75" s="916"/>
      <c r="G75" s="916"/>
      <c r="H75" s="931"/>
      <c r="I75" s="917" t="s">
        <v>1</v>
      </c>
      <c r="J75" s="902"/>
      <c r="K75" s="902"/>
      <c r="L75" s="902"/>
      <c r="M75" s="902"/>
      <c r="N75" s="902"/>
      <c r="O75" s="902"/>
      <c r="P75" s="903"/>
      <c r="Q75" s="917" t="s">
        <v>0</v>
      </c>
      <c r="R75" s="902"/>
      <c r="S75" s="902"/>
      <c r="T75" s="902"/>
      <c r="U75" s="902"/>
      <c r="V75" s="902"/>
      <c r="W75" s="902"/>
      <c r="X75" s="902"/>
      <c r="Y75" s="903"/>
      <c r="Z75" s="918"/>
      <c r="AA75" s="919"/>
      <c r="AB75" s="919"/>
      <c r="AC75" s="919"/>
      <c r="AD75" s="919"/>
      <c r="AE75" s="919"/>
      <c r="AF75" s="919"/>
      <c r="AG75" s="919"/>
      <c r="AH75" s="932"/>
      <c r="AI75" s="888" t="s">
        <v>42</v>
      </c>
      <c r="AJ75" s="889"/>
      <c r="AK75" s="889"/>
      <c r="AL75" s="889"/>
      <c r="AM75" s="889"/>
      <c r="AN75" s="889"/>
      <c r="AO75" s="889"/>
      <c r="AP75" s="890"/>
      <c r="AQ75" s="888" t="s">
        <v>43</v>
      </c>
      <c r="AR75" s="902"/>
      <c r="AS75" s="902"/>
      <c r="AT75" s="902"/>
      <c r="AU75" s="902"/>
      <c r="AV75" s="902"/>
      <c r="AW75" s="902"/>
      <c r="AX75" s="902"/>
      <c r="AY75" s="903"/>
      <c r="AZ75" s="900"/>
      <c r="BA75" s="900"/>
      <c r="BB75" s="900"/>
      <c r="BC75" s="900"/>
      <c r="BD75" s="928"/>
      <c r="BE75" s="901" t="s">
        <v>1</v>
      </c>
      <c r="BF75" s="902"/>
      <c r="BG75" s="902"/>
      <c r="BH75" s="902"/>
      <c r="BI75" s="902"/>
      <c r="BJ75" s="902"/>
      <c r="BK75" s="902"/>
      <c r="BL75" s="903"/>
      <c r="BM75" s="901" t="s">
        <v>0</v>
      </c>
      <c r="BN75" s="902"/>
      <c r="BO75" s="902"/>
      <c r="BP75" s="902"/>
      <c r="BQ75" s="902"/>
      <c r="BR75" s="902"/>
      <c r="BS75" s="902"/>
      <c r="BT75" s="902"/>
      <c r="BU75" s="903"/>
    </row>
    <row r="76" spans="1:73" ht="15" customHeight="1" thickBot="1" x14ac:dyDescent="0.3">
      <c r="A76" s="907" t="s">
        <v>12</v>
      </c>
      <c r="B76" s="909" t="s">
        <v>13</v>
      </c>
      <c r="C76" s="909" t="s">
        <v>14</v>
      </c>
      <c r="D76" s="911" t="s">
        <v>15</v>
      </c>
      <c r="E76" s="909" t="s">
        <v>16</v>
      </c>
      <c r="F76" s="909" t="s">
        <v>17</v>
      </c>
      <c r="G76" s="909" t="s">
        <v>18</v>
      </c>
      <c r="H76" s="929" t="s">
        <v>19</v>
      </c>
      <c r="I76" s="906"/>
      <c r="J76" s="904"/>
      <c r="K76" s="904"/>
      <c r="L76" s="904"/>
      <c r="M76" s="904"/>
      <c r="N76" s="904"/>
      <c r="O76" s="904"/>
      <c r="P76" s="905"/>
      <c r="Q76" s="906"/>
      <c r="R76" s="904"/>
      <c r="S76" s="904"/>
      <c r="T76" s="904"/>
      <c r="U76" s="904"/>
      <c r="V76" s="904"/>
      <c r="W76" s="904"/>
      <c r="X76" s="904"/>
      <c r="Y76" s="905"/>
      <c r="Z76" s="912" t="s">
        <v>40</v>
      </c>
      <c r="AA76" s="914" t="s">
        <v>12</v>
      </c>
      <c r="AB76" s="914" t="s">
        <v>13</v>
      </c>
      <c r="AC76" s="914" t="s">
        <v>14</v>
      </c>
      <c r="AD76" s="912" t="s">
        <v>41</v>
      </c>
      <c r="AE76" s="914" t="s">
        <v>16</v>
      </c>
      <c r="AF76" s="914" t="s">
        <v>17</v>
      </c>
      <c r="AG76" s="914" t="s">
        <v>18</v>
      </c>
      <c r="AH76" s="912" t="s">
        <v>19</v>
      </c>
      <c r="AI76" s="891"/>
      <c r="AJ76" s="892"/>
      <c r="AK76" s="892"/>
      <c r="AL76" s="892"/>
      <c r="AM76" s="892"/>
      <c r="AN76" s="892"/>
      <c r="AO76" s="892"/>
      <c r="AP76" s="893"/>
      <c r="AQ76" s="906"/>
      <c r="AR76" s="904"/>
      <c r="AS76" s="904"/>
      <c r="AT76" s="904"/>
      <c r="AU76" s="904"/>
      <c r="AV76" s="904"/>
      <c r="AW76" s="904"/>
      <c r="AX76" s="904"/>
      <c r="AY76" s="905"/>
      <c r="AZ76" s="897" t="s">
        <v>15</v>
      </c>
      <c r="BA76" s="899" t="s">
        <v>12</v>
      </c>
      <c r="BB76" s="899" t="s">
        <v>17</v>
      </c>
      <c r="BC76" s="899" t="s">
        <v>18</v>
      </c>
      <c r="BD76" s="897" t="s">
        <v>19</v>
      </c>
      <c r="BE76" s="904"/>
      <c r="BF76" s="904"/>
      <c r="BG76" s="904"/>
      <c r="BH76" s="904"/>
      <c r="BI76" s="904"/>
      <c r="BJ76" s="904"/>
      <c r="BK76" s="904"/>
      <c r="BL76" s="905"/>
      <c r="BM76" s="906"/>
      <c r="BN76" s="904"/>
      <c r="BO76" s="904"/>
      <c r="BP76" s="904"/>
      <c r="BQ76" s="904"/>
      <c r="BR76" s="904"/>
      <c r="BS76" s="904"/>
      <c r="BT76" s="904"/>
      <c r="BU76" s="905"/>
    </row>
    <row r="77" spans="1:73" ht="15.75" thickBot="1" x14ac:dyDescent="0.3">
      <c r="A77" s="908"/>
      <c r="B77" s="910"/>
      <c r="C77" s="910"/>
      <c r="D77" s="910"/>
      <c r="E77" s="910"/>
      <c r="F77" s="910"/>
      <c r="G77" s="910"/>
      <c r="H77" s="936"/>
      <c r="I77" s="103" t="s">
        <v>9</v>
      </c>
      <c r="J77" s="104" t="s">
        <v>5</v>
      </c>
      <c r="K77" s="104" t="s">
        <v>8</v>
      </c>
      <c r="L77" s="104" t="s">
        <v>4</v>
      </c>
      <c r="M77" s="104" t="s">
        <v>10</v>
      </c>
      <c r="N77" s="104" t="s">
        <v>6</v>
      </c>
      <c r="O77" s="104" t="s">
        <v>7</v>
      </c>
      <c r="P77" s="105" t="s">
        <v>20</v>
      </c>
      <c r="Q77" s="103" t="s">
        <v>22</v>
      </c>
      <c r="R77" s="104" t="s">
        <v>23</v>
      </c>
      <c r="S77" s="104" t="s">
        <v>24</v>
      </c>
      <c r="T77" s="104" t="s">
        <v>25</v>
      </c>
      <c r="U77" s="104" t="s">
        <v>26</v>
      </c>
      <c r="V77" s="104" t="s">
        <v>27</v>
      </c>
      <c r="W77" s="104" t="s">
        <v>28</v>
      </c>
      <c r="X77" s="104" t="s">
        <v>29</v>
      </c>
      <c r="Y77" s="105" t="s">
        <v>30</v>
      </c>
      <c r="Z77" s="913"/>
      <c r="AA77" s="913"/>
      <c r="AB77" s="913"/>
      <c r="AC77" s="913"/>
      <c r="AD77" s="913"/>
      <c r="AE77" s="913"/>
      <c r="AF77" s="913"/>
      <c r="AG77" s="913"/>
      <c r="AH77" s="913"/>
      <c r="AI77" s="109" t="s">
        <v>9</v>
      </c>
      <c r="AJ77" s="110" t="s">
        <v>5</v>
      </c>
      <c r="AK77" s="110" t="s">
        <v>8</v>
      </c>
      <c r="AL77" s="110" t="s">
        <v>4</v>
      </c>
      <c r="AM77" s="110" t="s">
        <v>10</v>
      </c>
      <c r="AN77" s="110" t="s">
        <v>6</v>
      </c>
      <c r="AO77" s="110" t="s">
        <v>7</v>
      </c>
      <c r="AP77" s="111" t="s">
        <v>20</v>
      </c>
      <c r="AQ77" s="106" t="s">
        <v>22</v>
      </c>
      <c r="AR77" s="107" t="s">
        <v>23</v>
      </c>
      <c r="AS77" s="107" t="s">
        <v>24</v>
      </c>
      <c r="AT77" s="107" t="s">
        <v>25</v>
      </c>
      <c r="AU77" s="107" t="s">
        <v>26</v>
      </c>
      <c r="AV77" s="107" t="s">
        <v>27</v>
      </c>
      <c r="AW77" s="107" t="s">
        <v>28</v>
      </c>
      <c r="AX77" s="107" t="s">
        <v>29</v>
      </c>
      <c r="AY77" s="108" t="s">
        <v>30</v>
      </c>
      <c r="AZ77" s="898"/>
      <c r="BA77" s="898"/>
      <c r="BB77" s="898"/>
      <c r="BC77" s="898"/>
      <c r="BD77" s="937"/>
      <c r="BE77" s="132" t="s">
        <v>9</v>
      </c>
      <c r="BF77" s="132" t="s">
        <v>5</v>
      </c>
      <c r="BG77" s="132" t="s">
        <v>8</v>
      </c>
      <c r="BH77" s="132" t="s">
        <v>4</v>
      </c>
      <c r="BI77" s="132" t="s">
        <v>10</v>
      </c>
      <c r="BJ77" s="132" t="s">
        <v>6</v>
      </c>
      <c r="BK77" s="132" t="s">
        <v>7</v>
      </c>
      <c r="BL77" s="132" t="s">
        <v>20</v>
      </c>
      <c r="BM77" s="131" t="s">
        <v>22</v>
      </c>
      <c r="BN77" s="131" t="s">
        <v>23</v>
      </c>
      <c r="BO77" s="131" t="s">
        <v>24</v>
      </c>
      <c r="BP77" s="131" t="s">
        <v>25</v>
      </c>
      <c r="BQ77" s="131" t="s">
        <v>26</v>
      </c>
      <c r="BR77" s="131" t="s">
        <v>27</v>
      </c>
      <c r="BS77" s="131" t="s">
        <v>28</v>
      </c>
      <c r="BT77" s="131" t="s">
        <v>29</v>
      </c>
      <c r="BU77" s="132" t="s">
        <v>30</v>
      </c>
    </row>
    <row r="78" spans="1:73" x14ac:dyDescent="0.25">
      <c r="A78" s="168">
        <v>34.405688306747003</v>
      </c>
      <c r="B78" s="115">
        <v>45</v>
      </c>
      <c r="C78" s="223">
        <v>65</v>
      </c>
      <c r="D78" s="210" t="s">
        <v>9</v>
      </c>
      <c r="E78" s="255">
        <v>30</v>
      </c>
      <c r="F78" s="169">
        <v>40.840962046469599</v>
      </c>
      <c r="G78" s="170">
        <v>109.15903795353</v>
      </c>
      <c r="H78" s="165" t="s">
        <v>21</v>
      </c>
      <c r="I78" s="114">
        <v>144.40600000000001</v>
      </c>
      <c r="J78" s="115">
        <v>4.7377200000000004</v>
      </c>
      <c r="K78" s="115">
        <v>56.852600000000002</v>
      </c>
      <c r="L78" s="115">
        <v>1.4440599999999999</v>
      </c>
      <c r="M78" s="116">
        <v>8.9729499999999999E-4</v>
      </c>
      <c r="N78" s="115">
        <v>1444.06</v>
      </c>
      <c r="O78" s="115">
        <v>1.57924</v>
      </c>
      <c r="P78" s="117">
        <v>1444057</v>
      </c>
      <c r="Q78" s="114">
        <v>73125</v>
      </c>
      <c r="R78" s="115">
        <v>731.25</v>
      </c>
      <c r="S78" s="115">
        <v>7.3125</v>
      </c>
      <c r="T78" s="115">
        <v>7.3124999999999996E-2</v>
      </c>
      <c r="U78" s="115">
        <v>113.34399999999999</v>
      </c>
      <c r="V78" s="115">
        <v>0.78711100000000001</v>
      </c>
      <c r="W78" s="123">
        <v>7.3125000000000002E-4</v>
      </c>
      <c r="X78" s="124">
        <v>7.3124999999999999E-6</v>
      </c>
      <c r="Y78" s="125">
        <v>1.8069581019786499E-5</v>
      </c>
      <c r="Z78" s="142">
        <v>1</v>
      </c>
      <c r="AA78" s="13">
        <v>34.405701999999998</v>
      </c>
      <c r="AB78" s="7">
        <v>45</v>
      </c>
      <c r="AC78" s="14">
        <v>65</v>
      </c>
      <c r="AD78" s="18" t="s">
        <v>9</v>
      </c>
      <c r="AE78" s="13">
        <v>30</v>
      </c>
      <c r="AF78" s="7">
        <v>40.840969999999999</v>
      </c>
      <c r="AG78" s="14">
        <v>109.15903</v>
      </c>
      <c r="AH78" s="18" t="s">
        <v>21</v>
      </c>
      <c r="AI78" s="13">
        <f>AA78+AB78+AC78</f>
        <v>144.40570199999999</v>
      </c>
      <c r="AJ78" s="7">
        <v>4.73773</v>
      </c>
      <c r="AK78" s="7">
        <v>56.852800000000002</v>
      </c>
      <c r="AL78" s="7">
        <v>1.4440599999999999</v>
      </c>
      <c r="AM78" s="163">
        <v>8.9729700000000003E-4</v>
      </c>
      <c r="AN78" s="7">
        <v>1444.06</v>
      </c>
      <c r="AO78" s="7">
        <v>1.57924</v>
      </c>
      <c r="AP78" s="14">
        <v>1444060</v>
      </c>
      <c r="AQ78" s="8">
        <v>73125</v>
      </c>
      <c r="AR78" s="12">
        <f>SQRT((AI78/2)*(AI78/2-AA78)*(AI78/2-AB78)*(AI78/2-AC78))</f>
        <v>731.25040800683269</v>
      </c>
      <c r="AS78" s="7">
        <v>7.3125</v>
      </c>
      <c r="AT78" s="7">
        <v>7.3124999999999996E-2</v>
      </c>
      <c r="AU78" s="7">
        <v>113.34399999999999</v>
      </c>
      <c r="AV78" s="7">
        <v>0.78711100000000001</v>
      </c>
      <c r="AW78" s="21">
        <v>7.3125000000000002E-4</v>
      </c>
      <c r="AX78" s="22">
        <v>7.3124999999999999E-6</v>
      </c>
      <c r="AY78" s="41">
        <v>1.8069581019786499E-5</v>
      </c>
      <c r="AZ78" s="237" t="s">
        <v>9</v>
      </c>
      <c r="BA78" s="250">
        <f>(100*(A78-AA78))/AA78</f>
        <v>-3.9799371033018691E-5</v>
      </c>
      <c r="BB78" s="90">
        <f>(100*(F78-AF78))/AF78</f>
        <v>-1.947439152306643E-5</v>
      </c>
      <c r="BC78" s="233">
        <f>(100*(G78-AG78))/AG78</f>
        <v>7.2861860367522232E-6</v>
      </c>
      <c r="BD78" s="237" t="s">
        <v>21</v>
      </c>
      <c r="BE78" s="133">
        <f t="shared" ref="BE78:BE101" si="21">(100*(I78-AI78))/AI78</f>
        <v>2.0636304237834632E-4</v>
      </c>
      <c r="BF78" s="91">
        <f t="shared" ref="BF78:BF101" si="22">(100*(J78-AJ78))/AJ78</f>
        <v>-2.1107154691426955E-4</v>
      </c>
      <c r="BG78" s="91">
        <f t="shared" ref="BG78:BG101" si="23">(100*(K78-AK78))/AK78</f>
        <v>-3.5178566402979954E-4</v>
      </c>
      <c r="BH78" s="91">
        <f t="shared" ref="BH78:BH101" si="24">(100*(L78-AL78))/AL78</f>
        <v>0</v>
      </c>
      <c r="BI78" s="91">
        <f t="shared" ref="BI78:BI101" si="25">(100*(M78-AM78))/AM78</f>
        <v>-2.2289164011820951E-4</v>
      </c>
      <c r="BJ78" s="91">
        <f t="shared" ref="BJ78:BJ101" si="26">(100*(N78-AN78))/AN78</f>
        <v>0</v>
      </c>
      <c r="BK78" s="92">
        <f t="shared" ref="BK78:BK101" si="27">(100*(O78-AO78))/AO78</f>
        <v>0</v>
      </c>
      <c r="BL78" s="95">
        <f t="shared" ref="BL78:BL101" si="28">(100*(P78-AP78))/AP78</f>
        <v>-2.0774760051521404E-4</v>
      </c>
      <c r="BM78" s="138">
        <f t="shared" ref="BM78:BM101" si="29">(100*(Q78-AQ78))/AQ78</f>
        <v>0</v>
      </c>
      <c r="BN78" s="93">
        <f t="shared" ref="BN78:BN101" si="30">(100*(R78-AR78))/AR78</f>
        <v>-5.57957750475405E-5</v>
      </c>
      <c r="BO78" s="92">
        <f t="shared" ref="BO78:BO101" si="31">(100*(S78-AS78))/AS78</f>
        <v>0</v>
      </c>
      <c r="BP78" s="93">
        <f t="shared" ref="BP78:BP101" si="32">(100*(T78-AT78))/AT78</f>
        <v>0</v>
      </c>
      <c r="BQ78" s="93">
        <f t="shared" ref="BQ78:BQ101" si="33">(100*(U78-AU78))/AU78</f>
        <v>0</v>
      </c>
      <c r="BR78" s="94">
        <f t="shared" ref="BR78:BR101" si="34">(100*(V78-AV78))/AV78</f>
        <v>0</v>
      </c>
      <c r="BS78" s="93">
        <f t="shared" ref="BS78:BS101" si="35">(100*(W78-AW78))/AW78</f>
        <v>0</v>
      </c>
      <c r="BT78" s="93">
        <f t="shared" ref="BT78:BT101" si="36">(100*(X78-AX78))/AX78</f>
        <v>0</v>
      </c>
      <c r="BU78" s="95">
        <f t="shared" ref="BU78:BU101" si="37">(100*(Y78-AY78))/AY78</f>
        <v>0</v>
      </c>
    </row>
    <row r="79" spans="1:73" x14ac:dyDescent="0.25">
      <c r="A79" s="171">
        <v>88.408144421201399</v>
      </c>
      <c r="B79" s="57">
        <v>54</v>
      </c>
      <c r="C79" s="112">
        <v>70</v>
      </c>
      <c r="D79" s="211" t="s">
        <v>5</v>
      </c>
      <c r="E79" s="246">
        <v>90</v>
      </c>
      <c r="F79" s="60">
        <v>37.647620640107597</v>
      </c>
      <c r="G79" s="172">
        <v>52.352379359892403</v>
      </c>
      <c r="H79" s="166" t="s">
        <v>21</v>
      </c>
      <c r="I79" s="118">
        <v>6474.2</v>
      </c>
      <c r="J79" s="1">
        <v>212.40799999999999</v>
      </c>
      <c r="K79" s="1">
        <v>2548.9</v>
      </c>
      <c r="L79" s="1">
        <v>64.742000000000004</v>
      </c>
      <c r="M79" s="1">
        <v>4.0228800000000002E-2</v>
      </c>
      <c r="N79" s="1">
        <v>64742</v>
      </c>
      <c r="O79" s="1">
        <v>70.802700000000002</v>
      </c>
      <c r="P79" s="119">
        <v>64742002</v>
      </c>
      <c r="Q79" s="118">
        <v>175586746</v>
      </c>
      <c r="R79" s="1">
        <v>1755867</v>
      </c>
      <c r="S79" s="1">
        <v>17558.7</v>
      </c>
      <c r="T79" s="1">
        <v>175.58699999999999</v>
      </c>
      <c r="U79" s="1">
        <v>272160</v>
      </c>
      <c r="V79" s="1">
        <v>1890</v>
      </c>
      <c r="W79" s="1">
        <v>1.75587</v>
      </c>
      <c r="X79" s="52">
        <v>1.75587E-2</v>
      </c>
      <c r="Y79" s="119">
        <v>4.3388400000000001E-2</v>
      </c>
      <c r="Z79" s="143">
        <v>2</v>
      </c>
      <c r="AA79" s="15">
        <v>88.408079999999998</v>
      </c>
      <c r="AB79" s="34">
        <v>54</v>
      </c>
      <c r="AC79" s="16">
        <v>70</v>
      </c>
      <c r="AD79" s="19" t="s">
        <v>5</v>
      </c>
      <c r="AE79" s="15">
        <v>90</v>
      </c>
      <c r="AF79" s="34">
        <v>37.647599999999997</v>
      </c>
      <c r="AG79" s="2">
        <v>52.352400000000003</v>
      </c>
      <c r="AH79" s="19" t="s">
        <v>21</v>
      </c>
      <c r="AI79" s="15">
        <v>6474.2</v>
      </c>
      <c r="AJ79" s="2">
        <f>AA79+AB79+AC79</f>
        <v>212.40807999999998</v>
      </c>
      <c r="AK79" s="2">
        <v>2548.9</v>
      </c>
      <c r="AL79" s="2">
        <v>64.742000000000004</v>
      </c>
      <c r="AM79" s="2">
        <v>4.0228800000000002E-2</v>
      </c>
      <c r="AN79" s="2">
        <v>64742</v>
      </c>
      <c r="AO79" s="2">
        <v>70.802700000000002</v>
      </c>
      <c r="AP79" s="16">
        <v>64741958</v>
      </c>
      <c r="AQ79" s="15">
        <v>175586746</v>
      </c>
      <c r="AR79" s="2">
        <v>1755867</v>
      </c>
      <c r="AS79" s="2">
        <v>17558.7</v>
      </c>
      <c r="AT79" s="2">
        <v>175.58699999999999</v>
      </c>
      <c r="AU79" s="2">
        <v>272160</v>
      </c>
      <c r="AV79" s="2">
        <f>SQRT((AJ79/2)*(AJ79/2-AA79)*(AJ79/2-AB79)*(AJ79/2-AC79))</f>
        <v>1889.9999999978538</v>
      </c>
      <c r="AW79" s="2">
        <v>1.75587</v>
      </c>
      <c r="AX79" s="23">
        <v>1.75587E-2</v>
      </c>
      <c r="AY79" s="42">
        <v>4.3388400000000001E-2</v>
      </c>
      <c r="AZ79" s="238" t="s">
        <v>5</v>
      </c>
      <c r="BA79" s="251">
        <f t="shared" ref="BA79:BA101" si="38">(100*(A79-AA79))/AA79</f>
        <v>7.2868001885045648E-5</v>
      </c>
      <c r="BB79" s="73">
        <f>(100*(F79-AF79))/AF79</f>
        <v>5.4824497710199771E-5</v>
      </c>
      <c r="BC79" s="234">
        <f t="shared" ref="BC79:BC101" si="39">(100*(G79-AG79))/AG79</f>
        <v>-3.9425332171868275E-5</v>
      </c>
      <c r="BD79" s="238" t="s">
        <v>21</v>
      </c>
      <c r="BE79" s="134">
        <f t="shared" si="21"/>
        <v>0</v>
      </c>
      <c r="BF79" s="82">
        <f t="shared" si="22"/>
        <v>-3.7663350658304234E-5</v>
      </c>
      <c r="BG79" s="82">
        <f t="shared" si="23"/>
        <v>0</v>
      </c>
      <c r="BH79" s="82">
        <f t="shared" si="24"/>
        <v>0</v>
      </c>
      <c r="BI79" s="82">
        <f t="shared" si="25"/>
        <v>0</v>
      </c>
      <c r="BJ79" s="82">
        <f t="shared" si="26"/>
        <v>0</v>
      </c>
      <c r="BK79" s="83">
        <f t="shared" si="27"/>
        <v>0</v>
      </c>
      <c r="BL79" s="96">
        <f t="shared" si="28"/>
        <v>6.796210890007373E-5</v>
      </c>
      <c r="BM79" s="139">
        <f t="shared" si="29"/>
        <v>0</v>
      </c>
      <c r="BN79" s="80">
        <f t="shared" si="30"/>
        <v>0</v>
      </c>
      <c r="BO79" s="83">
        <f t="shared" si="31"/>
        <v>0</v>
      </c>
      <c r="BP79" s="80">
        <f t="shared" si="32"/>
        <v>0</v>
      </c>
      <c r="BQ79" s="80">
        <f t="shared" si="33"/>
        <v>0</v>
      </c>
      <c r="BR79" s="81">
        <f t="shared" si="34"/>
        <v>1.1355450383656638E-10</v>
      </c>
      <c r="BS79" s="80">
        <f t="shared" si="35"/>
        <v>0</v>
      </c>
      <c r="BT79" s="80">
        <f t="shared" si="36"/>
        <v>0</v>
      </c>
      <c r="BU79" s="96">
        <f t="shared" si="37"/>
        <v>0</v>
      </c>
    </row>
    <row r="80" spans="1:73" x14ac:dyDescent="0.25">
      <c r="A80" s="173">
        <v>57</v>
      </c>
      <c r="B80" s="57">
        <v>57</v>
      </c>
      <c r="C80" s="112">
        <v>57</v>
      </c>
      <c r="D80" s="211" t="s">
        <v>8</v>
      </c>
      <c r="E80" s="246">
        <v>60</v>
      </c>
      <c r="F80" s="60">
        <v>60</v>
      </c>
      <c r="G80" s="174">
        <v>60</v>
      </c>
      <c r="H80" s="166" t="s">
        <v>21</v>
      </c>
      <c r="I80" s="118">
        <v>434.34</v>
      </c>
      <c r="J80" s="1">
        <v>14.25</v>
      </c>
      <c r="K80" s="1">
        <v>171</v>
      </c>
      <c r="L80" s="1">
        <v>4.3433999999999999</v>
      </c>
      <c r="M80" s="1">
        <v>2.69886E-3</v>
      </c>
      <c r="N80" s="1">
        <v>4343.3999999999996</v>
      </c>
      <c r="O80" s="1">
        <v>4.75</v>
      </c>
      <c r="P80" s="119">
        <v>4343400</v>
      </c>
      <c r="Q80" s="118">
        <v>907649</v>
      </c>
      <c r="R80" s="1">
        <v>9076.49</v>
      </c>
      <c r="S80" s="1">
        <v>90.764899999999997</v>
      </c>
      <c r="T80" s="1">
        <v>0.90764900000000004</v>
      </c>
      <c r="U80" s="1">
        <v>1406.86</v>
      </c>
      <c r="V80" s="1">
        <v>9.7698499999999999</v>
      </c>
      <c r="W80" s="49">
        <v>9.0764899999999996E-3</v>
      </c>
      <c r="X80" s="58">
        <v>9.0764868047179601E-5</v>
      </c>
      <c r="Y80" s="126">
        <v>2.2428500000000001E-4</v>
      </c>
      <c r="Z80" s="143">
        <v>3</v>
      </c>
      <c r="AA80" s="15">
        <v>57</v>
      </c>
      <c r="AB80" s="2">
        <v>57</v>
      </c>
      <c r="AC80" s="16">
        <v>57</v>
      </c>
      <c r="AD80" s="19" t="s">
        <v>8</v>
      </c>
      <c r="AE80" s="15">
        <v>60</v>
      </c>
      <c r="AF80" s="2">
        <v>60</v>
      </c>
      <c r="AG80" s="16">
        <v>60</v>
      </c>
      <c r="AH80" s="19" t="s">
        <v>21</v>
      </c>
      <c r="AI80" s="15">
        <v>434.34</v>
      </c>
      <c r="AJ80" s="2">
        <v>14.25</v>
      </c>
      <c r="AK80" s="2">
        <f>AA80+AB80+AC80</f>
        <v>171</v>
      </c>
      <c r="AL80" s="2">
        <v>4.3433999999999999</v>
      </c>
      <c r="AM80" s="2">
        <v>2.69886E-3</v>
      </c>
      <c r="AN80" s="2">
        <v>4343.3999999999996</v>
      </c>
      <c r="AO80" s="2">
        <v>4.75</v>
      </c>
      <c r="AP80" s="16">
        <v>4343400</v>
      </c>
      <c r="AQ80" s="27">
        <v>907650</v>
      </c>
      <c r="AR80" s="26">
        <v>9076.5</v>
      </c>
      <c r="AS80" s="2">
        <v>90.765000000000001</v>
      </c>
      <c r="AT80" s="2">
        <v>0.90764999999999996</v>
      </c>
      <c r="AU80" s="2">
        <f>SQRT((AK80/2)*(AK80/2-AA80)*(AK80/2-AB80)*(AK80/2-AC80))</f>
        <v>1406.8582684478206</v>
      </c>
      <c r="AV80" s="2">
        <v>9.7698599999999995</v>
      </c>
      <c r="AW80" s="24">
        <v>9.0764999999999995E-3</v>
      </c>
      <c r="AX80" s="25">
        <v>9.0764979760000005E-5</v>
      </c>
      <c r="AY80" s="43">
        <v>2.2428500000000001E-4</v>
      </c>
      <c r="AZ80" s="238" t="s">
        <v>8</v>
      </c>
      <c r="BA80" s="251">
        <f t="shared" si="38"/>
        <v>0</v>
      </c>
      <c r="BB80" s="73">
        <f>(100*(F80-AF80))/AF80</f>
        <v>0</v>
      </c>
      <c r="BC80" s="234">
        <f t="shared" si="39"/>
        <v>0</v>
      </c>
      <c r="BD80" s="238" t="s">
        <v>21</v>
      </c>
      <c r="BE80" s="134">
        <f t="shared" si="21"/>
        <v>0</v>
      </c>
      <c r="BF80" s="82">
        <f t="shared" si="22"/>
        <v>0</v>
      </c>
      <c r="BG80" s="82">
        <f t="shared" si="23"/>
        <v>0</v>
      </c>
      <c r="BH80" s="82">
        <f t="shared" si="24"/>
        <v>0</v>
      </c>
      <c r="BI80" s="82">
        <f t="shared" si="25"/>
        <v>0</v>
      </c>
      <c r="BJ80" s="82">
        <f t="shared" si="26"/>
        <v>0</v>
      </c>
      <c r="BK80" s="83">
        <f t="shared" si="27"/>
        <v>0</v>
      </c>
      <c r="BL80" s="96">
        <f t="shared" si="28"/>
        <v>0</v>
      </c>
      <c r="BM80" s="139">
        <f t="shared" si="29"/>
        <v>-1.1017462678345177E-4</v>
      </c>
      <c r="BN80" s="80">
        <f t="shared" si="30"/>
        <v>-1.1017462678585665E-4</v>
      </c>
      <c r="BO80" s="83">
        <f t="shared" si="31"/>
        <v>-1.1017462678710919E-4</v>
      </c>
      <c r="BP80" s="80">
        <f t="shared" si="32"/>
        <v>-1.1017462677438808E-4</v>
      </c>
      <c r="BQ80" s="80">
        <f t="shared" si="33"/>
        <v>1.230793618761892E-4</v>
      </c>
      <c r="BR80" s="81">
        <f t="shared" si="34"/>
        <v>-1.0235561205197847E-4</v>
      </c>
      <c r="BS80" s="80">
        <f t="shared" si="35"/>
        <v>-1.1017462678279748E-4</v>
      </c>
      <c r="BT80" s="80">
        <f t="shared" si="36"/>
        <v>-1.2307921039553845E-4</v>
      </c>
      <c r="BU80" s="96">
        <f t="shared" si="37"/>
        <v>0</v>
      </c>
    </row>
    <row r="81" spans="1:73" x14ac:dyDescent="0.25">
      <c r="A81" s="171">
        <v>39.814680356218503</v>
      </c>
      <c r="B81" s="57">
        <v>100</v>
      </c>
      <c r="C81" s="112">
        <v>70</v>
      </c>
      <c r="D81" s="211" t="s">
        <v>4</v>
      </c>
      <c r="E81" s="246">
        <v>18</v>
      </c>
      <c r="F81" s="60">
        <v>129.09164840628699</v>
      </c>
      <c r="G81" s="175">
        <v>32.908351593713</v>
      </c>
      <c r="H81" s="166" t="s">
        <v>21</v>
      </c>
      <c r="I81" s="118">
        <v>20981.5</v>
      </c>
      <c r="J81" s="1">
        <v>688.36800000000005</v>
      </c>
      <c r="K81" s="1">
        <v>8260.42</v>
      </c>
      <c r="L81" s="1">
        <v>209.815</v>
      </c>
      <c r="M81" s="1">
        <v>0.13037299999999999</v>
      </c>
      <c r="N81" s="1">
        <v>209815</v>
      </c>
      <c r="O81" s="1">
        <v>229.45599999999999</v>
      </c>
      <c r="P81" s="119">
        <v>209814680</v>
      </c>
      <c r="Q81" s="118">
        <v>1081559480</v>
      </c>
      <c r="R81" s="1">
        <v>10815595</v>
      </c>
      <c r="S81" s="1">
        <v>108156</v>
      </c>
      <c r="T81" s="1">
        <v>1081.56</v>
      </c>
      <c r="U81" s="1">
        <v>1676421</v>
      </c>
      <c r="V81" s="1">
        <v>11641.8</v>
      </c>
      <c r="W81" s="1">
        <v>10.8156</v>
      </c>
      <c r="X81" s="1">
        <v>0.108156</v>
      </c>
      <c r="Y81" s="119">
        <v>0.26725900000000002</v>
      </c>
      <c r="Z81" s="143">
        <v>4</v>
      </c>
      <c r="AA81" s="2">
        <v>39.814618000000003</v>
      </c>
      <c r="AB81" s="2">
        <v>100</v>
      </c>
      <c r="AC81" s="35">
        <v>70</v>
      </c>
      <c r="AD81" s="19" t="s">
        <v>4</v>
      </c>
      <c r="AE81" s="15">
        <v>18</v>
      </c>
      <c r="AF81" s="2">
        <v>129.0916</v>
      </c>
      <c r="AG81" s="16">
        <v>32.9084</v>
      </c>
      <c r="AH81" s="19" t="s">
        <v>21</v>
      </c>
      <c r="AI81" s="15">
        <v>20981.5</v>
      </c>
      <c r="AJ81" s="2">
        <v>688.36900000000003</v>
      </c>
      <c r="AK81" s="2">
        <v>8260.43</v>
      </c>
      <c r="AL81" s="2">
        <f>AA81+AB81+AC81</f>
        <v>209.814618</v>
      </c>
      <c r="AM81" s="2">
        <v>0.13037299999999999</v>
      </c>
      <c r="AN81" s="29">
        <v>209815</v>
      </c>
      <c r="AO81" s="2">
        <v>229.45599999999999</v>
      </c>
      <c r="AP81" s="16">
        <v>209815000</v>
      </c>
      <c r="AQ81" s="15">
        <v>1081560000</v>
      </c>
      <c r="AR81" s="2">
        <v>10815600</v>
      </c>
      <c r="AS81" s="2">
        <v>108156</v>
      </c>
      <c r="AT81" s="2">
        <f>SQRT((AL81/2)*(AL81/2-AA81)*(AL81/2-AB81)*(AL81/2-AC81))</f>
        <v>1081.5556598363034</v>
      </c>
      <c r="AU81" s="2">
        <v>1676421</v>
      </c>
      <c r="AV81" s="2">
        <v>11641.8</v>
      </c>
      <c r="AW81" s="2">
        <v>10.8156</v>
      </c>
      <c r="AX81" s="2">
        <v>0.108156</v>
      </c>
      <c r="AY81" s="42">
        <v>0.26725900000000002</v>
      </c>
      <c r="AZ81" s="238" t="s">
        <v>4</v>
      </c>
      <c r="BA81" s="251">
        <f t="shared" si="38"/>
        <v>1.5661639275256888E-4</v>
      </c>
      <c r="BB81" s="73">
        <f>(100*(F81-AF81))/AF81</f>
        <v>3.7497627260786739E-5</v>
      </c>
      <c r="BC81" s="234">
        <f t="shared" si="39"/>
        <v>-1.4709401550999502E-4</v>
      </c>
      <c r="BD81" s="238" t="s">
        <v>21</v>
      </c>
      <c r="BE81" s="134">
        <f t="shared" si="21"/>
        <v>0</v>
      </c>
      <c r="BF81" s="82">
        <f t="shared" si="22"/>
        <v>-1.4527092300442831E-4</v>
      </c>
      <c r="BG81" s="82">
        <f t="shared" si="23"/>
        <v>-1.2105907319858988E-4</v>
      </c>
      <c r="BH81" s="82">
        <f t="shared" si="24"/>
        <v>1.8206548411316167E-4</v>
      </c>
      <c r="BI81" s="82">
        <f t="shared" si="25"/>
        <v>0</v>
      </c>
      <c r="BJ81" s="82">
        <f t="shared" si="26"/>
        <v>0</v>
      </c>
      <c r="BK81" s="83">
        <f t="shared" si="27"/>
        <v>0</v>
      </c>
      <c r="BL81" s="96">
        <f t="shared" si="28"/>
        <v>-1.5251531110740415E-4</v>
      </c>
      <c r="BM81" s="139">
        <f t="shared" si="29"/>
        <v>-4.8078701135397018E-5</v>
      </c>
      <c r="BN81" s="80">
        <f t="shared" si="30"/>
        <v>-4.6229520322497132E-5</v>
      </c>
      <c r="BO81" s="83">
        <f t="shared" si="31"/>
        <v>0</v>
      </c>
      <c r="BP81" s="80">
        <f t="shared" si="32"/>
        <v>4.0128898194237666E-4</v>
      </c>
      <c r="BQ81" s="80">
        <f t="shared" si="33"/>
        <v>0</v>
      </c>
      <c r="BR81" s="81">
        <f t="shared" si="34"/>
        <v>0</v>
      </c>
      <c r="BS81" s="80">
        <f t="shared" si="35"/>
        <v>0</v>
      </c>
      <c r="BT81" s="80">
        <f t="shared" si="36"/>
        <v>0</v>
      </c>
      <c r="BU81" s="96">
        <f t="shared" si="37"/>
        <v>0</v>
      </c>
    </row>
    <row r="82" spans="1:73" x14ac:dyDescent="0.25">
      <c r="A82" s="171">
        <v>45.689246987177697</v>
      </c>
      <c r="B82" s="57">
        <v>45.689301999999998</v>
      </c>
      <c r="C82" s="112">
        <v>70</v>
      </c>
      <c r="D82" s="211" t="s">
        <v>10</v>
      </c>
      <c r="E82" s="246">
        <v>40</v>
      </c>
      <c r="F82" s="60">
        <v>40.000057887696997</v>
      </c>
      <c r="G82" s="174">
        <v>99.999942112303003</v>
      </c>
      <c r="H82" s="166" t="s">
        <v>21</v>
      </c>
      <c r="I82" s="120">
        <v>25971360</v>
      </c>
      <c r="J82" s="1">
        <v>852079</v>
      </c>
      <c r="K82" s="1">
        <v>10224945</v>
      </c>
      <c r="L82" s="1">
        <v>259714</v>
      </c>
      <c r="M82" s="1">
        <v>161.37899999999999</v>
      </c>
      <c r="N82" s="1">
        <v>259713600</v>
      </c>
      <c r="O82" s="1">
        <v>284026</v>
      </c>
      <c r="P82" s="164">
        <v>259713599541</v>
      </c>
      <c r="Q82" s="120">
        <v>2662243864704850</v>
      </c>
      <c r="R82" s="59">
        <v>26622438647048</v>
      </c>
      <c r="S82" s="59">
        <v>266224386470</v>
      </c>
      <c r="T82" s="1">
        <v>2662243865</v>
      </c>
      <c r="U82" s="59">
        <v>4126486243265</v>
      </c>
      <c r="V82" s="59">
        <v>28656154467</v>
      </c>
      <c r="W82" s="1">
        <v>26622439</v>
      </c>
      <c r="X82" s="1">
        <v>266224</v>
      </c>
      <c r="Y82" s="119">
        <v>657855</v>
      </c>
      <c r="Z82" s="143">
        <v>5</v>
      </c>
      <c r="AA82" s="15">
        <v>45.689332200000003</v>
      </c>
      <c r="AB82" s="2">
        <v>45.689301999999998</v>
      </c>
      <c r="AC82" s="16">
        <v>70</v>
      </c>
      <c r="AD82" s="19" t="s">
        <v>10</v>
      </c>
      <c r="AE82" s="15">
        <v>40</v>
      </c>
      <c r="AF82" s="2">
        <v>40</v>
      </c>
      <c r="AG82" s="16">
        <v>100</v>
      </c>
      <c r="AH82" s="19" t="s">
        <v>21</v>
      </c>
      <c r="AI82" s="15">
        <v>25971433</v>
      </c>
      <c r="AJ82" s="2">
        <v>852081</v>
      </c>
      <c r="AK82" s="2">
        <v>10224973</v>
      </c>
      <c r="AL82" s="2">
        <v>259714</v>
      </c>
      <c r="AM82" s="2">
        <f>AA82+AB82+AC82</f>
        <v>161.37863419999999</v>
      </c>
      <c r="AN82" s="2">
        <v>259714325</v>
      </c>
      <c r="AO82" s="2">
        <v>284027</v>
      </c>
      <c r="AP82" s="16">
        <v>259714325376</v>
      </c>
      <c r="AQ82" s="28">
        <v>2662267633000000</v>
      </c>
      <c r="AR82" s="2">
        <v>26622676330000</v>
      </c>
      <c r="AS82" s="2">
        <v>266226763300</v>
      </c>
      <c r="AT82" s="2">
        <f>SQRT((AL82/2)*(AL82/2-AA82*63360*2.54/100)*(AL82/2-AB82*63360*2.54/100)*(AL82/2-AC82*63360*2.54/100))</f>
        <v>2662267633.4993706</v>
      </c>
      <c r="AU82" s="29">
        <v>4126523084196</v>
      </c>
      <c r="AV82" s="2">
        <v>28656410307</v>
      </c>
      <c r="AW82" s="2">
        <v>26622676</v>
      </c>
      <c r="AX82" s="2">
        <v>266227</v>
      </c>
      <c r="AY82" s="42">
        <v>657861</v>
      </c>
      <c r="AZ82" s="238" t="s">
        <v>10</v>
      </c>
      <c r="BA82" s="251">
        <f t="shared" si="38"/>
        <v>-1.8650485398403617E-4</v>
      </c>
      <c r="BB82" s="73">
        <f t="shared" ref="BB82:BB101" si="40">(100*(F82-AF82))/AF82</f>
        <v>1.447192424919308E-4</v>
      </c>
      <c r="BC82" s="234">
        <f t="shared" si="39"/>
        <v>-5.788769699677232E-5</v>
      </c>
      <c r="BD82" s="238" t="s">
        <v>21</v>
      </c>
      <c r="BE82" s="134">
        <f t="shared" si="21"/>
        <v>-2.81078059882179E-4</v>
      </c>
      <c r="BF82" s="82">
        <f t="shared" si="22"/>
        <v>-2.3471946915844854E-4</v>
      </c>
      <c r="BG82" s="82">
        <f t="shared" si="23"/>
        <v>-2.7383935390342838E-4</v>
      </c>
      <c r="BH82" s="82">
        <f t="shared" si="24"/>
        <v>0</v>
      </c>
      <c r="BI82" s="82">
        <f t="shared" si="25"/>
        <v>2.2667188987605597E-4</v>
      </c>
      <c r="BJ82" s="82">
        <f>(100*(N82-AN82))/AN82</f>
        <v>-2.7915287306543447E-4</v>
      </c>
      <c r="BK82" s="83">
        <f t="shared" si="27"/>
        <v>-3.5207920373767283E-4</v>
      </c>
      <c r="BL82" s="96">
        <f t="shared" si="28"/>
        <v>-2.7947437976290926E-4</v>
      </c>
      <c r="BM82" s="139">
        <f t="shared" si="29"/>
        <v>-8.9278383793504955E-4</v>
      </c>
      <c r="BN82" s="80">
        <f t="shared" si="30"/>
        <v>-8.927838398131477E-4</v>
      </c>
      <c r="BO82" s="83">
        <f t="shared" si="31"/>
        <v>-8.9278402011057313E-4</v>
      </c>
      <c r="BP82" s="80">
        <f t="shared" si="32"/>
        <v>-8.9279150869339414E-4</v>
      </c>
      <c r="BQ82" s="80">
        <f t="shared" si="33"/>
        <v>-8.9278383395201538E-4</v>
      </c>
      <c r="BR82" s="81">
        <f t="shared" si="34"/>
        <v>-8.9278453672023627E-4</v>
      </c>
      <c r="BS82" s="80">
        <f t="shared" si="35"/>
        <v>-8.9021854902940638E-4</v>
      </c>
      <c r="BT82" s="80">
        <f t="shared" si="36"/>
        <v>-1.1268579069741236E-3</v>
      </c>
      <c r="BU82" s="96">
        <f t="shared" si="37"/>
        <v>-9.1204676975835321E-4</v>
      </c>
    </row>
    <row r="83" spans="1:73" x14ac:dyDescent="0.25">
      <c r="A83" s="171">
        <v>57.955562933756397</v>
      </c>
      <c r="B83" s="57">
        <v>57.955565</v>
      </c>
      <c r="C83" s="112">
        <v>30</v>
      </c>
      <c r="D83" s="211" t="s">
        <v>6</v>
      </c>
      <c r="E83" s="246">
        <v>75</v>
      </c>
      <c r="F83" s="60">
        <v>75.000007623539901</v>
      </c>
      <c r="G83" s="172">
        <v>29.999992376460099</v>
      </c>
      <c r="H83" s="166" t="s">
        <v>21</v>
      </c>
      <c r="I83" s="118">
        <v>14.591100000000001</v>
      </c>
      <c r="J83" s="1">
        <v>0.478711</v>
      </c>
      <c r="K83" s="1">
        <v>5.7445300000000001</v>
      </c>
      <c r="L83" s="1">
        <v>0.14591100000000001</v>
      </c>
      <c r="M83" s="49">
        <v>9.0664971524892407E-5</v>
      </c>
      <c r="N83" s="1">
        <v>145.911</v>
      </c>
      <c r="O83" s="1">
        <v>0.15956999999999999</v>
      </c>
      <c r="P83" s="119">
        <v>145911</v>
      </c>
      <c r="Q83" s="127">
        <v>839.71199999999999</v>
      </c>
      <c r="R83" s="78">
        <v>8.3971199999999993</v>
      </c>
      <c r="S83" s="78">
        <v>8.3971199999999996E-2</v>
      </c>
      <c r="T83" s="50">
        <v>8.3971200000000005E-4</v>
      </c>
      <c r="U83" s="78">
        <v>1.3015600000000001</v>
      </c>
      <c r="V83" s="49">
        <v>9.0385799999999992E-3</v>
      </c>
      <c r="W83" s="51">
        <v>8.3971165516012198E-6</v>
      </c>
      <c r="X83" s="79">
        <v>8.3971165516012201E-8</v>
      </c>
      <c r="Y83" s="128">
        <v>2.0749726887076701E-7</v>
      </c>
      <c r="Z83" s="143">
        <v>6</v>
      </c>
      <c r="AA83" s="15">
        <v>57.955565</v>
      </c>
      <c r="AB83" s="2">
        <v>57.955561000000003</v>
      </c>
      <c r="AC83" s="16">
        <v>30</v>
      </c>
      <c r="AD83" s="19" t="s">
        <v>6</v>
      </c>
      <c r="AE83" s="15">
        <v>75</v>
      </c>
      <c r="AF83" s="2">
        <v>75</v>
      </c>
      <c r="AG83" s="16">
        <v>30</v>
      </c>
      <c r="AH83" s="19" t="s">
        <v>21</v>
      </c>
      <c r="AI83" s="15">
        <v>14.591100000000001</v>
      </c>
      <c r="AJ83" s="2">
        <v>0.478711</v>
      </c>
      <c r="AK83" s="2">
        <v>5.7445300000000001</v>
      </c>
      <c r="AL83" s="2">
        <v>0.14591100000000001</v>
      </c>
      <c r="AM83" s="33">
        <v>9.0664892030541594E-5</v>
      </c>
      <c r="AN83" s="2">
        <f>AA83+AB83+AC83</f>
        <v>145.911126</v>
      </c>
      <c r="AO83" s="2">
        <v>0.15956999999999999</v>
      </c>
      <c r="AP83" s="16">
        <v>145911</v>
      </c>
      <c r="AQ83" s="15">
        <f>SQRT((AN83/2)*(AN83/2-AA83)*(AN83/2-AB83)*(AN83/2-AC83))</f>
        <v>839.71164014532701</v>
      </c>
      <c r="AR83" s="2">
        <v>8.3971199999999993</v>
      </c>
      <c r="AS83" s="2">
        <v>8.3971199999999996E-2</v>
      </c>
      <c r="AT83" s="23">
        <v>8.3971200000000005E-4</v>
      </c>
      <c r="AU83" s="2">
        <v>1.3015600000000001</v>
      </c>
      <c r="AV83" s="30">
        <v>9.0385799999999992E-3</v>
      </c>
      <c r="AW83" s="31">
        <v>8.3971199999999993E-6</v>
      </c>
      <c r="AX83" s="32">
        <v>8.3971200000000002E-8</v>
      </c>
      <c r="AY83" s="44">
        <v>2.07497354082556E-7</v>
      </c>
      <c r="AZ83" s="238" t="s">
        <v>6</v>
      </c>
      <c r="BA83" s="251">
        <f t="shared" si="38"/>
        <v>-3.5652203595683655E-6</v>
      </c>
      <c r="BB83" s="73">
        <f t="shared" si="40"/>
        <v>1.0164719867589156E-5</v>
      </c>
      <c r="BC83" s="234">
        <f t="shared" si="39"/>
        <v>-2.541179966897289E-5</v>
      </c>
      <c r="BD83" s="238" t="s">
        <v>21</v>
      </c>
      <c r="BE83" s="134">
        <f t="shared" si="21"/>
        <v>0</v>
      </c>
      <c r="BF83" s="82">
        <f t="shared" si="22"/>
        <v>0</v>
      </c>
      <c r="BG83" s="82">
        <f t="shared" si="23"/>
        <v>0</v>
      </c>
      <c r="BH83" s="82">
        <f t="shared" si="24"/>
        <v>0</v>
      </c>
      <c r="BI83" s="82">
        <f t="shared" si="25"/>
        <v>8.7679308972268464E-5</v>
      </c>
      <c r="BJ83" s="82">
        <f t="shared" si="26"/>
        <v>-8.6353935747517563E-5</v>
      </c>
      <c r="BK83" s="83">
        <f t="shared" si="27"/>
        <v>0</v>
      </c>
      <c r="BL83" s="96">
        <f t="shared" si="28"/>
        <v>0</v>
      </c>
      <c r="BM83" s="139">
        <f t="shared" si="29"/>
        <v>4.2854553369865745E-5</v>
      </c>
      <c r="BN83" s="80">
        <f t="shared" si="30"/>
        <v>0</v>
      </c>
      <c r="BO83" s="83">
        <f t="shared" si="31"/>
        <v>0</v>
      </c>
      <c r="BP83" s="80">
        <f t="shared" si="32"/>
        <v>0</v>
      </c>
      <c r="BQ83" s="80">
        <f t="shared" si="33"/>
        <v>0</v>
      </c>
      <c r="BR83" s="81">
        <f t="shared" si="34"/>
        <v>0</v>
      </c>
      <c r="BS83" s="80">
        <f t="shared" si="35"/>
        <v>-4.1066446347385054E-5</v>
      </c>
      <c r="BT83" s="80">
        <f t="shared" si="36"/>
        <v>-4.106644635431999E-5</v>
      </c>
      <c r="BU83" s="96">
        <f t="shared" si="37"/>
        <v>-4.1066446057666006E-5</v>
      </c>
    </row>
    <row r="84" spans="1:73" x14ac:dyDescent="0.25">
      <c r="A84" s="171">
        <v>79.265377057073295</v>
      </c>
      <c r="B84" s="57">
        <v>54</v>
      </c>
      <c r="C84" s="112">
        <v>37</v>
      </c>
      <c r="D84" s="211" t="s">
        <v>7</v>
      </c>
      <c r="E84" s="246">
        <v>120</v>
      </c>
      <c r="F84" s="60">
        <v>36.155933307517202</v>
      </c>
      <c r="G84" s="174">
        <v>23.844066692482802</v>
      </c>
      <c r="H84" s="166" t="s">
        <v>21</v>
      </c>
      <c r="I84" s="118">
        <v>15569.1</v>
      </c>
      <c r="J84" s="1">
        <v>510.79599999999999</v>
      </c>
      <c r="K84" s="1">
        <v>6129.55</v>
      </c>
      <c r="L84" s="1">
        <v>155.691</v>
      </c>
      <c r="M84" s="1">
        <v>9.67417E-2</v>
      </c>
      <c r="N84" s="1">
        <v>155691</v>
      </c>
      <c r="O84" s="1">
        <v>170.26499999999999</v>
      </c>
      <c r="P84" s="119">
        <v>155690661</v>
      </c>
      <c r="Q84" s="118">
        <v>723383427</v>
      </c>
      <c r="R84" s="1">
        <v>7233834</v>
      </c>
      <c r="S84" s="1">
        <v>72338.3</v>
      </c>
      <c r="T84" s="1">
        <v>723.38300000000004</v>
      </c>
      <c r="U84" s="1">
        <v>1121247</v>
      </c>
      <c r="V84" s="1">
        <v>7786.43</v>
      </c>
      <c r="W84" s="1">
        <v>7.2338300000000002</v>
      </c>
      <c r="X84" s="1">
        <v>7.2338299999999994E-2</v>
      </c>
      <c r="Y84" s="119">
        <v>0.17875199999999999</v>
      </c>
      <c r="Z84" s="143">
        <v>7</v>
      </c>
      <c r="AA84" s="15">
        <v>79.265379999999993</v>
      </c>
      <c r="AB84" s="2">
        <v>54</v>
      </c>
      <c r="AC84" s="16">
        <v>37</v>
      </c>
      <c r="AD84" s="19" t="s">
        <v>7</v>
      </c>
      <c r="AE84" s="15">
        <v>120</v>
      </c>
      <c r="AF84" s="2">
        <v>36.155900000000003</v>
      </c>
      <c r="AG84" s="16">
        <v>23.844100000000001</v>
      </c>
      <c r="AH84" s="19" t="s">
        <v>21</v>
      </c>
      <c r="AI84" s="15">
        <v>15569</v>
      </c>
      <c r="AJ84" s="2">
        <v>510.79500000000002</v>
      </c>
      <c r="AK84" s="2">
        <v>6129.54</v>
      </c>
      <c r="AL84" s="2">
        <v>155.69</v>
      </c>
      <c r="AM84" s="2">
        <v>9.6741499999999994E-2</v>
      </c>
      <c r="AN84" s="2">
        <v>155690</v>
      </c>
      <c r="AO84" s="2">
        <f>AA84+AB84+AC84</f>
        <v>170.26537999999999</v>
      </c>
      <c r="AP84" s="16">
        <v>155690316</v>
      </c>
      <c r="AQ84" s="15">
        <v>723383000</v>
      </c>
      <c r="AR84" s="2">
        <v>7233830</v>
      </c>
      <c r="AS84" s="2">
        <v>72338.3</v>
      </c>
      <c r="AT84" s="2">
        <f>SQRT((AO84/2)*(AO84/2-AA84)*(AO84/2-AB84)*(AO84/2-AC84))*0.9144*0.9144</f>
        <v>723.38337071992964</v>
      </c>
      <c r="AU84" s="2">
        <v>1121246</v>
      </c>
      <c r="AV84" s="2">
        <v>7786.43</v>
      </c>
      <c r="AW84" s="2">
        <v>7.2338300000000002</v>
      </c>
      <c r="AX84" s="2">
        <v>7.2338299999999994E-2</v>
      </c>
      <c r="AY84" s="42">
        <v>0.17875199999999999</v>
      </c>
      <c r="AZ84" s="238" t="s">
        <v>7</v>
      </c>
      <c r="BA84" s="251">
        <f t="shared" si="38"/>
        <v>-3.7127516436293466E-6</v>
      </c>
      <c r="BB84" s="73">
        <f t="shared" si="40"/>
        <v>9.2121941922154797E-5</v>
      </c>
      <c r="BC84" s="234">
        <f t="shared" si="39"/>
        <v>-1.3968871628382856E-4</v>
      </c>
      <c r="BD84" s="238" t="s">
        <v>21</v>
      </c>
      <c r="BE84" s="134">
        <f t="shared" si="21"/>
        <v>6.4230201040762927E-4</v>
      </c>
      <c r="BF84" s="82">
        <f t="shared" si="22"/>
        <v>1.9577325541094825E-4</v>
      </c>
      <c r="BG84" s="82">
        <f t="shared" si="23"/>
        <v>1.6314437951654248E-4</v>
      </c>
      <c r="BH84" s="82">
        <f t="shared" si="24"/>
        <v>6.4230201040835948E-4</v>
      </c>
      <c r="BI84" s="82">
        <f t="shared" si="25"/>
        <v>2.067365091566196E-4</v>
      </c>
      <c r="BJ84" s="82">
        <f t="shared" si="26"/>
        <v>6.423020104052926E-4</v>
      </c>
      <c r="BK84" s="83">
        <f t="shared" si="27"/>
        <v>-2.2318101307907125E-4</v>
      </c>
      <c r="BL84" s="96">
        <f t="shared" si="28"/>
        <v>2.2159374382668733E-4</v>
      </c>
      <c r="BM84" s="139">
        <f t="shared" si="29"/>
        <v>5.9028204975787379E-5</v>
      </c>
      <c r="BN84" s="80">
        <f t="shared" si="30"/>
        <v>5.5295742366077165E-5</v>
      </c>
      <c r="BO84" s="83">
        <f t="shared" si="31"/>
        <v>0</v>
      </c>
      <c r="BP84" s="80">
        <f t="shared" si="32"/>
        <v>-5.1248058029998898E-5</v>
      </c>
      <c r="BQ84" s="80">
        <f t="shared" si="33"/>
        <v>8.9186494310793533E-5</v>
      </c>
      <c r="BR84" s="81">
        <f t="shared" si="34"/>
        <v>0</v>
      </c>
      <c r="BS84" s="80">
        <f t="shared" si="35"/>
        <v>0</v>
      </c>
      <c r="BT84" s="80">
        <f t="shared" si="36"/>
        <v>0</v>
      </c>
      <c r="BU84" s="96">
        <f t="shared" si="37"/>
        <v>0</v>
      </c>
    </row>
    <row r="85" spans="1:73" ht="15.75" thickBot="1" x14ac:dyDescent="0.3">
      <c r="A85" s="176">
        <v>49.3488318985262</v>
      </c>
      <c r="B85" s="177">
        <v>65.488035999999994</v>
      </c>
      <c r="C85" s="254">
        <v>82</v>
      </c>
      <c r="D85" s="212" t="s">
        <v>20</v>
      </c>
      <c r="E85" s="256">
        <v>37</v>
      </c>
      <c r="F85" s="178">
        <v>52.999911965733901</v>
      </c>
      <c r="G85" s="179">
        <v>90.000088034266099</v>
      </c>
      <c r="H85" s="167" t="s">
        <v>21</v>
      </c>
      <c r="I85" s="121">
        <v>1.9683699999999998E-2</v>
      </c>
      <c r="J85" s="64">
        <v>6.4579000000000004E-4</v>
      </c>
      <c r="K85" s="55">
        <v>7.7494800000000004E-3</v>
      </c>
      <c r="L85" s="62">
        <v>1.96837E-4</v>
      </c>
      <c r="M85" s="65">
        <v>1.2230875928237001E-7</v>
      </c>
      <c r="N85" s="66">
        <v>0.19683700000000001</v>
      </c>
      <c r="O85" s="64">
        <v>2.1526299999999999E-4</v>
      </c>
      <c r="P85" s="122">
        <v>196.83699999999999</v>
      </c>
      <c r="Q85" s="129">
        <v>1.6158800000000001E-3</v>
      </c>
      <c r="R85" s="67">
        <v>1.6158790399624101E-5</v>
      </c>
      <c r="S85" s="68">
        <v>1.61587903996241E-7</v>
      </c>
      <c r="T85" s="69">
        <v>1.6158790399624101E-9</v>
      </c>
      <c r="U85" s="67">
        <v>2.5046175211767699E-6</v>
      </c>
      <c r="V85" s="68">
        <v>1.7393177230394301E-8</v>
      </c>
      <c r="W85" s="70">
        <v>1.61587903996241E-11</v>
      </c>
      <c r="X85" s="71">
        <v>1.61587903996241E-13</v>
      </c>
      <c r="Y85" s="72">
        <v>3.9929240657470801E-13</v>
      </c>
      <c r="Z85" s="144">
        <v>8</v>
      </c>
      <c r="AA85" s="17">
        <v>49.348815000000002</v>
      </c>
      <c r="AB85" s="9">
        <v>65.488035999999994</v>
      </c>
      <c r="AC85" s="10">
        <v>82</v>
      </c>
      <c r="AD85" s="20" t="s">
        <v>20</v>
      </c>
      <c r="AE85" s="17">
        <v>37</v>
      </c>
      <c r="AF85" s="9">
        <v>53</v>
      </c>
      <c r="AG85" s="10">
        <v>90</v>
      </c>
      <c r="AH85" s="20" t="s">
        <v>21</v>
      </c>
      <c r="AI85" s="17">
        <v>1.9683699999999998E-2</v>
      </c>
      <c r="AJ85" s="36">
        <v>6.4579100000000005E-4</v>
      </c>
      <c r="AK85" s="9">
        <v>7.7494900000000004E-3</v>
      </c>
      <c r="AL85" s="37">
        <v>1.96837E-4</v>
      </c>
      <c r="AM85" s="38">
        <v>1.2230884136641999E-7</v>
      </c>
      <c r="AN85" s="9">
        <v>0.19683700000000001</v>
      </c>
      <c r="AO85" s="36">
        <v>2.15264E-4</v>
      </c>
      <c r="AP85" s="10">
        <f>AA85+AB85+AC85</f>
        <v>196.836851</v>
      </c>
      <c r="AQ85" s="17">
        <f>SQRT((AP85/2)*(AP85/2-AA85)*(AP85/2-AB85)*(AP85/2-AC85))/1000000</f>
        <v>1.6158784866360681E-3</v>
      </c>
      <c r="AR85" s="39">
        <v>1.6158799999999999E-5</v>
      </c>
      <c r="AS85" s="39">
        <v>1.61588E-7</v>
      </c>
      <c r="AT85" s="39">
        <v>1.61588E-9</v>
      </c>
      <c r="AU85" s="40">
        <v>2.50461900923802E-6</v>
      </c>
      <c r="AV85" s="40">
        <v>1.73931875641529E-8</v>
      </c>
      <c r="AW85" s="39">
        <v>1.6158800000000001E-11</v>
      </c>
      <c r="AX85" s="39">
        <v>1.61588E-13</v>
      </c>
      <c r="AY85" s="45">
        <v>3.9929264380516298E-13</v>
      </c>
      <c r="AZ85" s="239" t="s">
        <v>20</v>
      </c>
      <c r="BA85" s="252">
        <f t="shared" si="38"/>
        <v>3.4243023257814793E-5</v>
      </c>
      <c r="BB85" s="97">
        <f t="shared" si="40"/>
        <v>-1.6610238886633456E-4</v>
      </c>
      <c r="BC85" s="235">
        <f t="shared" si="39"/>
        <v>9.7815851221285906E-5</v>
      </c>
      <c r="BD85" s="239" t="s">
        <v>21</v>
      </c>
      <c r="BE85" s="135">
        <f t="shared" si="21"/>
        <v>0</v>
      </c>
      <c r="BF85" s="98">
        <f t="shared" si="22"/>
        <v>-1.5484885977285921E-4</v>
      </c>
      <c r="BG85" s="98">
        <f t="shared" si="23"/>
        <v>-1.2904074977760616E-4</v>
      </c>
      <c r="BH85" s="98">
        <f t="shared" si="24"/>
        <v>0</v>
      </c>
      <c r="BI85" s="98">
        <f t="shared" si="25"/>
        <v>-6.7112114755465646E-5</v>
      </c>
      <c r="BJ85" s="98">
        <f t="shared" si="26"/>
        <v>0</v>
      </c>
      <c r="BK85" s="99">
        <f t="shared" si="27"/>
        <v>-4.6454585997461037E-4</v>
      </c>
      <c r="BL85" s="102">
        <f t="shared" si="28"/>
        <v>7.5697207731337561E-5</v>
      </c>
      <c r="BM85" s="140">
        <f t="shared" si="29"/>
        <v>9.3655800514507354E-5</v>
      </c>
      <c r="BN85" s="100">
        <f t="shared" si="30"/>
        <v>-5.9412678523305907E-5</v>
      </c>
      <c r="BO85" s="99">
        <f t="shared" si="31"/>
        <v>-5.9412678542963136E-5</v>
      </c>
      <c r="BP85" s="100">
        <f t="shared" si="32"/>
        <v>-5.9412678535284532E-5</v>
      </c>
      <c r="BQ85" s="100">
        <f t="shared" si="33"/>
        <v>-5.941267891948463E-5</v>
      </c>
      <c r="BR85" s="101">
        <f t="shared" si="34"/>
        <v>-5.9412678446021008E-5</v>
      </c>
      <c r="BS85" s="100">
        <f t="shared" si="35"/>
        <v>-5.9412678546482497E-5</v>
      </c>
      <c r="BT85" s="100">
        <f t="shared" si="36"/>
        <v>-5.9412678540233637E-5</v>
      </c>
      <c r="BU85" s="102">
        <f t="shared" si="37"/>
        <v>-5.9412678559035654E-5</v>
      </c>
    </row>
    <row r="86" spans="1:73" x14ac:dyDescent="0.25">
      <c r="A86" s="168">
        <v>34.405688306747003</v>
      </c>
      <c r="B86" s="115">
        <v>45</v>
      </c>
      <c r="C86" s="223">
        <v>65</v>
      </c>
      <c r="D86" s="210" t="s">
        <v>9</v>
      </c>
      <c r="E86" s="257">
        <v>0.52359877559830004</v>
      </c>
      <c r="F86" s="169">
        <v>0.71280925739290002</v>
      </c>
      <c r="G86" s="180">
        <v>1.9051846205986001</v>
      </c>
      <c r="H86" s="165" t="s">
        <v>31</v>
      </c>
      <c r="I86" s="114">
        <v>144.40600000000001</v>
      </c>
      <c r="J86" s="115">
        <v>4.7377200000000004</v>
      </c>
      <c r="K86" s="115">
        <v>56.852600000000002</v>
      </c>
      <c r="L86" s="115">
        <v>1.4440599999999999</v>
      </c>
      <c r="M86" s="116">
        <v>8.9729499999999999E-4</v>
      </c>
      <c r="N86" s="115">
        <v>1444.06</v>
      </c>
      <c r="O86" s="115">
        <v>1.57924</v>
      </c>
      <c r="P86" s="117">
        <v>1444057</v>
      </c>
      <c r="Q86" s="114">
        <v>73125</v>
      </c>
      <c r="R86" s="115">
        <v>731.25</v>
      </c>
      <c r="S86" s="115">
        <v>7.3125</v>
      </c>
      <c r="T86" s="115">
        <v>7.3124999999999996E-2</v>
      </c>
      <c r="U86" s="115">
        <v>113.34399999999999</v>
      </c>
      <c r="V86" s="115">
        <v>0.78711100000000001</v>
      </c>
      <c r="W86" s="123">
        <v>7.3125000000000002E-4</v>
      </c>
      <c r="X86" s="124">
        <v>7.3124999999999999E-6</v>
      </c>
      <c r="Y86" s="125">
        <v>1.8069581019786499E-5</v>
      </c>
      <c r="Z86" s="142">
        <v>1</v>
      </c>
      <c r="AA86" s="13">
        <v>34.405701999999998</v>
      </c>
      <c r="AB86" s="7">
        <v>45</v>
      </c>
      <c r="AC86" s="14">
        <v>65</v>
      </c>
      <c r="AD86" s="18" t="s">
        <v>9</v>
      </c>
      <c r="AE86" s="13">
        <v>0.52359900000000004</v>
      </c>
      <c r="AF86" s="7">
        <v>0.71280900000000003</v>
      </c>
      <c r="AG86" s="14">
        <v>1.9051849999999999</v>
      </c>
      <c r="AH86" s="18" t="s">
        <v>31</v>
      </c>
      <c r="AI86" s="13">
        <f>AA86+AB86+AC86</f>
        <v>144.40570199999999</v>
      </c>
      <c r="AJ86" s="7">
        <v>4.73773</v>
      </c>
      <c r="AK86" s="7">
        <v>56.852800000000002</v>
      </c>
      <c r="AL86" s="7">
        <v>1.4440599999999999</v>
      </c>
      <c r="AM86" s="163">
        <v>8.9729700000000003E-4</v>
      </c>
      <c r="AN86" s="7">
        <v>1444.06</v>
      </c>
      <c r="AO86" s="7">
        <v>1.57924</v>
      </c>
      <c r="AP86" s="14">
        <v>1444060</v>
      </c>
      <c r="AQ86" s="8">
        <v>73125</v>
      </c>
      <c r="AR86" s="12">
        <f>SQRT((AI86/2)*(AI86/2-AA86)*(AI86/2-AB86)*(AI86/2-AC86))</f>
        <v>731.25040800683269</v>
      </c>
      <c r="AS86" s="7">
        <v>7.3125</v>
      </c>
      <c r="AT86" s="7">
        <v>7.3124999999999996E-2</v>
      </c>
      <c r="AU86" s="7">
        <v>113.34399999999999</v>
      </c>
      <c r="AV86" s="7">
        <v>0.78711100000000001</v>
      </c>
      <c r="AW86" s="21">
        <v>7.3125000000000002E-4</v>
      </c>
      <c r="AX86" s="22">
        <v>7.3124999999999999E-6</v>
      </c>
      <c r="AY86" s="41">
        <v>1.8069581019786499E-5</v>
      </c>
      <c r="AZ86" s="237" t="s">
        <v>9</v>
      </c>
      <c r="BA86" s="253">
        <f t="shared" si="38"/>
        <v>-3.9799371033018691E-5</v>
      </c>
      <c r="BB86" s="90">
        <f t="shared" si="40"/>
        <v>3.6109659108376102E-5</v>
      </c>
      <c r="BC86" s="233">
        <f t="shared" si="39"/>
        <v>-1.9914150061678889E-5</v>
      </c>
      <c r="BD86" s="237" t="s">
        <v>31</v>
      </c>
      <c r="BE86" s="133">
        <f t="shared" si="21"/>
        <v>2.0636304237834632E-4</v>
      </c>
      <c r="BF86" s="91">
        <f t="shared" si="22"/>
        <v>-2.1107154691426955E-4</v>
      </c>
      <c r="BG86" s="91">
        <f t="shared" si="23"/>
        <v>-3.5178566402979954E-4</v>
      </c>
      <c r="BH86" s="91">
        <f t="shared" si="24"/>
        <v>0</v>
      </c>
      <c r="BI86" s="91">
        <f t="shared" si="25"/>
        <v>-2.2289164011820951E-4</v>
      </c>
      <c r="BJ86" s="91">
        <f t="shared" si="26"/>
        <v>0</v>
      </c>
      <c r="BK86" s="92">
        <f t="shared" si="27"/>
        <v>0</v>
      </c>
      <c r="BL86" s="95">
        <f t="shared" si="28"/>
        <v>-2.0774760051521404E-4</v>
      </c>
      <c r="BM86" s="138">
        <f t="shared" si="29"/>
        <v>0</v>
      </c>
      <c r="BN86" s="93">
        <f t="shared" si="30"/>
        <v>-5.57957750475405E-5</v>
      </c>
      <c r="BO86" s="92">
        <f t="shared" si="31"/>
        <v>0</v>
      </c>
      <c r="BP86" s="93">
        <f t="shared" si="32"/>
        <v>0</v>
      </c>
      <c r="BQ86" s="93">
        <f t="shared" si="33"/>
        <v>0</v>
      </c>
      <c r="BR86" s="94">
        <f t="shared" si="34"/>
        <v>0</v>
      </c>
      <c r="BS86" s="93">
        <f t="shared" si="35"/>
        <v>0</v>
      </c>
      <c r="BT86" s="93">
        <f t="shared" si="36"/>
        <v>0</v>
      </c>
      <c r="BU86" s="95">
        <f t="shared" si="37"/>
        <v>0</v>
      </c>
    </row>
    <row r="87" spans="1:73" x14ac:dyDescent="0.25">
      <c r="A87" s="171">
        <v>88.408144421201399</v>
      </c>
      <c r="B87" s="57">
        <v>54</v>
      </c>
      <c r="C87" s="112">
        <v>70</v>
      </c>
      <c r="D87" s="211" t="s">
        <v>5</v>
      </c>
      <c r="E87" s="258">
        <v>1.5707963267949001</v>
      </c>
      <c r="F87" s="60">
        <v>0.65707493571169995</v>
      </c>
      <c r="G87" s="172">
        <v>0.91372139108320005</v>
      </c>
      <c r="H87" s="166" t="s">
        <v>31</v>
      </c>
      <c r="I87" s="118">
        <v>6474.2</v>
      </c>
      <c r="J87" s="1">
        <v>212.40799999999999</v>
      </c>
      <c r="K87" s="1">
        <v>2548.9</v>
      </c>
      <c r="L87" s="1">
        <v>64.742000000000004</v>
      </c>
      <c r="M87" s="1">
        <v>4.0228800000000002E-2</v>
      </c>
      <c r="N87" s="1">
        <v>64742</v>
      </c>
      <c r="O87" s="1">
        <v>70.802700000000002</v>
      </c>
      <c r="P87" s="119">
        <v>64742002</v>
      </c>
      <c r="Q87" s="118">
        <v>175586746</v>
      </c>
      <c r="R87" s="1">
        <v>1755867</v>
      </c>
      <c r="S87" s="1">
        <v>17558.7</v>
      </c>
      <c r="T87" s="1">
        <v>175.58699999999999</v>
      </c>
      <c r="U87" s="1">
        <v>272160</v>
      </c>
      <c r="V87" s="1">
        <v>1890</v>
      </c>
      <c r="W87" s="1">
        <v>1.75587</v>
      </c>
      <c r="X87" s="52">
        <v>1.75587E-2</v>
      </c>
      <c r="Y87" s="119">
        <v>4.3388400000000001E-2</v>
      </c>
      <c r="Z87" s="143">
        <v>2</v>
      </c>
      <c r="AA87" s="15">
        <v>88.408079999999998</v>
      </c>
      <c r="AB87" s="34">
        <v>54</v>
      </c>
      <c r="AC87" s="16">
        <v>70</v>
      </c>
      <c r="AD87" s="19" t="s">
        <v>5</v>
      </c>
      <c r="AE87" s="15">
        <v>1.5707960000000001</v>
      </c>
      <c r="AF87" s="2">
        <v>0.65707499999999996</v>
      </c>
      <c r="AG87" s="34">
        <v>0.91371999999999998</v>
      </c>
      <c r="AH87" s="19" t="s">
        <v>31</v>
      </c>
      <c r="AI87" s="15">
        <v>6474.2</v>
      </c>
      <c r="AJ87" s="2">
        <f>AA87+AB87+AC87</f>
        <v>212.40807999999998</v>
      </c>
      <c r="AK87" s="2">
        <v>2548.9</v>
      </c>
      <c r="AL87" s="2">
        <v>64.742000000000004</v>
      </c>
      <c r="AM87" s="2">
        <v>4.0228800000000002E-2</v>
      </c>
      <c r="AN87" s="2">
        <v>64742</v>
      </c>
      <c r="AO87" s="2">
        <v>70.802700000000002</v>
      </c>
      <c r="AP87" s="16">
        <v>64741958</v>
      </c>
      <c r="AQ87" s="15">
        <v>175586746</v>
      </c>
      <c r="AR87" s="2">
        <v>1755867</v>
      </c>
      <c r="AS87" s="2">
        <v>17558.7</v>
      </c>
      <c r="AT87" s="2">
        <v>175.58699999999999</v>
      </c>
      <c r="AU87" s="2">
        <v>272160</v>
      </c>
      <c r="AV87" s="2">
        <f>SQRT((AJ87/2)*(AJ87/2-AA87)*(AJ87/2-AB87)*(AJ87/2-AC87))</f>
        <v>1889.9999999978538</v>
      </c>
      <c r="AW87" s="2">
        <v>1.75587</v>
      </c>
      <c r="AX87" s="23">
        <v>1.75587E-2</v>
      </c>
      <c r="AY87" s="42">
        <v>4.3388400000000001E-2</v>
      </c>
      <c r="AZ87" s="238" t="s">
        <v>5</v>
      </c>
      <c r="BA87" s="251">
        <f t="shared" si="38"/>
        <v>7.2868001885045648E-5</v>
      </c>
      <c r="BB87" s="73">
        <f t="shared" si="40"/>
        <v>-9.7840124821082271E-6</v>
      </c>
      <c r="BC87" s="234">
        <f t="shared" si="39"/>
        <v>1.5224392593739808E-4</v>
      </c>
      <c r="BD87" s="238" t="s">
        <v>31</v>
      </c>
      <c r="BE87" s="134">
        <f t="shared" si="21"/>
        <v>0</v>
      </c>
      <c r="BF87" s="82">
        <f t="shared" si="22"/>
        <v>-3.7663350658304234E-5</v>
      </c>
      <c r="BG87" s="82">
        <f t="shared" si="23"/>
        <v>0</v>
      </c>
      <c r="BH87" s="82">
        <f t="shared" si="24"/>
        <v>0</v>
      </c>
      <c r="BI87" s="82">
        <f t="shared" si="25"/>
        <v>0</v>
      </c>
      <c r="BJ87" s="82">
        <f t="shared" si="26"/>
        <v>0</v>
      </c>
      <c r="BK87" s="83">
        <f t="shared" si="27"/>
        <v>0</v>
      </c>
      <c r="BL87" s="96">
        <f t="shared" si="28"/>
        <v>6.796210890007373E-5</v>
      </c>
      <c r="BM87" s="139">
        <f t="shared" si="29"/>
        <v>0</v>
      </c>
      <c r="BN87" s="80">
        <f t="shared" si="30"/>
        <v>0</v>
      </c>
      <c r="BO87" s="83">
        <f t="shared" si="31"/>
        <v>0</v>
      </c>
      <c r="BP87" s="80">
        <f t="shared" si="32"/>
        <v>0</v>
      </c>
      <c r="BQ87" s="80">
        <f t="shared" si="33"/>
        <v>0</v>
      </c>
      <c r="BR87" s="81">
        <f t="shared" si="34"/>
        <v>1.1355450383656638E-10</v>
      </c>
      <c r="BS87" s="80">
        <f t="shared" si="35"/>
        <v>0</v>
      </c>
      <c r="BT87" s="80">
        <f t="shared" si="36"/>
        <v>0</v>
      </c>
      <c r="BU87" s="96">
        <f t="shared" si="37"/>
        <v>0</v>
      </c>
    </row>
    <row r="88" spans="1:73" x14ac:dyDescent="0.25">
      <c r="A88" s="173">
        <v>57</v>
      </c>
      <c r="B88" s="57">
        <v>57</v>
      </c>
      <c r="C88" s="112">
        <v>57</v>
      </c>
      <c r="D88" s="211" t="s">
        <v>8</v>
      </c>
      <c r="E88" s="258">
        <v>1.0471975511966001</v>
      </c>
      <c r="F88" s="60">
        <v>1.0471975511966001</v>
      </c>
      <c r="G88" s="172">
        <v>1.0471975511966001</v>
      </c>
      <c r="H88" s="166" t="s">
        <v>31</v>
      </c>
      <c r="I88" s="118">
        <v>434.34</v>
      </c>
      <c r="J88" s="1">
        <v>14.25</v>
      </c>
      <c r="K88" s="1">
        <v>171</v>
      </c>
      <c r="L88" s="1">
        <v>4.3433999999999999</v>
      </c>
      <c r="M88" s="1">
        <v>2.69886E-3</v>
      </c>
      <c r="N88" s="1">
        <v>4343.3999999999996</v>
      </c>
      <c r="O88" s="1">
        <v>4.75</v>
      </c>
      <c r="P88" s="119">
        <v>4343400</v>
      </c>
      <c r="Q88" s="118">
        <v>907649</v>
      </c>
      <c r="R88" s="1">
        <v>9076.49</v>
      </c>
      <c r="S88" s="1">
        <v>90.764899999999997</v>
      </c>
      <c r="T88" s="1">
        <v>0.90764900000000004</v>
      </c>
      <c r="U88" s="1">
        <v>1406.86</v>
      </c>
      <c r="V88" s="1">
        <v>9.7698499999999999</v>
      </c>
      <c r="W88" s="49">
        <v>9.0764899999999996E-3</v>
      </c>
      <c r="X88" s="58">
        <v>9.0764868047179601E-5</v>
      </c>
      <c r="Y88" s="126">
        <v>2.2428500000000001E-4</v>
      </c>
      <c r="Z88" s="143">
        <v>3</v>
      </c>
      <c r="AA88" s="15">
        <v>57</v>
      </c>
      <c r="AB88" s="2">
        <v>57</v>
      </c>
      <c r="AC88" s="16">
        <v>57</v>
      </c>
      <c r="AD88" s="19" t="s">
        <v>8</v>
      </c>
      <c r="AE88" s="15">
        <v>1.0471980000000001</v>
      </c>
      <c r="AF88" s="2">
        <v>1.0471969999999999</v>
      </c>
      <c r="AG88" s="16">
        <v>1.0471980000000001</v>
      </c>
      <c r="AH88" s="19" t="s">
        <v>31</v>
      </c>
      <c r="AI88" s="15">
        <v>434.34</v>
      </c>
      <c r="AJ88" s="2">
        <v>14.25</v>
      </c>
      <c r="AK88" s="2">
        <f>AA88+AB88+AC88</f>
        <v>171</v>
      </c>
      <c r="AL88" s="2">
        <v>4.3433999999999999</v>
      </c>
      <c r="AM88" s="2">
        <v>2.69886E-3</v>
      </c>
      <c r="AN88" s="2">
        <v>4343.3999999999996</v>
      </c>
      <c r="AO88" s="2">
        <v>4.75</v>
      </c>
      <c r="AP88" s="16">
        <v>4343400</v>
      </c>
      <c r="AQ88" s="27">
        <v>907650</v>
      </c>
      <c r="AR88" s="26">
        <v>9076.5</v>
      </c>
      <c r="AS88" s="2">
        <v>90.765000000000001</v>
      </c>
      <c r="AT88" s="2">
        <v>0.90764999999999996</v>
      </c>
      <c r="AU88" s="2">
        <f>SQRT((AK88/2)*(AK88/2-AA88)*(AK88/2-AB88)*(AK88/2-AC88))</f>
        <v>1406.8582684478206</v>
      </c>
      <c r="AV88" s="2">
        <v>9.7698599999999995</v>
      </c>
      <c r="AW88" s="24">
        <v>9.0764999999999995E-3</v>
      </c>
      <c r="AX88" s="25">
        <v>9.0764979760000005E-5</v>
      </c>
      <c r="AY88" s="43">
        <v>2.2428500000000001E-4</v>
      </c>
      <c r="AZ88" s="238" t="s">
        <v>8</v>
      </c>
      <c r="BA88" s="251">
        <f t="shared" si="38"/>
        <v>0</v>
      </c>
      <c r="BB88" s="73">
        <f t="shared" si="40"/>
        <v>5.2635425821536723E-5</v>
      </c>
      <c r="BC88" s="234">
        <f t="shared" si="39"/>
        <v>-4.2857549384110747E-5</v>
      </c>
      <c r="BD88" s="238" t="s">
        <v>31</v>
      </c>
      <c r="BE88" s="134">
        <f t="shared" si="21"/>
        <v>0</v>
      </c>
      <c r="BF88" s="82">
        <f t="shared" si="22"/>
        <v>0</v>
      </c>
      <c r="BG88" s="82">
        <f t="shared" si="23"/>
        <v>0</v>
      </c>
      <c r="BH88" s="82">
        <f t="shared" si="24"/>
        <v>0</v>
      </c>
      <c r="BI88" s="82">
        <f t="shared" si="25"/>
        <v>0</v>
      </c>
      <c r="BJ88" s="82">
        <f t="shared" si="26"/>
        <v>0</v>
      </c>
      <c r="BK88" s="83">
        <f t="shared" si="27"/>
        <v>0</v>
      </c>
      <c r="BL88" s="96">
        <f t="shared" si="28"/>
        <v>0</v>
      </c>
      <c r="BM88" s="139">
        <f t="shared" si="29"/>
        <v>-1.1017462678345177E-4</v>
      </c>
      <c r="BN88" s="80">
        <f t="shared" si="30"/>
        <v>-1.1017462678585665E-4</v>
      </c>
      <c r="BO88" s="83">
        <f t="shared" si="31"/>
        <v>-1.1017462678710919E-4</v>
      </c>
      <c r="BP88" s="80">
        <f t="shared" si="32"/>
        <v>-1.1017462677438808E-4</v>
      </c>
      <c r="BQ88" s="80">
        <f t="shared" si="33"/>
        <v>1.230793618761892E-4</v>
      </c>
      <c r="BR88" s="81">
        <f t="shared" si="34"/>
        <v>-1.0235561205197847E-4</v>
      </c>
      <c r="BS88" s="80">
        <f t="shared" si="35"/>
        <v>-1.1017462678279748E-4</v>
      </c>
      <c r="BT88" s="80">
        <f t="shared" si="36"/>
        <v>-1.2307921039553845E-4</v>
      </c>
      <c r="BU88" s="96">
        <f t="shared" si="37"/>
        <v>0</v>
      </c>
    </row>
    <row r="89" spans="1:73" x14ac:dyDescent="0.25">
      <c r="A89" s="171">
        <v>39.814680356218503</v>
      </c>
      <c r="B89" s="57">
        <v>100</v>
      </c>
      <c r="C89" s="112">
        <v>70</v>
      </c>
      <c r="D89" s="211" t="s">
        <v>4</v>
      </c>
      <c r="E89" s="258">
        <v>0.31415926535900002</v>
      </c>
      <c r="F89" s="60">
        <v>2.2530743015165999</v>
      </c>
      <c r="G89" s="172">
        <v>0.5743590867142</v>
      </c>
      <c r="H89" s="166" t="s">
        <v>31</v>
      </c>
      <c r="I89" s="118">
        <v>20981.5</v>
      </c>
      <c r="J89" s="1">
        <v>688.36800000000005</v>
      </c>
      <c r="K89" s="1">
        <v>8260.42</v>
      </c>
      <c r="L89" s="1">
        <v>209.815</v>
      </c>
      <c r="M89" s="1">
        <v>0.13037299999999999</v>
      </c>
      <c r="N89" s="1">
        <v>209815</v>
      </c>
      <c r="O89" s="1">
        <v>229.45599999999999</v>
      </c>
      <c r="P89" s="119">
        <v>209814680</v>
      </c>
      <c r="Q89" s="118">
        <v>1081559480</v>
      </c>
      <c r="R89" s="1">
        <v>10815595</v>
      </c>
      <c r="S89" s="1">
        <v>108156</v>
      </c>
      <c r="T89" s="1">
        <v>1081.56</v>
      </c>
      <c r="U89" s="1">
        <v>1676421</v>
      </c>
      <c r="V89" s="1">
        <v>11641.8</v>
      </c>
      <c r="W89" s="1">
        <v>10.8156</v>
      </c>
      <c r="X89" s="1">
        <v>0.108156</v>
      </c>
      <c r="Y89" s="119">
        <v>0.26725900000000002</v>
      </c>
      <c r="Z89" s="143">
        <v>4</v>
      </c>
      <c r="AA89" s="2">
        <v>39.814618000000003</v>
      </c>
      <c r="AB89" s="2">
        <v>100</v>
      </c>
      <c r="AC89" s="35">
        <v>70</v>
      </c>
      <c r="AD89" s="19" t="s">
        <v>4</v>
      </c>
      <c r="AE89" s="74">
        <v>0.31415900000000002</v>
      </c>
      <c r="AF89" s="76">
        <v>2.2530739999999998</v>
      </c>
      <c r="AG89" s="75">
        <v>0.57435999999999998</v>
      </c>
      <c r="AH89" s="19" t="s">
        <v>31</v>
      </c>
      <c r="AI89" s="15">
        <v>20981.5</v>
      </c>
      <c r="AJ89" s="2">
        <v>688.36900000000003</v>
      </c>
      <c r="AK89" s="2">
        <v>8260.43</v>
      </c>
      <c r="AL89" s="2">
        <f>AA89+AB89+AC89</f>
        <v>209.814618</v>
      </c>
      <c r="AM89" s="2">
        <v>0.13037299999999999</v>
      </c>
      <c r="AN89" s="29">
        <v>209815</v>
      </c>
      <c r="AO89" s="2">
        <v>229.45599999999999</v>
      </c>
      <c r="AP89" s="16">
        <v>209815000</v>
      </c>
      <c r="AQ89" s="15">
        <v>1081560000</v>
      </c>
      <c r="AR89" s="2">
        <v>10815600</v>
      </c>
      <c r="AS89" s="2">
        <v>108156</v>
      </c>
      <c r="AT89" s="2">
        <f>SQRT((AL89/2)*(AL89/2-AA89)*(AL89/2-AB89)*(AL89/2-AC89))</f>
        <v>1081.5556598363034</v>
      </c>
      <c r="AU89" s="2">
        <v>1676421</v>
      </c>
      <c r="AV89" s="2">
        <v>11641.8</v>
      </c>
      <c r="AW89" s="2">
        <v>10.8156</v>
      </c>
      <c r="AX89" s="2">
        <v>0.108156</v>
      </c>
      <c r="AY89" s="42">
        <v>0.26725900000000002</v>
      </c>
      <c r="AZ89" s="238" t="s">
        <v>4</v>
      </c>
      <c r="BA89" s="251">
        <f t="shared" si="38"/>
        <v>1.5661639275256888E-4</v>
      </c>
      <c r="BB89" s="73">
        <f>(100*(F89-AF89))/AF89</f>
        <v>1.3382454377081726E-5</v>
      </c>
      <c r="BC89" s="234">
        <f t="shared" si="39"/>
        <v>-1.5900929730239976E-4</v>
      </c>
      <c r="BD89" s="238" t="s">
        <v>31</v>
      </c>
      <c r="BE89" s="134">
        <f t="shared" si="21"/>
        <v>0</v>
      </c>
      <c r="BF89" s="82">
        <f t="shared" si="22"/>
        <v>-1.4527092300442831E-4</v>
      </c>
      <c r="BG89" s="82">
        <f t="shared" si="23"/>
        <v>-1.2105907319858988E-4</v>
      </c>
      <c r="BH89" s="82">
        <f t="shared" si="24"/>
        <v>1.8206548411316167E-4</v>
      </c>
      <c r="BI89" s="82">
        <f t="shared" si="25"/>
        <v>0</v>
      </c>
      <c r="BJ89" s="82">
        <f t="shared" si="26"/>
        <v>0</v>
      </c>
      <c r="BK89" s="83">
        <f t="shared" si="27"/>
        <v>0</v>
      </c>
      <c r="BL89" s="96">
        <f t="shared" si="28"/>
        <v>-1.5251531110740415E-4</v>
      </c>
      <c r="BM89" s="139">
        <f t="shared" si="29"/>
        <v>-4.8078701135397018E-5</v>
      </c>
      <c r="BN89" s="80">
        <f t="shared" si="30"/>
        <v>-4.6229520322497132E-5</v>
      </c>
      <c r="BO89" s="83">
        <f t="shared" si="31"/>
        <v>0</v>
      </c>
      <c r="BP89" s="80">
        <f t="shared" si="32"/>
        <v>4.0128898194237666E-4</v>
      </c>
      <c r="BQ89" s="80">
        <f t="shared" si="33"/>
        <v>0</v>
      </c>
      <c r="BR89" s="81">
        <f t="shared" si="34"/>
        <v>0</v>
      </c>
      <c r="BS89" s="80">
        <f t="shared" si="35"/>
        <v>0</v>
      </c>
      <c r="BT89" s="80">
        <f t="shared" si="36"/>
        <v>0</v>
      </c>
      <c r="BU89" s="96">
        <f t="shared" si="37"/>
        <v>0</v>
      </c>
    </row>
    <row r="90" spans="1:73" x14ac:dyDescent="0.25">
      <c r="A90" s="171">
        <v>45.689246987177697</v>
      </c>
      <c r="B90" s="57">
        <v>45.689301999999998</v>
      </c>
      <c r="C90" s="112">
        <v>70</v>
      </c>
      <c r="D90" s="211" t="s">
        <v>10</v>
      </c>
      <c r="E90" s="258">
        <v>0.69813170079770004</v>
      </c>
      <c r="F90" s="60">
        <v>0.69813271112859998</v>
      </c>
      <c r="G90" s="172">
        <v>1.7453282416635001</v>
      </c>
      <c r="H90" s="166" t="s">
        <v>31</v>
      </c>
      <c r="I90" s="120">
        <v>25971360</v>
      </c>
      <c r="J90" s="1">
        <v>852079</v>
      </c>
      <c r="K90" s="1">
        <v>10224945</v>
      </c>
      <c r="L90" s="1">
        <v>259714</v>
      </c>
      <c r="M90" s="1">
        <v>161.37899999999999</v>
      </c>
      <c r="N90" s="1">
        <v>259713600</v>
      </c>
      <c r="O90" s="1">
        <v>284026</v>
      </c>
      <c r="P90" s="164">
        <v>259713599541</v>
      </c>
      <c r="Q90" s="120">
        <v>2662243864704850</v>
      </c>
      <c r="R90" s="59">
        <v>26622438647048</v>
      </c>
      <c r="S90" s="59">
        <v>266224386470</v>
      </c>
      <c r="T90" s="1">
        <v>2662243865</v>
      </c>
      <c r="U90" s="59">
        <v>4126486243265</v>
      </c>
      <c r="V90" s="59">
        <v>28656154467</v>
      </c>
      <c r="W90" s="1">
        <v>26622439</v>
      </c>
      <c r="X90" s="1">
        <v>266224</v>
      </c>
      <c r="Y90" s="119">
        <v>657855</v>
      </c>
      <c r="Z90" s="143">
        <v>5</v>
      </c>
      <c r="AA90" s="15">
        <v>45.689332200000003</v>
      </c>
      <c r="AB90" s="2">
        <v>45.689301999999998</v>
      </c>
      <c r="AC90" s="16">
        <v>70</v>
      </c>
      <c r="AD90" s="19" t="s">
        <v>10</v>
      </c>
      <c r="AE90" s="15">
        <v>0.69813199999999997</v>
      </c>
      <c r="AF90" s="2">
        <v>0.69813199999999997</v>
      </c>
      <c r="AG90" s="16">
        <v>1.7453289999999999</v>
      </c>
      <c r="AH90" s="19" t="s">
        <v>31</v>
      </c>
      <c r="AI90" s="15">
        <v>25971433</v>
      </c>
      <c r="AJ90" s="2">
        <v>852081</v>
      </c>
      <c r="AK90" s="2">
        <v>10224973</v>
      </c>
      <c r="AL90" s="2">
        <v>259714</v>
      </c>
      <c r="AM90" s="2">
        <f>AA90+AB90+AC90</f>
        <v>161.37863419999999</v>
      </c>
      <c r="AN90" s="2">
        <v>259714325</v>
      </c>
      <c r="AO90" s="2">
        <v>284027</v>
      </c>
      <c r="AP90" s="16">
        <v>259714325376</v>
      </c>
      <c r="AQ90" s="28">
        <v>2662267633000000</v>
      </c>
      <c r="AR90" s="2">
        <v>26622676330000</v>
      </c>
      <c r="AS90" s="2">
        <v>266226763300</v>
      </c>
      <c r="AT90" s="2">
        <f>SQRT((AL90/2)*(AL90/2-AA90*63360*2.54/100)*(AL90/2-AB90*63360*2.54/100)*(AL90/2-AC90*63360*2.54/100))</f>
        <v>2662267633.4993706</v>
      </c>
      <c r="AU90" s="29">
        <v>4126523084196</v>
      </c>
      <c r="AV90" s="2">
        <v>28656410307</v>
      </c>
      <c r="AW90" s="2">
        <v>26622676</v>
      </c>
      <c r="AX90" s="2">
        <v>266227</v>
      </c>
      <c r="AY90" s="42">
        <v>657861</v>
      </c>
      <c r="AZ90" s="238" t="s">
        <v>10</v>
      </c>
      <c r="BA90" s="251">
        <f t="shared" si="38"/>
        <v>-1.8650485398403617E-4</v>
      </c>
      <c r="BB90" s="73">
        <f t="shared" si="40"/>
        <v>1.0186162502307668E-4</v>
      </c>
      <c r="BC90" s="234">
        <f t="shared" si="39"/>
        <v>-4.3449487163600811E-5</v>
      </c>
      <c r="BD90" s="238" t="s">
        <v>31</v>
      </c>
      <c r="BE90" s="134">
        <f t="shared" si="21"/>
        <v>-2.81078059882179E-4</v>
      </c>
      <c r="BF90" s="82">
        <f t="shared" si="22"/>
        <v>-2.3471946915844854E-4</v>
      </c>
      <c r="BG90" s="82">
        <f t="shared" si="23"/>
        <v>-2.7383935390342838E-4</v>
      </c>
      <c r="BH90" s="82">
        <f t="shared" si="24"/>
        <v>0</v>
      </c>
      <c r="BI90" s="82">
        <f t="shared" si="25"/>
        <v>2.2667188987605597E-4</v>
      </c>
      <c r="BJ90" s="82">
        <f t="shared" si="26"/>
        <v>-2.7915287306543447E-4</v>
      </c>
      <c r="BK90" s="83">
        <f t="shared" si="27"/>
        <v>-3.5207920373767283E-4</v>
      </c>
      <c r="BL90" s="96">
        <f t="shared" si="28"/>
        <v>-2.7947437976290926E-4</v>
      </c>
      <c r="BM90" s="139">
        <f t="shared" si="29"/>
        <v>-8.9278383793504955E-4</v>
      </c>
      <c r="BN90" s="80">
        <f t="shared" si="30"/>
        <v>-8.927838398131477E-4</v>
      </c>
      <c r="BO90" s="83">
        <f t="shared" si="31"/>
        <v>-8.9278402011057313E-4</v>
      </c>
      <c r="BP90" s="80">
        <f t="shared" si="32"/>
        <v>-8.9279150869339414E-4</v>
      </c>
      <c r="BQ90" s="80">
        <f t="shared" si="33"/>
        <v>-8.9278383395201538E-4</v>
      </c>
      <c r="BR90" s="81">
        <f t="shared" si="34"/>
        <v>-8.9278453672023627E-4</v>
      </c>
      <c r="BS90" s="80">
        <f t="shared" si="35"/>
        <v>-8.9021854902940638E-4</v>
      </c>
      <c r="BT90" s="80">
        <f t="shared" si="36"/>
        <v>-1.1268579069741236E-3</v>
      </c>
      <c r="BU90" s="96">
        <f t="shared" si="37"/>
        <v>-9.1204676975835321E-4</v>
      </c>
    </row>
    <row r="91" spans="1:73" x14ac:dyDescent="0.25">
      <c r="A91" s="171">
        <v>57.955562933756397</v>
      </c>
      <c r="B91" s="57">
        <v>57.955565</v>
      </c>
      <c r="C91" s="112">
        <v>30</v>
      </c>
      <c r="D91" s="211" t="s">
        <v>6</v>
      </c>
      <c r="E91" s="258">
        <v>1.3089969389956999</v>
      </c>
      <c r="F91" s="60">
        <v>1.3089970720516</v>
      </c>
      <c r="G91" s="172">
        <v>0.52359864254249999</v>
      </c>
      <c r="H91" s="166" t="s">
        <v>31</v>
      </c>
      <c r="I91" s="118">
        <v>14.591100000000001</v>
      </c>
      <c r="J91" s="1">
        <v>0.478711</v>
      </c>
      <c r="K91" s="1">
        <v>5.7445300000000001</v>
      </c>
      <c r="L91" s="1">
        <v>0.14591100000000001</v>
      </c>
      <c r="M91" s="49">
        <v>9.0664971524892407E-5</v>
      </c>
      <c r="N91" s="1">
        <v>145.911</v>
      </c>
      <c r="O91" s="1">
        <v>0.15956999999999999</v>
      </c>
      <c r="P91" s="119">
        <v>145911</v>
      </c>
      <c r="Q91" s="127">
        <v>839.71199999999999</v>
      </c>
      <c r="R91" s="78">
        <v>8.3971199999999993</v>
      </c>
      <c r="S91" s="78">
        <v>8.3971199999999996E-2</v>
      </c>
      <c r="T91" s="50">
        <v>8.3971200000000005E-4</v>
      </c>
      <c r="U91" s="78">
        <v>1.3015600000000001</v>
      </c>
      <c r="V91" s="49">
        <v>9.0385799999999992E-3</v>
      </c>
      <c r="W91" s="51">
        <v>8.3971165516012198E-6</v>
      </c>
      <c r="X91" s="79">
        <v>8.3971165516012201E-8</v>
      </c>
      <c r="Y91" s="128">
        <v>2.0749726887076701E-7</v>
      </c>
      <c r="Z91" s="143">
        <v>6</v>
      </c>
      <c r="AA91" s="15">
        <v>57.955565</v>
      </c>
      <c r="AB91" s="2">
        <v>57.955561000000003</v>
      </c>
      <c r="AC91" s="16">
        <v>30</v>
      </c>
      <c r="AD91" s="19" t="s">
        <v>6</v>
      </c>
      <c r="AE91" s="15">
        <v>1.308997</v>
      </c>
      <c r="AF91" s="2">
        <v>1.3089900000000001</v>
      </c>
      <c r="AG91" s="16">
        <v>0.52359900000000004</v>
      </c>
      <c r="AH91" s="19" t="s">
        <v>31</v>
      </c>
      <c r="AI91" s="15">
        <v>14.591100000000001</v>
      </c>
      <c r="AJ91" s="2">
        <v>0.478711</v>
      </c>
      <c r="AK91" s="2">
        <v>5.7445300000000001</v>
      </c>
      <c r="AL91" s="2">
        <v>0.14591100000000001</v>
      </c>
      <c r="AM91" s="33">
        <v>9.0664892030541594E-5</v>
      </c>
      <c r="AN91" s="2">
        <f>AA91+AB91+AC91</f>
        <v>145.911126</v>
      </c>
      <c r="AO91" s="2">
        <v>0.15956999999999999</v>
      </c>
      <c r="AP91" s="16">
        <v>145911</v>
      </c>
      <c r="AQ91" s="15">
        <f>SQRT((AN91/2)*(AN91/2-AA91)*(AN91/2-AB91)*(AN91/2-AC91))</f>
        <v>839.71164014532701</v>
      </c>
      <c r="AR91" s="2">
        <v>8.3971199999999993</v>
      </c>
      <c r="AS91" s="2">
        <v>8.3971199999999996E-2</v>
      </c>
      <c r="AT91" s="23">
        <v>8.3971200000000005E-4</v>
      </c>
      <c r="AU91" s="2">
        <v>1.3015600000000001</v>
      </c>
      <c r="AV91" s="30">
        <v>9.0385799999999992E-3</v>
      </c>
      <c r="AW91" s="31">
        <v>8.3971199999999993E-6</v>
      </c>
      <c r="AX91" s="32">
        <v>8.3971200000000002E-8</v>
      </c>
      <c r="AY91" s="44">
        <v>2.07497354082556E-7</v>
      </c>
      <c r="AZ91" s="238" t="s">
        <v>6</v>
      </c>
      <c r="BA91" s="251">
        <f t="shared" si="38"/>
        <v>-3.5652203595683655E-6</v>
      </c>
      <c r="BB91" s="73">
        <f t="shared" si="40"/>
        <v>5.4026780952397529E-4</v>
      </c>
      <c r="BC91" s="234">
        <f t="shared" si="39"/>
        <v>-6.8269324434201299E-5</v>
      </c>
      <c r="BD91" s="238" t="s">
        <v>31</v>
      </c>
      <c r="BE91" s="134">
        <f t="shared" si="21"/>
        <v>0</v>
      </c>
      <c r="BF91" s="82">
        <f t="shared" si="22"/>
        <v>0</v>
      </c>
      <c r="BG91" s="82">
        <f t="shared" si="23"/>
        <v>0</v>
      </c>
      <c r="BH91" s="82">
        <f t="shared" si="24"/>
        <v>0</v>
      </c>
      <c r="BI91" s="82">
        <f t="shared" si="25"/>
        <v>8.7679308972268464E-5</v>
      </c>
      <c r="BJ91" s="82">
        <f t="shared" si="26"/>
        <v>-8.6353935747517563E-5</v>
      </c>
      <c r="BK91" s="83">
        <f t="shared" si="27"/>
        <v>0</v>
      </c>
      <c r="BL91" s="96">
        <f t="shared" si="28"/>
        <v>0</v>
      </c>
      <c r="BM91" s="139">
        <f t="shared" si="29"/>
        <v>4.2854553369865745E-5</v>
      </c>
      <c r="BN91" s="80">
        <f t="shared" si="30"/>
        <v>0</v>
      </c>
      <c r="BO91" s="83">
        <f t="shared" si="31"/>
        <v>0</v>
      </c>
      <c r="BP91" s="80">
        <f t="shared" si="32"/>
        <v>0</v>
      </c>
      <c r="BQ91" s="80">
        <f t="shared" si="33"/>
        <v>0</v>
      </c>
      <c r="BR91" s="81">
        <f t="shared" si="34"/>
        <v>0</v>
      </c>
      <c r="BS91" s="80">
        <f t="shared" si="35"/>
        <v>-4.1066446347385054E-5</v>
      </c>
      <c r="BT91" s="80">
        <f t="shared" si="36"/>
        <v>-4.106644635431999E-5</v>
      </c>
      <c r="BU91" s="96">
        <f t="shared" si="37"/>
        <v>-4.1066446057666006E-5</v>
      </c>
    </row>
    <row r="92" spans="1:73" x14ac:dyDescent="0.25">
      <c r="A92" s="171">
        <v>79.265377057073295</v>
      </c>
      <c r="B92" s="57">
        <v>54</v>
      </c>
      <c r="C92" s="112">
        <v>37</v>
      </c>
      <c r="D92" s="211" t="s">
        <v>7</v>
      </c>
      <c r="E92" s="258">
        <v>2.0943951023932001</v>
      </c>
      <c r="F92" s="60">
        <v>0.63104008034769998</v>
      </c>
      <c r="G92" s="172">
        <v>0.41615747084889998</v>
      </c>
      <c r="H92" s="166" t="s">
        <v>31</v>
      </c>
      <c r="I92" s="118">
        <v>15569.1</v>
      </c>
      <c r="J92" s="1">
        <v>510.79599999999999</v>
      </c>
      <c r="K92" s="1">
        <v>6129.55</v>
      </c>
      <c r="L92" s="1">
        <v>155.691</v>
      </c>
      <c r="M92" s="1">
        <v>9.67417E-2</v>
      </c>
      <c r="N92" s="1">
        <v>155691</v>
      </c>
      <c r="O92" s="1">
        <v>170.26499999999999</v>
      </c>
      <c r="P92" s="119">
        <v>155690661</v>
      </c>
      <c r="Q92" s="118">
        <v>723383427</v>
      </c>
      <c r="R92" s="1">
        <v>7233834</v>
      </c>
      <c r="S92" s="1">
        <v>72338.3</v>
      </c>
      <c r="T92" s="1">
        <v>723.38300000000004</v>
      </c>
      <c r="U92" s="1">
        <v>1121247</v>
      </c>
      <c r="V92" s="1">
        <v>7786.43</v>
      </c>
      <c r="W92" s="1">
        <v>7.2338300000000002</v>
      </c>
      <c r="X92" s="1">
        <v>7.2338299999999994E-2</v>
      </c>
      <c r="Y92" s="119">
        <v>0.17875199999999999</v>
      </c>
      <c r="Z92" s="143">
        <v>7</v>
      </c>
      <c r="AA92" s="15">
        <v>79.265379999999993</v>
      </c>
      <c r="AB92" s="2">
        <v>54</v>
      </c>
      <c r="AC92" s="16">
        <v>37</v>
      </c>
      <c r="AD92" s="19" t="s">
        <v>7</v>
      </c>
      <c r="AE92" s="15">
        <v>2.094395</v>
      </c>
      <c r="AF92" s="2">
        <v>0.63104000000000005</v>
      </c>
      <c r="AG92" s="16">
        <v>0.416157</v>
      </c>
      <c r="AH92" s="19" t="s">
        <v>31</v>
      </c>
      <c r="AI92" s="15">
        <v>15569</v>
      </c>
      <c r="AJ92" s="2">
        <v>510.79500000000002</v>
      </c>
      <c r="AK92" s="2">
        <v>6129.54</v>
      </c>
      <c r="AL92" s="2">
        <v>155.69</v>
      </c>
      <c r="AM92" s="2">
        <v>9.6741499999999994E-2</v>
      </c>
      <c r="AN92" s="2">
        <v>155690</v>
      </c>
      <c r="AO92" s="2">
        <f>AA92+AB92+AC92</f>
        <v>170.26537999999999</v>
      </c>
      <c r="AP92" s="16">
        <v>155690316</v>
      </c>
      <c r="AQ92" s="15">
        <v>723383000</v>
      </c>
      <c r="AR92" s="2">
        <v>7233830</v>
      </c>
      <c r="AS92" s="2">
        <v>72338.3</v>
      </c>
      <c r="AT92" s="2">
        <f>SQRT((AO92/2)*(AO92/2-AA92)*(AO92/2-AB92)*(AO92/2-AC92))*0.9144*0.9144</f>
        <v>723.38337071992964</v>
      </c>
      <c r="AU92" s="2">
        <v>1121246</v>
      </c>
      <c r="AV92" s="2">
        <v>7786.43</v>
      </c>
      <c r="AW92" s="2">
        <v>7.2338300000000002</v>
      </c>
      <c r="AX92" s="2">
        <v>7.2338299999999994E-2</v>
      </c>
      <c r="AY92" s="42">
        <v>0.17875199999999999</v>
      </c>
      <c r="AZ92" s="238" t="s">
        <v>7</v>
      </c>
      <c r="BA92" s="251">
        <f t="shared" si="38"/>
        <v>-3.7127516436293466E-6</v>
      </c>
      <c r="BB92" s="73">
        <f t="shared" si="40"/>
        <v>1.273258429541876E-5</v>
      </c>
      <c r="BC92" s="234">
        <f t="shared" si="39"/>
        <v>1.1314213145051091E-4</v>
      </c>
      <c r="BD92" s="238" t="s">
        <v>31</v>
      </c>
      <c r="BE92" s="134">
        <f t="shared" si="21"/>
        <v>6.4230201040762927E-4</v>
      </c>
      <c r="BF92" s="82">
        <f t="shared" si="22"/>
        <v>1.9577325541094825E-4</v>
      </c>
      <c r="BG92" s="82">
        <f t="shared" si="23"/>
        <v>1.6314437951654248E-4</v>
      </c>
      <c r="BH92" s="82">
        <f t="shared" si="24"/>
        <v>6.4230201040835948E-4</v>
      </c>
      <c r="BI92" s="82">
        <f t="shared" si="25"/>
        <v>2.067365091566196E-4</v>
      </c>
      <c r="BJ92" s="82">
        <f t="shared" si="26"/>
        <v>6.423020104052926E-4</v>
      </c>
      <c r="BK92" s="83">
        <f t="shared" si="27"/>
        <v>-2.2318101307907125E-4</v>
      </c>
      <c r="BL92" s="96">
        <f t="shared" si="28"/>
        <v>2.2159374382668733E-4</v>
      </c>
      <c r="BM92" s="139">
        <f t="shared" si="29"/>
        <v>5.9028204975787379E-5</v>
      </c>
      <c r="BN92" s="80">
        <f t="shared" si="30"/>
        <v>5.5295742366077165E-5</v>
      </c>
      <c r="BO92" s="83">
        <f t="shared" si="31"/>
        <v>0</v>
      </c>
      <c r="BP92" s="80">
        <f t="shared" si="32"/>
        <v>-5.1248058029998898E-5</v>
      </c>
      <c r="BQ92" s="80">
        <f t="shared" si="33"/>
        <v>8.9186494310793533E-5</v>
      </c>
      <c r="BR92" s="81">
        <f t="shared" si="34"/>
        <v>0</v>
      </c>
      <c r="BS92" s="80">
        <f t="shared" si="35"/>
        <v>0</v>
      </c>
      <c r="BT92" s="80">
        <f t="shared" si="36"/>
        <v>0</v>
      </c>
      <c r="BU92" s="96">
        <f t="shared" si="37"/>
        <v>0</v>
      </c>
    </row>
    <row r="93" spans="1:73" ht="15.75" thickBot="1" x14ac:dyDescent="0.3">
      <c r="A93" s="176">
        <v>49.3488318985262</v>
      </c>
      <c r="B93" s="177">
        <v>65.488035999999994</v>
      </c>
      <c r="C93" s="254">
        <v>82</v>
      </c>
      <c r="D93" s="212" t="s">
        <v>20</v>
      </c>
      <c r="E93" s="259">
        <v>0.64577182323789994</v>
      </c>
      <c r="F93" s="178">
        <v>0.92502296706919995</v>
      </c>
      <c r="G93" s="181">
        <v>1.5707978632827</v>
      </c>
      <c r="H93" s="167" t="s">
        <v>31</v>
      </c>
      <c r="I93" s="121">
        <v>1.9683699999999998E-2</v>
      </c>
      <c r="J93" s="64">
        <v>6.4579000000000004E-4</v>
      </c>
      <c r="K93" s="55">
        <v>7.7494800000000004E-3</v>
      </c>
      <c r="L93" s="62">
        <v>1.96837E-4</v>
      </c>
      <c r="M93" s="65">
        <v>1.2230875928237001E-7</v>
      </c>
      <c r="N93" s="66">
        <v>0.19683700000000001</v>
      </c>
      <c r="O93" s="64">
        <v>2.1526299999999999E-4</v>
      </c>
      <c r="P93" s="122">
        <v>196.83699999999999</v>
      </c>
      <c r="Q93" s="129">
        <v>1.6158800000000001E-3</v>
      </c>
      <c r="R93" s="67">
        <v>1.6158790399624101E-5</v>
      </c>
      <c r="S93" s="68">
        <v>1.61587903996241E-7</v>
      </c>
      <c r="T93" s="69">
        <v>1.6158790399624101E-9</v>
      </c>
      <c r="U93" s="67">
        <v>2.5046175211767699E-6</v>
      </c>
      <c r="V93" s="68">
        <v>1.7393177230394301E-8</v>
      </c>
      <c r="W93" s="70">
        <v>1.61587903996241E-11</v>
      </c>
      <c r="X93" s="71">
        <v>1.61587903996241E-13</v>
      </c>
      <c r="Y93" s="72">
        <v>3.9929240657470801E-13</v>
      </c>
      <c r="Z93" s="144">
        <v>8</v>
      </c>
      <c r="AA93" s="17">
        <v>49.348815000000002</v>
      </c>
      <c r="AB93" s="9">
        <v>65.488035999999994</v>
      </c>
      <c r="AC93" s="10">
        <v>82</v>
      </c>
      <c r="AD93" s="20" t="s">
        <v>20</v>
      </c>
      <c r="AE93" s="17">
        <v>0.64577200000000001</v>
      </c>
      <c r="AF93" s="9">
        <v>0.92502399999999996</v>
      </c>
      <c r="AG93" s="10">
        <v>1.5707960000000001</v>
      </c>
      <c r="AH93" s="20" t="s">
        <v>31</v>
      </c>
      <c r="AI93" s="17">
        <v>1.9683699999999998E-2</v>
      </c>
      <c r="AJ93" s="36">
        <v>6.4579100000000005E-4</v>
      </c>
      <c r="AK93" s="9">
        <v>7.7494900000000004E-3</v>
      </c>
      <c r="AL93" s="37">
        <v>1.96837E-4</v>
      </c>
      <c r="AM93" s="38">
        <v>1.2230884136641999E-7</v>
      </c>
      <c r="AN93" s="9">
        <v>0.19683700000000001</v>
      </c>
      <c r="AO93" s="36">
        <v>2.15264E-4</v>
      </c>
      <c r="AP93" s="10">
        <f>AA93+AB93+AC93</f>
        <v>196.836851</v>
      </c>
      <c r="AQ93" s="17">
        <f>SQRT((AP93/2)*(AP93/2-AA93)*(AP93/2-AB93)*(AP93/2-AC93))/1000000</f>
        <v>1.6158784866360681E-3</v>
      </c>
      <c r="AR93" s="39">
        <v>1.6158799999999999E-5</v>
      </c>
      <c r="AS93" s="39">
        <v>1.61588E-7</v>
      </c>
      <c r="AT93" s="39">
        <v>1.61588E-9</v>
      </c>
      <c r="AU93" s="40">
        <v>2.50461900923802E-6</v>
      </c>
      <c r="AV93" s="40">
        <v>1.73931875641529E-8</v>
      </c>
      <c r="AW93" s="39">
        <v>1.6158800000000001E-11</v>
      </c>
      <c r="AX93" s="39">
        <v>1.61588E-13</v>
      </c>
      <c r="AY93" s="45">
        <v>3.9929264380516298E-13</v>
      </c>
      <c r="AZ93" s="239" t="s">
        <v>20</v>
      </c>
      <c r="BA93" s="252">
        <f t="shared" si="38"/>
        <v>3.4243023257814793E-5</v>
      </c>
      <c r="BB93" s="97">
        <f t="shared" si="40"/>
        <v>-1.1166529733331785E-4</v>
      </c>
      <c r="BC93" s="235">
        <f t="shared" si="39"/>
        <v>1.1862028550555731E-4</v>
      </c>
      <c r="BD93" s="239" t="s">
        <v>31</v>
      </c>
      <c r="BE93" s="135">
        <f t="shared" si="21"/>
        <v>0</v>
      </c>
      <c r="BF93" s="98">
        <f t="shared" si="22"/>
        <v>-1.5484885977285921E-4</v>
      </c>
      <c r="BG93" s="98">
        <f t="shared" si="23"/>
        <v>-1.2904074977760616E-4</v>
      </c>
      <c r="BH93" s="98">
        <f t="shared" si="24"/>
        <v>0</v>
      </c>
      <c r="BI93" s="98">
        <f t="shared" si="25"/>
        <v>-6.7112114755465646E-5</v>
      </c>
      <c r="BJ93" s="98">
        <f t="shared" si="26"/>
        <v>0</v>
      </c>
      <c r="BK93" s="99">
        <f t="shared" si="27"/>
        <v>-4.6454585997461037E-4</v>
      </c>
      <c r="BL93" s="102">
        <f t="shared" si="28"/>
        <v>7.5697207731337561E-5</v>
      </c>
      <c r="BM93" s="140">
        <f t="shared" si="29"/>
        <v>9.3655800514507354E-5</v>
      </c>
      <c r="BN93" s="100">
        <f t="shared" si="30"/>
        <v>-5.9412678523305907E-5</v>
      </c>
      <c r="BO93" s="99">
        <f t="shared" si="31"/>
        <v>-5.9412678542963136E-5</v>
      </c>
      <c r="BP93" s="100">
        <f t="shared" si="32"/>
        <v>-5.9412678535284532E-5</v>
      </c>
      <c r="BQ93" s="100">
        <f t="shared" si="33"/>
        <v>-5.941267891948463E-5</v>
      </c>
      <c r="BR93" s="101">
        <f t="shared" si="34"/>
        <v>-5.9412678446021008E-5</v>
      </c>
      <c r="BS93" s="100">
        <f t="shared" si="35"/>
        <v>-5.9412678546482497E-5</v>
      </c>
      <c r="BT93" s="100">
        <f t="shared" si="36"/>
        <v>-5.9412678540233637E-5</v>
      </c>
      <c r="BU93" s="102">
        <f t="shared" si="37"/>
        <v>-5.9412678559035654E-5</v>
      </c>
    </row>
    <row r="94" spans="1:73" x14ac:dyDescent="0.25">
      <c r="A94" s="168">
        <v>34.405688306747003</v>
      </c>
      <c r="B94" s="115">
        <v>45</v>
      </c>
      <c r="C94" s="223">
        <v>65</v>
      </c>
      <c r="D94" s="210" t="s">
        <v>9</v>
      </c>
      <c r="E94" s="257">
        <v>33.3333333333334</v>
      </c>
      <c r="F94" s="169">
        <v>45.378846718297297</v>
      </c>
      <c r="G94" s="182">
        <v>121.28781994836901</v>
      </c>
      <c r="H94" s="165" t="s">
        <v>32</v>
      </c>
      <c r="I94" s="114">
        <v>144.40600000000001</v>
      </c>
      <c r="J94" s="115">
        <v>4.7377200000000004</v>
      </c>
      <c r="K94" s="115">
        <v>56.852600000000002</v>
      </c>
      <c r="L94" s="115">
        <v>1.4440599999999999</v>
      </c>
      <c r="M94" s="116">
        <v>8.9729499999999999E-4</v>
      </c>
      <c r="N94" s="115">
        <v>1444.06</v>
      </c>
      <c r="O94" s="115">
        <v>1.57924</v>
      </c>
      <c r="P94" s="117">
        <v>1444057</v>
      </c>
      <c r="Q94" s="114">
        <v>73125</v>
      </c>
      <c r="R94" s="115">
        <v>731.25</v>
      </c>
      <c r="S94" s="115">
        <v>7.3125</v>
      </c>
      <c r="T94" s="115">
        <v>7.3124999999999996E-2</v>
      </c>
      <c r="U94" s="115">
        <v>113.34399999999999</v>
      </c>
      <c r="V94" s="115">
        <v>0.78711100000000001</v>
      </c>
      <c r="W94" s="123">
        <v>7.3125000000000002E-4</v>
      </c>
      <c r="X94" s="124">
        <v>7.3124999999999999E-6</v>
      </c>
      <c r="Y94" s="125">
        <v>1.8069581019786499E-5</v>
      </c>
      <c r="Z94" s="142">
        <v>1</v>
      </c>
      <c r="AA94" s="13">
        <v>34.405701999999998</v>
      </c>
      <c r="AB94" s="7">
        <v>45</v>
      </c>
      <c r="AC94" s="14">
        <v>65</v>
      </c>
      <c r="AD94" s="18" t="s">
        <v>9</v>
      </c>
      <c r="AE94" s="13">
        <v>33.333334000000001</v>
      </c>
      <c r="AF94" s="7">
        <v>45.378852999999999</v>
      </c>
      <c r="AG94" s="14">
        <v>121.287813</v>
      </c>
      <c r="AH94" s="18" t="s">
        <v>32</v>
      </c>
      <c r="AI94" s="13">
        <f>AA94+AB94+AC94</f>
        <v>144.40570199999999</v>
      </c>
      <c r="AJ94" s="7">
        <v>4.73773</v>
      </c>
      <c r="AK94" s="7">
        <v>56.852800000000002</v>
      </c>
      <c r="AL94" s="7">
        <v>1.4440599999999999</v>
      </c>
      <c r="AM94" s="163">
        <v>8.9729700000000003E-4</v>
      </c>
      <c r="AN94" s="7">
        <v>1444.06</v>
      </c>
      <c r="AO94" s="7">
        <v>1.57924</v>
      </c>
      <c r="AP94" s="14">
        <v>1444060</v>
      </c>
      <c r="AQ94" s="8">
        <v>73125</v>
      </c>
      <c r="AR94" s="12">
        <f>SQRT((AI94/2)*(AI94/2-AA94)*(AI94/2-AB94)*(AI94/2-AC94))</f>
        <v>731.25040800683269</v>
      </c>
      <c r="AS94" s="7">
        <v>7.3125</v>
      </c>
      <c r="AT94" s="7">
        <v>7.3124999999999996E-2</v>
      </c>
      <c r="AU94" s="7">
        <v>113.34399999999999</v>
      </c>
      <c r="AV94" s="7">
        <v>0.78711100000000001</v>
      </c>
      <c r="AW94" s="21">
        <v>7.3125000000000002E-4</v>
      </c>
      <c r="AX94" s="22">
        <v>7.3124999999999999E-6</v>
      </c>
      <c r="AY94" s="41">
        <v>1.8069581019786499E-5</v>
      </c>
      <c r="AZ94" s="240" t="s">
        <v>9</v>
      </c>
      <c r="BA94" s="253">
        <f t="shared" si="38"/>
        <v>-3.9799371033018691E-5</v>
      </c>
      <c r="BB94" s="85">
        <f t="shared" si="40"/>
        <v>-1.384279744332177E-5</v>
      </c>
      <c r="BC94" s="236">
        <f t="shared" si="39"/>
        <v>5.7288270219691766E-6</v>
      </c>
      <c r="BD94" s="240" t="s">
        <v>32</v>
      </c>
      <c r="BE94" s="136">
        <f t="shared" si="21"/>
        <v>2.0636304237834632E-4</v>
      </c>
      <c r="BF94" s="86">
        <f t="shared" si="22"/>
        <v>-2.1107154691426955E-4</v>
      </c>
      <c r="BG94" s="86">
        <f t="shared" si="23"/>
        <v>-3.5178566402979954E-4</v>
      </c>
      <c r="BH94" s="86">
        <f t="shared" si="24"/>
        <v>0</v>
      </c>
      <c r="BI94" s="86">
        <f t="shared" si="25"/>
        <v>-2.2289164011820951E-4</v>
      </c>
      <c r="BJ94" s="86">
        <f t="shared" si="26"/>
        <v>0</v>
      </c>
      <c r="BK94" s="87">
        <f t="shared" si="27"/>
        <v>0</v>
      </c>
      <c r="BL94" s="137">
        <f t="shared" si="28"/>
        <v>-2.0774760051521404E-4</v>
      </c>
      <c r="BM94" s="141">
        <f t="shared" si="29"/>
        <v>0</v>
      </c>
      <c r="BN94" s="88">
        <f t="shared" si="30"/>
        <v>-5.57957750475405E-5</v>
      </c>
      <c r="BO94" s="87">
        <f t="shared" si="31"/>
        <v>0</v>
      </c>
      <c r="BP94" s="88">
        <f t="shared" si="32"/>
        <v>0</v>
      </c>
      <c r="BQ94" s="88">
        <f t="shared" si="33"/>
        <v>0</v>
      </c>
      <c r="BR94" s="89">
        <f t="shared" si="34"/>
        <v>0</v>
      </c>
      <c r="BS94" s="88">
        <f t="shared" si="35"/>
        <v>0</v>
      </c>
      <c r="BT94" s="88">
        <f t="shared" si="36"/>
        <v>0</v>
      </c>
      <c r="BU94" s="137">
        <f t="shared" si="37"/>
        <v>0</v>
      </c>
    </row>
    <row r="95" spans="1:73" x14ac:dyDescent="0.25">
      <c r="A95" s="171">
        <v>88.408144421201399</v>
      </c>
      <c r="B95" s="57">
        <v>54</v>
      </c>
      <c r="C95" s="112">
        <v>70</v>
      </c>
      <c r="D95" s="211" t="s">
        <v>5</v>
      </c>
      <c r="E95" s="258">
        <v>100</v>
      </c>
      <c r="F95" s="60">
        <v>41.830689600122597</v>
      </c>
      <c r="G95" s="175">
        <v>58.169310399877403</v>
      </c>
      <c r="H95" s="166" t="s">
        <v>32</v>
      </c>
      <c r="I95" s="118">
        <v>6474.2</v>
      </c>
      <c r="J95" s="1">
        <v>212.40799999999999</v>
      </c>
      <c r="K95" s="1">
        <v>2548.9</v>
      </c>
      <c r="L95" s="1">
        <v>64.742000000000004</v>
      </c>
      <c r="M95" s="1">
        <v>4.0228800000000002E-2</v>
      </c>
      <c r="N95" s="1">
        <v>64742</v>
      </c>
      <c r="O95" s="1">
        <v>70.802700000000002</v>
      </c>
      <c r="P95" s="119">
        <v>64742002</v>
      </c>
      <c r="Q95" s="118">
        <v>175586746</v>
      </c>
      <c r="R95" s="1">
        <v>1755867</v>
      </c>
      <c r="S95" s="1">
        <v>17558.7</v>
      </c>
      <c r="T95" s="1">
        <v>175.58699999999999</v>
      </c>
      <c r="U95" s="1">
        <v>272160</v>
      </c>
      <c r="V95" s="1">
        <v>1890</v>
      </c>
      <c r="W95" s="1">
        <v>1.75587</v>
      </c>
      <c r="X95" s="52">
        <v>1.75587E-2</v>
      </c>
      <c r="Y95" s="119">
        <v>4.3388400000000001E-2</v>
      </c>
      <c r="Z95" s="143">
        <v>2</v>
      </c>
      <c r="AA95" s="15">
        <v>88.408079999999998</v>
      </c>
      <c r="AB95" s="34">
        <v>54</v>
      </c>
      <c r="AC95" s="16">
        <v>70</v>
      </c>
      <c r="AD95" s="19" t="s">
        <v>5</v>
      </c>
      <c r="AE95" s="15">
        <v>100</v>
      </c>
      <c r="AF95" s="2">
        <v>41.830688000000002</v>
      </c>
      <c r="AG95" s="16">
        <v>58.169311999999998</v>
      </c>
      <c r="AH95" s="19" t="s">
        <v>32</v>
      </c>
      <c r="AI95" s="15">
        <v>6474.2</v>
      </c>
      <c r="AJ95" s="2">
        <f>AA95+AB95+AC95</f>
        <v>212.40807999999998</v>
      </c>
      <c r="AK95" s="2">
        <v>2548.9</v>
      </c>
      <c r="AL95" s="2">
        <v>64.742000000000004</v>
      </c>
      <c r="AM95" s="2">
        <v>4.0228800000000002E-2</v>
      </c>
      <c r="AN95" s="2">
        <v>64742</v>
      </c>
      <c r="AO95" s="2">
        <v>70.802700000000002</v>
      </c>
      <c r="AP95" s="16">
        <v>64741958</v>
      </c>
      <c r="AQ95" s="15">
        <v>175586746</v>
      </c>
      <c r="AR95" s="2">
        <v>1755867</v>
      </c>
      <c r="AS95" s="2">
        <v>17558.7</v>
      </c>
      <c r="AT95" s="2">
        <v>175.58699999999999</v>
      </c>
      <c r="AU95" s="2">
        <v>272160</v>
      </c>
      <c r="AV95" s="2">
        <f>SQRT((AJ95/2)*(AJ95/2-AA95)*(AJ95/2-AB95)*(AJ95/2-AC95))</f>
        <v>1889.9999999978538</v>
      </c>
      <c r="AW95" s="2">
        <v>1.75587</v>
      </c>
      <c r="AX95" s="23">
        <v>1.75587E-2</v>
      </c>
      <c r="AY95" s="42">
        <v>4.3388400000000001E-2</v>
      </c>
      <c r="AZ95" s="238" t="s">
        <v>5</v>
      </c>
      <c r="BA95" s="251">
        <f t="shared" si="38"/>
        <v>7.2868001885045648E-5</v>
      </c>
      <c r="BB95" s="73">
        <f t="shared" si="40"/>
        <v>3.8252361386575854E-6</v>
      </c>
      <c r="BC95" s="234">
        <f t="shared" si="39"/>
        <v>-2.7508019940567663E-6</v>
      </c>
      <c r="BD95" s="238" t="s">
        <v>32</v>
      </c>
      <c r="BE95" s="134">
        <f t="shared" si="21"/>
        <v>0</v>
      </c>
      <c r="BF95" s="82">
        <f t="shared" si="22"/>
        <v>-3.7663350658304234E-5</v>
      </c>
      <c r="BG95" s="82">
        <f t="shared" si="23"/>
        <v>0</v>
      </c>
      <c r="BH95" s="82">
        <f t="shared" si="24"/>
        <v>0</v>
      </c>
      <c r="BI95" s="82">
        <f t="shared" si="25"/>
        <v>0</v>
      </c>
      <c r="BJ95" s="82">
        <f t="shared" si="26"/>
        <v>0</v>
      </c>
      <c r="BK95" s="83">
        <f t="shared" si="27"/>
        <v>0</v>
      </c>
      <c r="BL95" s="96">
        <f t="shared" si="28"/>
        <v>6.796210890007373E-5</v>
      </c>
      <c r="BM95" s="139">
        <f t="shared" si="29"/>
        <v>0</v>
      </c>
      <c r="BN95" s="80">
        <f t="shared" si="30"/>
        <v>0</v>
      </c>
      <c r="BO95" s="83">
        <f t="shared" si="31"/>
        <v>0</v>
      </c>
      <c r="BP95" s="80">
        <f t="shared" si="32"/>
        <v>0</v>
      </c>
      <c r="BQ95" s="80">
        <f t="shared" si="33"/>
        <v>0</v>
      </c>
      <c r="BR95" s="81">
        <f t="shared" si="34"/>
        <v>1.1355450383656638E-10</v>
      </c>
      <c r="BS95" s="80">
        <f t="shared" si="35"/>
        <v>0</v>
      </c>
      <c r="BT95" s="80">
        <f t="shared" si="36"/>
        <v>0</v>
      </c>
      <c r="BU95" s="96">
        <f t="shared" si="37"/>
        <v>0</v>
      </c>
    </row>
    <row r="96" spans="1:73" x14ac:dyDescent="0.25">
      <c r="A96" s="173">
        <v>57</v>
      </c>
      <c r="B96" s="57">
        <v>57</v>
      </c>
      <c r="C96" s="112">
        <v>57</v>
      </c>
      <c r="D96" s="211" t="s">
        <v>8</v>
      </c>
      <c r="E96" s="258">
        <v>66.666666666666799</v>
      </c>
      <c r="F96" s="60">
        <v>66.666666666666799</v>
      </c>
      <c r="G96" s="175">
        <v>66.666666666666401</v>
      </c>
      <c r="H96" s="166" t="s">
        <v>32</v>
      </c>
      <c r="I96" s="118">
        <v>434.34</v>
      </c>
      <c r="J96" s="1">
        <v>14.25</v>
      </c>
      <c r="K96" s="1">
        <v>171</v>
      </c>
      <c r="L96" s="1">
        <v>4.3433999999999999</v>
      </c>
      <c r="M96" s="1">
        <v>2.69886E-3</v>
      </c>
      <c r="N96" s="1">
        <v>4343.3999999999996</v>
      </c>
      <c r="O96" s="1">
        <v>4.75</v>
      </c>
      <c r="P96" s="119">
        <v>4343400</v>
      </c>
      <c r="Q96" s="118">
        <v>907649</v>
      </c>
      <c r="R96" s="1">
        <v>9076.49</v>
      </c>
      <c r="S96" s="1">
        <v>90.764899999999997</v>
      </c>
      <c r="T96" s="1">
        <v>0.90764900000000004</v>
      </c>
      <c r="U96" s="1">
        <v>1406.86</v>
      </c>
      <c r="V96" s="1">
        <v>9.7698499999999999</v>
      </c>
      <c r="W96" s="49">
        <v>9.0764899999999996E-3</v>
      </c>
      <c r="X96" s="58">
        <v>9.0764868047179601E-5</v>
      </c>
      <c r="Y96" s="126">
        <v>2.2428500000000001E-4</v>
      </c>
      <c r="Z96" s="143">
        <v>3</v>
      </c>
      <c r="AA96" s="15">
        <v>57</v>
      </c>
      <c r="AB96" s="2">
        <v>57</v>
      </c>
      <c r="AC96" s="16">
        <v>57</v>
      </c>
      <c r="AD96" s="19" t="s">
        <v>8</v>
      </c>
      <c r="AE96" s="15">
        <v>66.666666000000006</v>
      </c>
      <c r="AF96" s="2">
        <v>66.666657999999998</v>
      </c>
      <c r="AG96" s="16">
        <v>66.666675999999995</v>
      </c>
      <c r="AH96" s="19" t="s">
        <v>32</v>
      </c>
      <c r="AI96" s="15">
        <v>434.34</v>
      </c>
      <c r="AJ96" s="2">
        <v>14.25</v>
      </c>
      <c r="AK96" s="2">
        <f>AA96+AB96+AC96</f>
        <v>171</v>
      </c>
      <c r="AL96" s="2">
        <v>4.3433999999999999</v>
      </c>
      <c r="AM96" s="2">
        <v>2.69886E-3</v>
      </c>
      <c r="AN96" s="2">
        <v>4343.3999999999996</v>
      </c>
      <c r="AO96" s="2">
        <v>4.75</v>
      </c>
      <c r="AP96" s="16">
        <v>4343400</v>
      </c>
      <c r="AQ96" s="27">
        <v>907650</v>
      </c>
      <c r="AR96" s="26">
        <v>9076.5</v>
      </c>
      <c r="AS96" s="2">
        <v>90.765000000000001</v>
      </c>
      <c r="AT96" s="2">
        <v>0.90764999999999996</v>
      </c>
      <c r="AU96" s="2">
        <f>SQRT((AK96/2)*(AK96/2-AA96)*(AK96/2-AB96)*(AK96/2-AC96))</f>
        <v>1406.8582684478206</v>
      </c>
      <c r="AV96" s="2">
        <v>9.7698599999999995</v>
      </c>
      <c r="AW96" s="24">
        <v>9.0764999999999995E-3</v>
      </c>
      <c r="AX96" s="25">
        <v>9.0764979760000005E-5</v>
      </c>
      <c r="AY96" s="43">
        <v>2.2428500000000001E-4</v>
      </c>
      <c r="AZ96" s="238" t="s">
        <v>8</v>
      </c>
      <c r="BA96" s="251">
        <f t="shared" si="38"/>
        <v>0</v>
      </c>
      <c r="BB96" s="73">
        <f t="shared" si="40"/>
        <v>1.3000001891657504E-5</v>
      </c>
      <c r="BC96" s="234">
        <f t="shared" si="39"/>
        <v>-1.399999843097926E-5</v>
      </c>
      <c r="BD96" s="238" t="s">
        <v>32</v>
      </c>
      <c r="BE96" s="134">
        <f t="shared" si="21"/>
        <v>0</v>
      </c>
      <c r="BF96" s="82">
        <f t="shared" si="22"/>
        <v>0</v>
      </c>
      <c r="BG96" s="82">
        <f t="shared" si="23"/>
        <v>0</v>
      </c>
      <c r="BH96" s="82">
        <f t="shared" si="24"/>
        <v>0</v>
      </c>
      <c r="BI96" s="82">
        <f t="shared" si="25"/>
        <v>0</v>
      </c>
      <c r="BJ96" s="82">
        <f t="shared" si="26"/>
        <v>0</v>
      </c>
      <c r="BK96" s="83">
        <f t="shared" si="27"/>
        <v>0</v>
      </c>
      <c r="BL96" s="96">
        <f t="shared" si="28"/>
        <v>0</v>
      </c>
      <c r="BM96" s="139">
        <f t="shared" si="29"/>
        <v>-1.1017462678345177E-4</v>
      </c>
      <c r="BN96" s="80">
        <f t="shared" si="30"/>
        <v>-1.1017462678585665E-4</v>
      </c>
      <c r="BO96" s="83">
        <f t="shared" si="31"/>
        <v>-1.1017462678710919E-4</v>
      </c>
      <c r="BP96" s="80">
        <f t="shared" si="32"/>
        <v>-1.1017462677438808E-4</v>
      </c>
      <c r="BQ96" s="80">
        <f t="shared" si="33"/>
        <v>1.230793618761892E-4</v>
      </c>
      <c r="BR96" s="81">
        <f t="shared" si="34"/>
        <v>-1.0235561205197847E-4</v>
      </c>
      <c r="BS96" s="80">
        <f t="shared" si="35"/>
        <v>-1.1017462678279748E-4</v>
      </c>
      <c r="BT96" s="80">
        <f t="shared" si="36"/>
        <v>-1.2307921039553845E-4</v>
      </c>
      <c r="BU96" s="96">
        <f t="shared" si="37"/>
        <v>0</v>
      </c>
    </row>
    <row r="97" spans="1:73" x14ac:dyDescent="0.25">
      <c r="A97" s="171">
        <v>39.814680356218503</v>
      </c>
      <c r="B97" s="57">
        <v>100</v>
      </c>
      <c r="C97" s="112">
        <v>70</v>
      </c>
      <c r="D97" s="211" t="s">
        <v>4</v>
      </c>
      <c r="E97" s="258">
        <v>20.0000000000013</v>
      </c>
      <c r="F97" s="60">
        <v>143.43516489587401</v>
      </c>
      <c r="G97" s="175">
        <v>36.564835104124697</v>
      </c>
      <c r="H97" s="166" t="s">
        <v>32</v>
      </c>
      <c r="I97" s="118">
        <v>20981.5</v>
      </c>
      <c r="J97" s="1">
        <v>688.36800000000005</v>
      </c>
      <c r="K97" s="1">
        <v>8260.42</v>
      </c>
      <c r="L97" s="1">
        <v>209.815</v>
      </c>
      <c r="M97" s="1">
        <v>0.13037299999999999</v>
      </c>
      <c r="N97" s="1">
        <v>209815</v>
      </c>
      <c r="O97" s="1">
        <v>229.45599999999999</v>
      </c>
      <c r="P97" s="119">
        <v>209814680</v>
      </c>
      <c r="Q97" s="118">
        <v>1081559480</v>
      </c>
      <c r="R97" s="1">
        <v>10815595</v>
      </c>
      <c r="S97" s="1">
        <v>108156</v>
      </c>
      <c r="T97" s="1">
        <v>1081.56</v>
      </c>
      <c r="U97" s="1">
        <v>1676421</v>
      </c>
      <c r="V97" s="1">
        <v>11641.8</v>
      </c>
      <c r="W97" s="1">
        <v>10.8156</v>
      </c>
      <c r="X97" s="1">
        <v>0.108156</v>
      </c>
      <c r="Y97" s="119">
        <v>0.26725900000000002</v>
      </c>
      <c r="Z97" s="143">
        <v>4</v>
      </c>
      <c r="AA97" s="2">
        <v>39.814618000000003</v>
      </c>
      <c r="AB97" s="2">
        <v>100</v>
      </c>
      <c r="AC97" s="35">
        <v>70</v>
      </c>
      <c r="AD97" s="19" t="s">
        <v>4</v>
      </c>
      <c r="AE97" s="15">
        <v>20</v>
      </c>
      <c r="AF97" s="2">
        <v>143.43511599999999</v>
      </c>
      <c r="AG97" s="16">
        <v>36.564880000000002</v>
      </c>
      <c r="AH97" s="19" t="s">
        <v>32</v>
      </c>
      <c r="AI97" s="15">
        <v>20981.5</v>
      </c>
      <c r="AJ97" s="2">
        <v>688.36900000000003</v>
      </c>
      <c r="AK97" s="2">
        <v>8260.43</v>
      </c>
      <c r="AL97" s="2">
        <f>AA97+AB97+AC97</f>
        <v>209.814618</v>
      </c>
      <c r="AM97" s="2">
        <v>0.13037299999999999</v>
      </c>
      <c r="AN97" s="29">
        <v>209815</v>
      </c>
      <c r="AO97" s="2">
        <v>229.45599999999999</v>
      </c>
      <c r="AP97" s="16">
        <v>209815000</v>
      </c>
      <c r="AQ97" s="15">
        <v>1081560000</v>
      </c>
      <c r="AR97" s="2">
        <v>10815600</v>
      </c>
      <c r="AS97" s="2">
        <v>108156</v>
      </c>
      <c r="AT97" s="2">
        <f>SQRT((AL97/2)*(AL97/2-AA97)*(AL97/2-AB97)*(AL97/2-AC97))</f>
        <v>1081.5556598363034</v>
      </c>
      <c r="AU97" s="2">
        <v>1676421</v>
      </c>
      <c r="AV97" s="2">
        <v>11641.8</v>
      </c>
      <c r="AW97" s="2">
        <v>10.8156</v>
      </c>
      <c r="AX97" s="2">
        <v>0.108156</v>
      </c>
      <c r="AY97" s="42">
        <v>0.26725900000000002</v>
      </c>
      <c r="AZ97" s="238" t="s">
        <v>4</v>
      </c>
      <c r="BA97" s="251">
        <f t="shared" si="38"/>
        <v>1.5661639275256888E-4</v>
      </c>
      <c r="BB97" s="73">
        <f>(100*(F97-AF97))/AF97</f>
        <v>3.4089193343945521E-5</v>
      </c>
      <c r="BC97" s="234">
        <f>(100*(G97-AG97))/AG97</f>
        <v>-1.2278414507425837E-4</v>
      </c>
      <c r="BD97" s="238" t="s">
        <v>32</v>
      </c>
      <c r="BE97" s="134">
        <f t="shared" si="21"/>
        <v>0</v>
      </c>
      <c r="BF97" s="82">
        <f t="shared" si="22"/>
        <v>-1.4527092300442831E-4</v>
      </c>
      <c r="BG97" s="82">
        <f t="shared" si="23"/>
        <v>-1.2105907319858988E-4</v>
      </c>
      <c r="BH97" s="82">
        <f t="shared" si="24"/>
        <v>1.8206548411316167E-4</v>
      </c>
      <c r="BI97" s="82">
        <f t="shared" si="25"/>
        <v>0</v>
      </c>
      <c r="BJ97" s="82">
        <f t="shared" si="26"/>
        <v>0</v>
      </c>
      <c r="BK97" s="83">
        <f t="shared" si="27"/>
        <v>0</v>
      </c>
      <c r="BL97" s="96">
        <f t="shared" si="28"/>
        <v>-1.5251531110740415E-4</v>
      </c>
      <c r="BM97" s="139">
        <f t="shared" si="29"/>
        <v>-4.8078701135397018E-5</v>
      </c>
      <c r="BN97" s="80">
        <f t="shared" si="30"/>
        <v>-4.6229520322497132E-5</v>
      </c>
      <c r="BO97" s="83">
        <f t="shared" si="31"/>
        <v>0</v>
      </c>
      <c r="BP97" s="80">
        <f t="shared" si="32"/>
        <v>4.0128898194237666E-4</v>
      </c>
      <c r="BQ97" s="80">
        <f t="shared" si="33"/>
        <v>0</v>
      </c>
      <c r="BR97" s="81">
        <f t="shared" si="34"/>
        <v>0</v>
      </c>
      <c r="BS97" s="80">
        <f t="shared" si="35"/>
        <v>0</v>
      </c>
      <c r="BT97" s="80">
        <f t="shared" si="36"/>
        <v>0</v>
      </c>
      <c r="BU97" s="96">
        <f t="shared" si="37"/>
        <v>0</v>
      </c>
    </row>
    <row r="98" spans="1:73" x14ac:dyDescent="0.25">
      <c r="A98" s="171">
        <v>45.689246987177697</v>
      </c>
      <c r="B98" s="57">
        <v>45.689301999999998</v>
      </c>
      <c r="C98" s="112">
        <v>70</v>
      </c>
      <c r="D98" s="211" t="s">
        <v>10</v>
      </c>
      <c r="E98" s="258">
        <v>44.444444444442397</v>
      </c>
      <c r="F98" s="60">
        <v>44.444508764105201</v>
      </c>
      <c r="G98" s="175">
        <v>111.111046791452</v>
      </c>
      <c r="H98" s="166" t="s">
        <v>32</v>
      </c>
      <c r="I98" s="120">
        <v>25971360</v>
      </c>
      <c r="J98" s="1">
        <v>852079</v>
      </c>
      <c r="K98" s="1">
        <v>10224945</v>
      </c>
      <c r="L98" s="1">
        <v>259714</v>
      </c>
      <c r="M98" s="1">
        <v>161.37899999999999</v>
      </c>
      <c r="N98" s="1">
        <v>259713600</v>
      </c>
      <c r="O98" s="1">
        <v>284026</v>
      </c>
      <c r="P98" s="164">
        <v>259713599541</v>
      </c>
      <c r="Q98" s="120">
        <v>2662243864704850</v>
      </c>
      <c r="R98" s="59">
        <v>26622438647048</v>
      </c>
      <c r="S98" s="59">
        <v>266224386470</v>
      </c>
      <c r="T98" s="1">
        <v>2662243865</v>
      </c>
      <c r="U98" s="59">
        <v>4126486243265</v>
      </c>
      <c r="V98" s="59">
        <v>28656154467</v>
      </c>
      <c r="W98" s="1">
        <v>26622439</v>
      </c>
      <c r="X98" s="1">
        <v>266224</v>
      </c>
      <c r="Y98" s="119">
        <v>657855</v>
      </c>
      <c r="Z98" s="143">
        <v>5</v>
      </c>
      <c r="AA98" s="15">
        <v>45.689332200000003</v>
      </c>
      <c r="AB98" s="2">
        <v>45.689301999999998</v>
      </c>
      <c r="AC98" s="16">
        <v>70</v>
      </c>
      <c r="AD98" s="19" t="s">
        <v>10</v>
      </c>
      <c r="AE98" s="15">
        <v>44.444445999999999</v>
      </c>
      <c r="AF98" s="2">
        <v>44.444445999999999</v>
      </c>
      <c r="AG98" s="16">
        <v>111.111108</v>
      </c>
      <c r="AH98" s="19" t="s">
        <v>32</v>
      </c>
      <c r="AI98" s="15">
        <v>25971433</v>
      </c>
      <c r="AJ98" s="2">
        <v>852081</v>
      </c>
      <c r="AK98" s="2">
        <v>10224973</v>
      </c>
      <c r="AL98" s="2">
        <v>259714</v>
      </c>
      <c r="AM98" s="2">
        <f>AA98+AB98+AC98</f>
        <v>161.37863419999999</v>
      </c>
      <c r="AN98" s="2">
        <v>259714325</v>
      </c>
      <c r="AO98" s="2">
        <v>284027</v>
      </c>
      <c r="AP98" s="16">
        <v>259714325376</v>
      </c>
      <c r="AQ98" s="28">
        <v>2662267633000000</v>
      </c>
      <c r="AR98" s="2">
        <v>26622676330000</v>
      </c>
      <c r="AS98" s="2">
        <v>266226763300</v>
      </c>
      <c r="AT98" s="2">
        <f>SQRT((AL98/2)*(AL98/2-AA98*63360*2.54/100)*(AL98/2-AB98*63360*2.54/100)*(AL98/2-AC98*63360*2.54/100))</f>
        <v>2662267633.4993706</v>
      </c>
      <c r="AU98" s="29">
        <v>4126523084196</v>
      </c>
      <c r="AV98" s="2">
        <v>28656410307</v>
      </c>
      <c r="AW98" s="2">
        <v>26622676</v>
      </c>
      <c r="AX98" s="2">
        <v>266227</v>
      </c>
      <c r="AY98" s="42">
        <v>657861</v>
      </c>
      <c r="AZ98" s="238" t="s">
        <v>10</v>
      </c>
      <c r="BA98" s="251">
        <f t="shared" si="38"/>
        <v>-1.8650485398403617E-4</v>
      </c>
      <c r="BB98" s="73">
        <f t="shared" si="40"/>
        <v>1.4121923176184197E-4</v>
      </c>
      <c r="BC98" s="234">
        <f t="shared" si="39"/>
        <v>-5.5087694746314544E-5</v>
      </c>
      <c r="BD98" s="238" t="s">
        <v>32</v>
      </c>
      <c r="BE98" s="134">
        <f t="shared" si="21"/>
        <v>-2.81078059882179E-4</v>
      </c>
      <c r="BF98" s="82">
        <f t="shared" si="22"/>
        <v>-2.3471946915844854E-4</v>
      </c>
      <c r="BG98" s="82">
        <f t="shared" si="23"/>
        <v>-2.7383935390342838E-4</v>
      </c>
      <c r="BH98" s="82">
        <f t="shared" si="24"/>
        <v>0</v>
      </c>
      <c r="BI98" s="82">
        <f t="shared" si="25"/>
        <v>2.2667188987605597E-4</v>
      </c>
      <c r="BJ98" s="82">
        <f t="shared" si="26"/>
        <v>-2.7915287306543447E-4</v>
      </c>
      <c r="BK98" s="83">
        <f t="shared" si="27"/>
        <v>-3.5207920373767283E-4</v>
      </c>
      <c r="BL98" s="96">
        <f t="shared" si="28"/>
        <v>-2.7947437976290926E-4</v>
      </c>
      <c r="BM98" s="139">
        <f t="shared" si="29"/>
        <v>-8.9278383793504955E-4</v>
      </c>
      <c r="BN98" s="80">
        <f t="shared" si="30"/>
        <v>-8.927838398131477E-4</v>
      </c>
      <c r="BO98" s="83">
        <f t="shared" si="31"/>
        <v>-8.9278402011057313E-4</v>
      </c>
      <c r="BP98" s="80">
        <f t="shared" si="32"/>
        <v>-8.9279150869339414E-4</v>
      </c>
      <c r="BQ98" s="80">
        <f t="shared" si="33"/>
        <v>-8.9278383395201538E-4</v>
      </c>
      <c r="BR98" s="81">
        <f t="shared" si="34"/>
        <v>-8.9278453672023627E-4</v>
      </c>
      <c r="BS98" s="80">
        <f t="shared" si="35"/>
        <v>-8.9021854902940638E-4</v>
      </c>
      <c r="BT98" s="80">
        <f t="shared" si="36"/>
        <v>-1.1268579069741236E-3</v>
      </c>
      <c r="BU98" s="96">
        <f t="shared" si="37"/>
        <v>-9.1204676975835321E-4</v>
      </c>
    </row>
    <row r="99" spans="1:73" x14ac:dyDescent="0.25">
      <c r="A99" s="171">
        <v>57.955562933756397</v>
      </c>
      <c r="B99" s="57">
        <v>57.955565</v>
      </c>
      <c r="C99" s="112">
        <v>30</v>
      </c>
      <c r="D99" s="211" t="s">
        <v>6</v>
      </c>
      <c r="E99" s="258">
        <v>83.333333333330302</v>
      </c>
      <c r="F99" s="60">
        <v>83.333341803932001</v>
      </c>
      <c r="G99" s="175">
        <v>33.333324862737697</v>
      </c>
      <c r="H99" s="166" t="s">
        <v>32</v>
      </c>
      <c r="I99" s="118">
        <v>14.591100000000001</v>
      </c>
      <c r="J99" s="1">
        <v>0.478711</v>
      </c>
      <c r="K99" s="1">
        <v>5.7445300000000001</v>
      </c>
      <c r="L99" s="1">
        <v>0.14591100000000001</v>
      </c>
      <c r="M99" s="49">
        <v>9.0664971524892407E-5</v>
      </c>
      <c r="N99" s="1">
        <v>145.911</v>
      </c>
      <c r="O99" s="1">
        <v>0.15956999999999999</v>
      </c>
      <c r="P99" s="119">
        <v>145911</v>
      </c>
      <c r="Q99" s="127">
        <v>839.71199999999999</v>
      </c>
      <c r="R99" s="78">
        <v>8.3971199999999993</v>
      </c>
      <c r="S99" s="78">
        <v>8.3971199999999996E-2</v>
      </c>
      <c r="T99" s="50">
        <v>8.3971200000000005E-4</v>
      </c>
      <c r="U99" s="78">
        <v>1.3015600000000001</v>
      </c>
      <c r="V99" s="49">
        <v>9.0385799999999992E-3</v>
      </c>
      <c r="W99" s="51">
        <v>8.3971165516012198E-6</v>
      </c>
      <c r="X99" s="79">
        <v>8.3971165516012201E-8</v>
      </c>
      <c r="Y99" s="128">
        <v>2.0749726887076701E-7</v>
      </c>
      <c r="Z99" s="143">
        <v>6</v>
      </c>
      <c r="AA99" s="15">
        <v>57.955565</v>
      </c>
      <c r="AB99" s="2">
        <v>57.955561000000003</v>
      </c>
      <c r="AC99" s="16">
        <v>30</v>
      </c>
      <c r="AD99" s="19" t="s">
        <v>6</v>
      </c>
      <c r="AE99" s="15">
        <v>83.333332999999996</v>
      </c>
      <c r="AF99" s="2">
        <v>83.333332999999996</v>
      </c>
      <c r="AG99" s="16">
        <v>33.333334000000001</v>
      </c>
      <c r="AH99" s="19" t="s">
        <v>32</v>
      </c>
      <c r="AI99" s="15">
        <v>14.591100000000001</v>
      </c>
      <c r="AJ99" s="2">
        <v>0.478711</v>
      </c>
      <c r="AK99" s="2">
        <v>5.7445300000000001</v>
      </c>
      <c r="AL99" s="2">
        <v>0.14591100000000001</v>
      </c>
      <c r="AM99" s="33">
        <v>9.0664892030541594E-5</v>
      </c>
      <c r="AN99" s="2">
        <f>AA99+AB99+AC99</f>
        <v>145.911126</v>
      </c>
      <c r="AO99" s="2">
        <v>0.15956999999999999</v>
      </c>
      <c r="AP99" s="16">
        <v>145911</v>
      </c>
      <c r="AQ99" s="15">
        <f>SQRT((AN99/2)*(AN99/2-AA99)*(AN99/2-AB99)*(AN99/2-AC99))</f>
        <v>839.71164014532701</v>
      </c>
      <c r="AR99" s="2">
        <v>8.3971199999999993</v>
      </c>
      <c r="AS99" s="2">
        <v>8.3971199999999996E-2</v>
      </c>
      <c r="AT99" s="23">
        <v>8.3971200000000005E-4</v>
      </c>
      <c r="AU99" s="2">
        <v>1.3015600000000001</v>
      </c>
      <c r="AV99" s="30">
        <v>9.0385799999999992E-3</v>
      </c>
      <c r="AW99" s="31">
        <v>8.3971199999999993E-6</v>
      </c>
      <c r="AX99" s="32">
        <v>8.3971200000000002E-8</v>
      </c>
      <c r="AY99" s="44">
        <v>2.07497354082556E-7</v>
      </c>
      <c r="AZ99" s="238" t="s">
        <v>6</v>
      </c>
      <c r="BA99" s="251">
        <f t="shared" si="38"/>
        <v>-3.5652203595683655E-6</v>
      </c>
      <c r="BB99" s="73">
        <f t="shared" si="40"/>
        <v>1.0564718447962263E-5</v>
      </c>
      <c r="BC99" s="234">
        <f t="shared" si="39"/>
        <v>-2.7411786361445539E-5</v>
      </c>
      <c r="BD99" s="238" t="s">
        <v>32</v>
      </c>
      <c r="BE99" s="134">
        <f t="shared" si="21"/>
        <v>0</v>
      </c>
      <c r="BF99" s="82">
        <f t="shared" si="22"/>
        <v>0</v>
      </c>
      <c r="BG99" s="82">
        <f t="shared" si="23"/>
        <v>0</v>
      </c>
      <c r="BH99" s="82">
        <f t="shared" si="24"/>
        <v>0</v>
      </c>
      <c r="BI99" s="82">
        <f t="shared" si="25"/>
        <v>8.7679308972268464E-5</v>
      </c>
      <c r="BJ99" s="82">
        <f t="shared" si="26"/>
        <v>-8.6353935747517563E-5</v>
      </c>
      <c r="BK99" s="83">
        <f t="shared" si="27"/>
        <v>0</v>
      </c>
      <c r="BL99" s="96">
        <f t="shared" si="28"/>
        <v>0</v>
      </c>
      <c r="BM99" s="139">
        <f t="shared" si="29"/>
        <v>4.2854553369865745E-5</v>
      </c>
      <c r="BN99" s="80">
        <f t="shared" si="30"/>
        <v>0</v>
      </c>
      <c r="BO99" s="83">
        <f t="shared" si="31"/>
        <v>0</v>
      </c>
      <c r="BP99" s="80">
        <f t="shared" si="32"/>
        <v>0</v>
      </c>
      <c r="BQ99" s="80">
        <f t="shared" si="33"/>
        <v>0</v>
      </c>
      <c r="BR99" s="81">
        <f t="shared" si="34"/>
        <v>0</v>
      </c>
      <c r="BS99" s="80">
        <f t="shared" si="35"/>
        <v>-4.1066446347385054E-5</v>
      </c>
      <c r="BT99" s="80">
        <f t="shared" si="36"/>
        <v>-4.106644635431999E-5</v>
      </c>
      <c r="BU99" s="96">
        <f t="shared" si="37"/>
        <v>-4.1066446057666006E-5</v>
      </c>
    </row>
    <row r="100" spans="1:73" x14ac:dyDescent="0.25">
      <c r="A100" s="171">
        <v>79.265377057073295</v>
      </c>
      <c r="B100" s="57">
        <v>54</v>
      </c>
      <c r="C100" s="112">
        <v>37</v>
      </c>
      <c r="D100" s="211" t="s">
        <v>7</v>
      </c>
      <c r="E100" s="258">
        <v>133.333333333334</v>
      </c>
      <c r="F100" s="60">
        <v>40.173259230577301</v>
      </c>
      <c r="G100" s="175">
        <v>26.493407436088699</v>
      </c>
      <c r="H100" s="166" t="s">
        <v>32</v>
      </c>
      <c r="I100" s="118">
        <v>15569.1</v>
      </c>
      <c r="J100" s="1">
        <v>510.79599999999999</v>
      </c>
      <c r="K100" s="1">
        <v>6129.55</v>
      </c>
      <c r="L100" s="1">
        <v>155.691</v>
      </c>
      <c r="M100" s="1">
        <v>9.67417E-2</v>
      </c>
      <c r="N100" s="1">
        <v>155691</v>
      </c>
      <c r="O100" s="1">
        <v>170.26499999999999</v>
      </c>
      <c r="P100" s="119">
        <v>155690661</v>
      </c>
      <c r="Q100" s="118">
        <v>723383427</v>
      </c>
      <c r="R100" s="1">
        <v>7233834</v>
      </c>
      <c r="S100" s="1">
        <v>72338.3</v>
      </c>
      <c r="T100" s="1">
        <v>723.38300000000004</v>
      </c>
      <c r="U100" s="1">
        <v>1121247</v>
      </c>
      <c r="V100" s="1">
        <v>7786.43</v>
      </c>
      <c r="W100" s="1">
        <v>7.2338300000000002</v>
      </c>
      <c r="X100" s="1">
        <v>7.2338299999999994E-2</v>
      </c>
      <c r="Y100" s="119">
        <v>0.17875199999999999</v>
      </c>
      <c r="Z100" s="143">
        <v>7</v>
      </c>
      <c r="AA100" s="15">
        <v>79.265379999999993</v>
      </c>
      <c r="AB100" s="2">
        <v>54</v>
      </c>
      <c r="AC100" s="16">
        <v>37</v>
      </c>
      <c r="AD100" s="19" t="s">
        <v>7</v>
      </c>
      <c r="AE100" s="15">
        <v>133.33333400000001</v>
      </c>
      <c r="AF100" s="2">
        <v>40.173267000000003</v>
      </c>
      <c r="AG100" s="16">
        <v>26.493399</v>
      </c>
      <c r="AH100" s="19" t="s">
        <v>32</v>
      </c>
      <c r="AI100" s="15">
        <v>15569</v>
      </c>
      <c r="AJ100" s="2">
        <v>510.79500000000002</v>
      </c>
      <c r="AK100" s="2">
        <v>6129.54</v>
      </c>
      <c r="AL100" s="2">
        <v>155.69</v>
      </c>
      <c r="AM100" s="2">
        <v>9.6741499999999994E-2</v>
      </c>
      <c r="AN100" s="2">
        <v>155690</v>
      </c>
      <c r="AO100" s="2">
        <f>AA100+AB100+AC100</f>
        <v>170.26537999999999</v>
      </c>
      <c r="AP100" s="16">
        <v>155690316</v>
      </c>
      <c r="AQ100" s="15">
        <v>723383000</v>
      </c>
      <c r="AR100" s="2">
        <v>7233830</v>
      </c>
      <c r="AS100" s="2">
        <v>72338.3</v>
      </c>
      <c r="AT100" s="2">
        <f>SQRT((AO100/2)*(AO100/2-AA100)*(AO100/2-AB100)*(AO100/2-AC100))*0.9144*0.9144</f>
        <v>723.38337071992964</v>
      </c>
      <c r="AU100" s="2">
        <v>1121246</v>
      </c>
      <c r="AV100" s="2">
        <v>7786.43</v>
      </c>
      <c r="AW100" s="2">
        <v>7.2338300000000002</v>
      </c>
      <c r="AX100" s="2">
        <v>7.2338299999999994E-2</v>
      </c>
      <c r="AY100" s="42">
        <v>0.17875199999999999</v>
      </c>
      <c r="AZ100" s="238" t="s">
        <v>7</v>
      </c>
      <c r="BA100" s="251">
        <f t="shared" si="38"/>
        <v>-3.7127516436293466E-6</v>
      </c>
      <c r="BB100" s="73">
        <f t="shared" si="40"/>
        <v>-1.9339783099149666E-5</v>
      </c>
      <c r="BC100" s="234">
        <f t="shared" si="39"/>
        <v>3.1842228695214206E-5</v>
      </c>
      <c r="BD100" s="238" t="s">
        <v>32</v>
      </c>
      <c r="BE100" s="134">
        <f t="shared" si="21"/>
        <v>6.4230201040762927E-4</v>
      </c>
      <c r="BF100" s="82">
        <f t="shared" si="22"/>
        <v>1.9577325541094825E-4</v>
      </c>
      <c r="BG100" s="82">
        <f t="shared" si="23"/>
        <v>1.6314437951654248E-4</v>
      </c>
      <c r="BH100" s="82">
        <f t="shared" si="24"/>
        <v>6.4230201040835948E-4</v>
      </c>
      <c r="BI100" s="82">
        <f t="shared" si="25"/>
        <v>2.067365091566196E-4</v>
      </c>
      <c r="BJ100" s="82">
        <f t="shared" si="26"/>
        <v>6.423020104052926E-4</v>
      </c>
      <c r="BK100" s="83">
        <f t="shared" si="27"/>
        <v>-2.2318101307907125E-4</v>
      </c>
      <c r="BL100" s="96">
        <f t="shared" si="28"/>
        <v>2.2159374382668733E-4</v>
      </c>
      <c r="BM100" s="139">
        <f t="shared" si="29"/>
        <v>5.9028204975787379E-5</v>
      </c>
      <c r="BN100" s="80">
        <f t="shared" si="30"/>
        <v>5.5295742366077165E-5</v>
      </c>
      <c r="BO100" s="83">
        <f t="shared" si="31"/>
        <v>0</v>
      </c>
      <c r="BP100" s="80">
        <f t="shared" si="32"/>
        <v>-5.1248058029998898E-5</v>
      </c>
      <c r="BQ100" s="80">
        <f t="shared" si="33"/>
        <v>8.9186494310793533E-5</v>
      </c>
      <c r="BR100" s="81">
        <f t="shared" si="34"/>
        <v>0</v>
      </c>
      <c r="BS100" s="80">
        <f t="shared" si="35"/>
        <v>0</v>
      </c>
      <c r="BT100" s="80">
        <f t="shared" si="36"/>
        <v>0</v>
      </c>
      <c r="BU100" s="96">
        <f t="shared" si="37"/>
        <v>0</v>
      </c>
    </row>
    <row r="101" spans="1:73" ht="15.75" thickBot="1" x14ac:dyDescent="0.3">
      <c r="A101" s="176">
        <v>49.3488318985262</v>
      </c>
      <c r="B101" s="177">
        <v>65.488035999999994</v>
      </c>
      <c r="C101" s="254">
        <v>82</v>
      </c>
      <c r="D101" s="212" t="s">
        <v>20</v>
      </c>
      <c r="E101" s="259">
        <v>41.111111111111001</v>
      </c>
      <c r="F101" s="178">
        <v>58.888791073037901</v>
      </c>
      <c r="G101" s="183">
        <v>100.00009781585101</v>
      </c>
      <c r="H101" s="167" t="s">
        <v>32</v>
      </c>
      <c r="I101" s="121">
        <v>1.9683699999999998E-2</v>
      </c>
      <c r="J101" s="64">
        <v>6.4579000000000004E-4</v>
      </c>
      <c r="K101" s="55">
        <v>7.7494800000000004E-3</v>
      </c>
      <c r="L101" s="62">
        <v>1.96837E-4</v>
      </c>
      <c r="M101" s="65">
        <v>1.2230875928237001E-7</v>
      </c>
      <c r="N101" s="66">
        <v>0.19683700000000001</v>
      </c>
      <c r="O101" s="64">
        <v>2.1526299999999999E-4</v>
      </c>
      <c r="P101" s="122">
        <v>196.83699999999999</v>
      </c>
      <c r="Q101" s="129">
        <v>1.6158800000000001E-3</v>
      </c>
      <c r="R101" s="67">
        <v>1.6158790399624101E-5</v>
      </c>
      <c r="S101" s="68">
        <v>1.61587903996241E-7</v>
      </c>
      <c r="T101" s="69">
        <v>1.6158790399624101E-9</v>
      </c>
      <c r="U101" s="67">
        <v>2.5046175211767699E-6</v>
      </c>
      <c r="V101" s="68">
        <v>1.7393177230394301E-8</v>
      </c>
      <c r="W101" s="70">
        <v>1.61587903996241E-11</v>
      </c>
      <c r="X101" s="71">
        <v>1.61587903996241E-13</v>
      </c>
      <c r="Y101" s="72">
        <v>3.9929240657470801E-13</v>
      </c>
      <c r="Z101" s="144">
        <v>8</v>
      </c>
      <c r="AA101" s="17">
        <v>49.348815000000002</v>
      </c>
      <c r="AB101" s="9">
        <v>65.488035999999994</v>
      </c>
      <c r="AC101" s="10">
        <v>82</v>
      </c>
      <c r="AD101" s="20" t="s">
        <v>20</v>
      </c>
      <c r="AE101" s="17">
        <v>41.111113000000003</v>
      </c>
      <c r="AF101" s="9">
        <v>58.888886999999997</v>
      </c>
      <c r="AG101" s="10">
        <v>100</v>
      </c>
      <c r="AH101" s="20" t="s">
        <v>32</v>
      </c>
      <c r="AI101" s="17">
        <v>1.9683699999999998E-2</v>
      </c>
      <c r="AJ101" s="36">
        <v>6.4579100000000005E-4</v>
      </c>
      <c r="AK101" s="9">
        <v>7.7494900000000004E-3</v>
      </c>
      <c r="AL101" s="37">
        <v>1.96837E-4</v>
      </c>
      <c r="AM101" s="38">
        <v>1.2230884136641999E-7</v>
      </c>
      <c r="AN101" s="9">
        <v>0.19683700000000001</v>
      </c>
      <c r="AO101" s="36">
        <v>2.15264E-4</v>
      </c>
      <c r="AP101" s="10">
        <f>AA101+AB101+AC101</f>
        <v>196.836851</v>
      </c>
      <c r="AQ101" s="17">
        <f>SQRT((AP101/2)*(AP101/2-AA101)*(AP101/2-AB101)*(AP101/2-AC101))/1000000</f>
        <v>1.6158784866360681E-3</v>
      </c>
      <c r="AR101" s="39">
        <v>1.6158799999999999E-5</v>
      </c>
      <c r="AS101" s="39">
        <v>1.61588E-7</v>
      </c>
      <c r="AT101" s="39">
        <v>1.61588E-9</v>
      </c>
      <c r="AU101" s="40">
        <v>2.50461900923802E-6</v>
      </c>
      <c r="AV101" s="40">
        <v>1.73931875641529E-8</v>
      </c>
      <c r="AW101" s="39">
        <v>1.6158800000000001E-11</v>
      </c>
      <c r="AX101" s="39">
        <v>1.61588E-13</v>
      </c>
      <c r="AY101" s="45">
        <v>3.9929264380516298E-13</v>
      </c>
      <c r="AZ101" s="239" t="s">
        <v>20</v>
      </c>
      <c r="BA101" s="252">
        <f t="shared" si="38"/>
        <v>3.4243023257814793E-5</v>
      </c>
      <c r="BB101" s="97">
        <f t="shared" si="40"/>
        <v>-1.6289484652065334E-4</v>
      </c>
      <c r="BC101" s="235">
        <f t="shared" si="39"/>
        <v>9.7815851006544108E-5</v>
      </c>
      <c r="BD101" s="239" t="s">
        <v>32</v>
      </c>
      <c r="BE101" s="135">
        <f t="shared" si="21"/>
        <v>0</v>
      </c>
      <c r="BF101" s="98">
        <f t="shared" si="22"/>
        <v>-1.5484885977285921E-4</v>
      </c>
      <c r="BG101" s="98">
        <f t="shared" si="23"/>
        <v>-1.2904074977760616E-4</v>
      </c>
      <c r="BH101" s="98">
        <f t="shared" si="24"/>
        <v>0</v>
      </c>
      <c r="BI101" s="98">
        <f t="shared" si="25"/>
        <v>-6.7112114755465646E-5</v>
      </c>
      <c r="BJ101" s="98">
        <f t="shared" si="26"/>
        <v>0</v>
      </c>
      <c r="BK101" s="99">
        <f t="shared" si="27"/>
        <v>-4.6454585997461037E-4</v>
      </c>
      <c r="BL101" s="102">
        <f t="shared" si="28"/>
        <v>7.5697207731337561E-5</v>
      </c>
      <c r="BM101" s="140">
        <f t="shared" si="29"/>
        <v>9.3655800514507354E-5</v>
      </c>
      <c r="BN101" s="100">
        <f t="shared" si="30"/>
        <v>-5.9412678523305907E-5</v>
      </c>
      <c r="BO101" s="99">
        <f t="shared" si="31"/>
        <v>-5.9412678542963136E-5</v>
      </c>
      <c r="BP101" s="100">
        <f t="shared" si="32"/>
        <v>-5.9412678535284532E-5</v>
      </c>
      <c r="BQ101" s="100">
        <f t="shared" si="33"/>
        <v>-5.941267891948463E-5</v>
      </c>
      <c r="BR101" s="101">
        <f t="shared" si="34"/>
        <v>-5.9412678446021008E-5</v>
      </c>
      <c r="BS101" s="100">
        <f t="shared" si="35"/>
        <v>-5.9412678546482497E-5</v>
      </c>
      <c r="BT101" s="100">
        <f t="shared" si="36"/>
        <v>-5.9412678540233637E-5</v>
      </c>
      <c r="BU101" s="102">
        <f t="shared" si="37"/>
        <v>-5.9412678559035654E-5</v>
      </c>
    </row>
    <row r="102" spans="1:73" s="4" customForma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146"/>
      <c r="K102" s="3"/>
      <c r="L102" s="147"/>
      <c r="M102" s="148"/>
      <c r="N102" s="149"/>
      <c r="O102" s="146"/>
      <c r="P102" s="3"/>
      <c r="Q102" s="150"/>
      <c r="R102" s="151"/>
      <c r="S102" s="152"/>
      <c r="T102" s="153"/>
      <c r="U102" s="151"/>
      <c r="V102" s="152"/>
      <c r="W102" s="154"/>
      <c r="X102" s="155"/>
      <c r="Y102" s="156"/>
      <c r="Z102" s="157"/>
      <c r="AA102" s="3"/>
      <c r="AB102" s="3"/>
      <c r="AC102" s="3"/>
      <c r="AD102" s="3"/>
      <c r="AE102" s="3"/>
      <c r="AF102" s="3"/>
      <c r="AG102" s="3"/>
      <c r="AH102" s="3"/>
      <c r="AI102" s="3"/>
      <c r="AJ102" s="146"/>
      <c r="AK102" s="3"/>
      <c r="AL102" s="158"/>
      <c r="AM102" s="148"/>
      <c r="AN102" s="3"/>
      <c r="AO102" s="146"/>
      <c r="AP102" s="3"/>
      <c r="AQ102" s="3"/>
      <c r="AR102" s="159"/>
      <c r="AS102" s="159"/>
      <c r="AT102" s="159"/>
      <c r="AU102" s="160"/>
      <c r="AV102" s="160"/>
      <c r="AW102" s="159"/>
      <c r="AX102" s="159"/>
      <c r="AY102" s="160"/>
      <c r="AZ102" s="3"/>
      <c r="BA102" s="150"/>
      <c r="BB102" s="150"/>
      <c r="BC102" s="150"/>
      <c r="BD102" s="3"/>
      <c r="BE102" s="161"/>
      <c r="BF102" s="161"/>
      <c r="BG102" s="161"/>
      <c r="BH102" s="161"/>
      <c r="BI102" s="161"/>
      <c r="BJ102" s="161"/>
      <c r="BK102" s="162"/>
      <c r="BL102" s="146"/>
      <c r="BM102" s="146"/>
      <c r="BN102" s="146"/>
      <c r="BO102" s="162"/>
      <c r="BP102" s="146"/>
      <c r="BQ102" s="146"/>
      <c r="BR102" s="153"/>
      <c r="BS102" s="146"/>
      <c r="BT102" s="146"/>
      <c r="BU102" s="146"/>
    </row>
    <row r="103" spans="1:73" s="4" customFormat="1" x14ac:dyDescent="0.25">
      <c r="A103" s="627"/>
      <c r="B103" s="627"/>
      <c r="C103" s="627"/>
      <c r="D103" s="627"/>
      <c r="E103" s="627"/>
      <c r="F103" s="627"/>
      <c r="G103" s="627"/>
      <c r="H103" s="627"/>
      <c r="I103" s="627"/>
      <c r="J103" s="638"/>
      <c r="K103" s="627"/>
      <c r="L103" s="639"/>
      <c r="M103" s="640"/>
      <c r="N103" s="641"/>
      <c r="O103" s="638"/>
      <c r="P103" s="627"/>
      <c r="Q103" s="642"/>
      <c r="R103" s="643"/>
      <c r="S103" s="644"/>
      <c r="T103" s="645"/>
      <c r="U103" s="643"/>
      <c r="V103" s="644"/>
      <c r="W103" s="646"/>
      <c r="X103" s="647"/>
      <c r="Y103" s="648"/>
      <c r="Z103" s="649"/>
      <c r="AA103" s="627"/>
      <c r="AB103" s="627"/>
      <c r="AC103" s="627"/>
      <c r="AD103" s="627"/>
      <c r="AE103" s="627"/>
      <c r="AF103" s="625"/>
      <c r="AG103" s="625"/>
      <c r="AH103" s="627"/>
      <c r="AI103" s="627"/>
      <c r="AJ103" s="638"/>
      <c r="AK103" s="627"/>
      <c r="AL103" s="650"/>
      <c r="AM103" s="148"/>
      <c r="AN103" s="3"/>
      <c r="AO103" s="146"/>
      <c r="AP103" s="3"/>
      <c r="AQ103" s="3"/>
      <c r="AR103" s="159"/>
      <c r="AS103" s="159"/>
      <c r="AT103" s="159"/>
      <c r="AU103" s="160"/>
      <c r="AV103" s="160"/>
      <c r="AW103" s="159"/>
      <c r="AX103" s="159"/>
      <c r="AY103" s="160"/>
      <c r="AZ103" s="3"/>
      <c r="BA103" s="150"/>
      <c r="BB103" s="150"/>
      <c r="BC103" s="150"/>
      <c r="BD103" s="3"/>
      <c r="BE103" s="161"/>
      <c r="BF103" s="161"/>
      <c r="BG103" s="161"/>
      <c r="BH103" s="161"/>
      <c r="BI103" s="161"/>
      <c r="BJ103" s="161"/>
      <c r="BK103" s="162"/>
      <c r="BL103" s="146"/>
      <c r="BM103" s="146"/>
      <c r="BN103" s="146"/>
      <c r="BO103" s="162"/>
      <c r="BP103" s="146"/>
      <c r="BQ103" s="146"/>
      <c r="BR103" s="153"/>
      <c r="BS103" s="146"/>
      <c r="BT103" s="146"/>
      <c r="BU103" s="146"/>
    </row>
    <row r="104" spans="1:73" s="4" customFormat="1" ht="18.75" x14ac:dyDescent="0.3">
      <c r="A104" s="627"/>
      <c r="B104" s="627"/>
      <c r="C104" s="627"/>
      <c r="D104" s="635">
        <v>1</v>
      </c>
      <c r="E104" s="627"/>
      <c r="F104" s="627"/>
      <c r="G104" s="627"/>
      <c r="H104" s="626"/>
      <c r="I104" s="626">
        <v>2</v>
      </c>
      <c r="J104" s="638"/>
      <c r="K104" s="627"/>
      <c r="L104" s="639"/>
      <c r="M104" s="635">
        <v>3</v>
      </c>
      <c r="N104" s="641"/>
      <c r="O104" s="638"/>
      <c r="P104" s="627"/>
      <c r="Q104" s="626">
        <v>4</v>
      </c>
      <c r="R104" s="626"/>
      <c r="S104" s="644"/>
      <c r="T104" s="645"/>
      <c r="U104" s="626">
        <v>5</v>
      </c>
      <c r="V104" s="626"/>
      <c r="W104" s="646"/>
      <c r="X104" s="635">
        <v>6</v>
      </c>
      <c r="Y104" s="626"/>
      <c r="Z104" s="649"/>
      <c r="AA104" s="626"/>
      <c r="AB104" s="635">
        <v>7</v>
      </c>
      <c r="AC104" s="627"/>
      <c r="AD104" s="626"/>
      <c r="AE104" s="627"/>
      <c r="AF104" s="627"/>
      <c r="AG104" s="627"/>
      <c r="AH104" s="626">
        <v>8</v>
      </c>
      <c r="AI104" s="627"/>
      <c r="AJ104" s="638"/>
      <c r="AK104" s="626"/>
      <c r="AL104" s="650"/>
      <c r="AM104" s="148"/>
      <c r="AN104" s="3"/>
      <c r="AO104" s="146"/>
      <c r="AP104" s="3"/>
      <c r="AQ104" s="3"/>
      <c r="AR104" s="159"/>
      <c r="AS104" s="159"/>
      <c r="AT104" s="159"/>
      <c r="AU104" s="160"/>
      <c r="AV104" s="160"/>
      <c r="AW104" s="159"/>
      <c r="AX104" s="159"/>
      <c r="AY104" s="160"/>
      <c r="AZ104" s="3"/>
      <c r="BA104" s="150"/>
      <c r="BB104" s="150"/>
      <c r="BC104" s="150"/>
      <c r="BD104" s="3"/>
      <c r="BE104" s="161"/>
      <c r="BF104" s="161"/>
      <c r="BG104" s="161"/>
      <c r="BH104" s="161"/>
      <c r="BI104" s="161"/>
      <c r="BJ104" s="161"/>
      <c r="BK104" s="162"/>
      <c r="BL104" s="146"/>
      <c r="BM104" s="146"/>
      <c r="BN104" s="146"/>
      <c r="BO104" s="162"/>
      <c r="BP104" s="146"/>
      <c r="BQ104" s="146"/>
      <c r="BR104" s="153"/>
      <c r="BS104" s="146"/>
      <c r="BT104" s="146"/>
      <c r="BU104" s="146"/>
    </row>
    <row r="105" spans="1:73" x14ac:dyDescent="0.25">
      <c r="A105" s="625"/>
      <c r="B105" s="625"/>
      <c r="C105" s="625"/>
      <c r="D105" s="625"/>
      <c r="E105" s="625"/>
      <c r="F105" s="625"/>
      <c r="G105" s="625"/>
      <c r="H105" s="625"/>
      <c r="I105" s="625"/>
      <c r="J105" s="625"/>
      <c r="K105" s="625"/>
      <c r="L105" s="625"/>
      <c r="M105" s="625"/>
      <c r="N105" s="625"/>
      <c r="O105" s="625"/>
      <c r="P105" s="625"/>
      <c r="Q105" s="625"/>
      <c r="R105" s="625"/>
      <c r="S105" s="625"/>
      <c r="T105" s="625"/>
      <c r="U105" s="625"/>
      <c r="V105" s="625"/>
      <c r="W105" s="625"/>
      <c r="X105" s="625"/>
      <c r="Y105" s="625"/>
      <c r="Z105" s="625"/>
      <c r="AA105" s="625"/>
      <c r="AB105" s="625"/>
      <c r="AC105" s="625"/>
      <c r="AD105" s="625"/>
      <c r="AE105" s="625"/>
      <c r="AF105" s="625"/>
      <c r="AG105" s="625"/>
      <c r="AH105" s="625"/>
      <c r="AI105" s="625"/>
      <c r="AJ105" s="625"/>
      <c r="AK105" s="625"/>
      <c r="AL105" s="625"/>
    </row>
    <row r="106" spans="1:73" x14ac:dyDescent="0.25">
      <c r="A106" s="625"/>
      <c r="B106" s="625"/>
      <c r="C106" s="625"/>
      <c r="D106" s="625"/>
      <c r="E106" s="625"/>
      <c r="F106" s="625"/>
      <c r="G106" s="625"/>
      <c r="H106" s="625"/>
      <c r="I106" s="625"/>
      <c r="J106" s="625"/>
      <c r="K106" s="625"/>
      <c r="L106" s="625"/>
      <c r="M106" s="625"/>
      <c r="N106" s="625"/>
      <c r="O106" s="625"/>
      <c r="P106" s="625"/>
      <c r="Q106" s="625"/>
      <c r="R106" s="625"/>
      <c r="S106" s="625"/>
      <c r="T106" s="625"/>
      <c r="U106" s="625"/>
      <c r="V106" s="625"/>
      <c r="W106" s="625"/>
      <c r="X106" s="625"/>
      <c r="Y106" s="625"/>
      <c r="Z106" s="625"/>
      <c r="AA106" s="625"/>
      <c r="AB106" s="625"/>
      <c r="AC106" s="625"/>
      <c r="AD106" s="625"/>
      <c r="AE106" s="625"/>
      <c r="AF106" s="625"/>
      <c r="AG106" s="625"/>
      <c r="AH106" s="625"/>
      <c r="AI106" s="625"/>
      <c r="AJ106" s="625"/>
      <c r="AK106" s="625"/>
      <c r="AL106" s="625"/>
    </row>
    <row r="107" spans="1:73" x14ac:dyDescent="0.25">
      <c r="A107" s="625"/>
      <c r="B107" s="625"/>
      <c r="C107" s="625"/>
      <c r="D107" s="625"/>
      <c r="E107" s="625"/>
      <c r="F107" s="625"/>
      <c r="G107" s="625"/>
      <c r="H107" s="625"/>
      <c r="I107" s="625"/>
      <c r="J107" s="625"/>
      <c r="K107" s="625"/>
      <c r="L107" s="625"/>
      <c r="M107" s="625"/>
      <c r="N107" s="625"/>
      <c r="O107" s="625"/>
      <c r="P107" s="625"/>
      <c r="Q107" s="625"/>
      <c r="R107" s="625"/>
      <c r="S107" s="625"/>
      <c r="T107" s="625"/>
      <c r="U107" s="625"/>
      <c r="V107" s="625"/>
      <c r="W107" s="625"/>
      <c r="X107" s="625"/>
      <c r="Y107" s="625"/>
      <c r="Z107" s="625"/>
      <c r="AA107" s="625"/>
      <c r="AB107" s="625"/>
      <c r="AC107" s="625"/>
      <c r="AD107" s="625"/>
      <c r="AE107" s="625"/>
      <c r="AF107" s="625"/>
      <c r="AG107" s="625"/>
      <c r="AH107" s="625"/>
      <c r="AI107" s="625"/>
      <c r="AJ107" s="625"/>
      <c r="AK107" s="625"/>
      <c r="AL107" s="625"/>
    </row>
    <row r="108" spans="1:73" x14ac:dyDescent="0.25">
      <c r="A108" s="625"/>
      <c r="B108" s="625"/>
      <c r="C108" s="625"/>
      <c r="D108" s="625"/>
      <c r="E108" s="625"/>
      <c r="F108" s="625"/>
      <c r="G108" s="625"/>
      <c r="H108" s="625"/>
      <c r="I108" s="625"/>
      <c r="J108" s="625"/>
      <c r="K108" s="625"/>
      <c r="L108" s="625"/>
      <c r="M108" s="625"/>
      <c r="N108" s="625"/>
      <c r="O108" s="625"/>
      <c r="P108" s="625"/>
      <c r="Q108" s="625"/>
      <c r="R108" s="625"/>
      <c r="S108" s="625"/>
      <c r="T108" s="625"/>
      <c r="U108" s="625"/>
      <c r="V108" s="625"/>
      <c r="W108" s="625"/>
      <c r="X108" s="625"/>
      <c r="Y108" s="625"/>
      <c r="Z108" s="625"/>
      <c r="AA108" s="625"/>
      <c r="AB108" s="625"/>
      <c r="AC108" s="625"/>
      <c r="AD108" s="625"/>
      <c r="AE108" s="625"/>
      <c r="AF108" s="625"/>
      <c r="AG108" s="625"/>
      <c r="AH108" s="625"/>
      <c r="AI108" s="625"/>
      <c r="AJ108" s="625"/>
      <c r="AK108" s="625"/>
      <c r="AL108" s="625"/>
    </row>
    <row r="109" spans="1:73" x14ac:dyDescent="0.25">
      <c r="A109" s="625"/>
      <c r="B109" s="625"/>
      <c r="C109" s="625"/>
      <c r="D109" s="625"/>
      <c r="E109" s="625"/>
      <c r="F109" s="625"/>
      <c r="G109" s="625"/>
      <c r="H109" s="625"/>
      <c r="I109" s="625"/>
      <c r="J109" s="625"/>
      <c r="K109" s="625"/>
      <c r="L109" s="625"/>
      <c r="M109" s="625"/>
      <c r="N109" s="625"/>
      <c r="O109" s="625"/>
      <c r="P109" s="625"/>
      <c r="Q109" s="625"/>
      <c r="R109" s="625"/>
      <c r="S109" s="625"/>
      <c r="T109" s="625"/>
      <c r="U109" s="625"/>
      <c r="V109" s="625"/>
      <c r="W109" s="625"/>
      <c r="X109" s="625"/>
      <c r="Y109" s="625"/>
      <c r="Z109" s="625"/>
      <c r="AA109" s="625"/>
      <c r="AB109" s="625"/>
      <c r="AC109" s="625"/>
      <c r="AD109" s="625"/>
      <c r="AE109" s="625"/>
      <c r="AF109" s="625"/>
      <c r="AG109" s="625"/>
      <c r="AH109" s="625"/>
      <c r="AI109" s="625"/>
      <c r="AJ109" s="625"/>
      <c r="AK109" s="625"/>
      <c r="AL109" s="625"/>
    </row>
    <row r="110" spans="1:73" x14ac:dyDescent="0.25">
      <c r="A110" s="625"/>
      <c r="B110" s="625"/>
      <c r="C110" s="625"/>
      <c r="D110" s="625"/>
      <c r="E110" s="625"/>
      <c r="F110" s="625"/>
      <c r="G110" s="625"/>
      <c r="H110" s="625"/>
      <c r="I110" s="625"/>
      <c r="J110" s="625"/>
      <c r="K110" s="625"/>
      <c r="L110" s="625"/>
      <c r="M110" s="625"/>
      <c r="N110" s="625"/>
      <c r="O110" s="625"/>
      <c r="P110" s="625"/>
      <c r="Q110" s="625"/>
      <c r="R110" s="625"/>
      <c r="S110" s="625"/>
      <c r="T110" s="625"/>
      <c r="U110" s="625"/>
      <c r="V110" s="625"/>
      <c r="W110" s="625"/>
      <c r="X110" s="625"/>
      <c r="Y110" s="625"/>
      <c r="Z110" s="625"/>
      <c r="AA110" s="625"/>
      <c r="AB110" s="625"/>
      <c r="AC110" s="625"/>
      <c r="AD110" s="625"/>
      <c r="AE110" s="625"/>
      <c r="AF110" s="625"/>
      <c r="AG110" s="625"/>
      <c r="AH110" s="625"/>
      <c r="AI110" s="625"/>
      <c r="AJ110" s="625"/>
      <c r="AK110" s="625"/>
      <c r="AL110" s="625"/>
    </row>
    <row r="111" spans="1:73" x14ac:dyDescent="0.25">
      <c r="A111" s="625"/>
      <c r="B111" s="625"/>
      <c r="C111" s="625"/>
      <c r="D111" s="625"/>
      <c r="E111" s="625"/>
      <c r="F111" s="625"/>
      <c r="G111" s="625"/>
      <c r="H111" s="625"/>
      <c r="I111" s="625"/>
      <c r="J111" s="625"/>
      <c r="K111" s="625"/>
      <c r="L111" s="625"/>
      <c r="M111" s="625"/>
      <c r="N111" s="625"/>
      <c r="O111" s="625"/>
      <c r="P111" s="625"/>
      <c r="Q111" s="625"/>
      <c r="R111" s="625"/>
      <c r="S111" s="625"/>
      <c r="T111" s="625"/>
      <c r="U111" s="625"/>
      <c r="V111" s="625"/>
      <c r="W111" s="625"/>
      <c r="X111" s="625"/>
      <c r="Y111" s="625"/>
      <c r="Z111" s="625"/>
      <c r="AA111" s="625"/>
      <c r="AB111" s="625"/>
      <c r="AC111" s="625"/>
      <c r="AD111" s="625"/>
      <c r="AE111" s="625"/>
      <c r="AF111" s="625"/>
      <c r="AG111" s="625"/>
      <c r="AH111" s="625"/>
      <c r="AI111" s="625"/>
      <c r="AJ111" s="625"/>
      <c r="AK111" s="625"/>
      <c r="AL111" s="625"/>
    </row>
    <row r="112" spans="1:73" x14ac:dyDescent="0.25">
      <c r="A112" s="625"/>
      <c r="B112" s="625"/>
      <c r="C112" s="625"/>
      <c r="D112" s="625"/>
      <c r="E112" s="625"/>
      <c r="F112" s="625"/>
      <c r="G112" s="625"/>
      <c r="H112" s="625"/>
      <c r="I112" s="625"/>
      <c r="J112" s="625"/>
      <c r="K112" s="625"/>
      <c r="L112" s="625"/>
      <c r="M112" s="625"/>
      <c r="N112" s="625"/>
      <c r="O112" s="625"/>
      <c r="P112" s="625"/>
      <c r="Q112" s="625"/>
      <c r="R112" s="625"/>
      <c r="S112" s="625"/>
      <c r="T112" s="625"/>
      <c r="U112" s="625"/>
      <c r="V112" s="625"/>
      <c r="W112" s="625"/>
      <c r="X112" s="625"/>
      <c r="Y112" s="625"/>
      <c r="Z112" s="625"/>
      <c r="AA112" s="625"/>
      <c r="AB112" s="625"/>
      <c r="AC112" s="625"/>
      <c r="AD112" s="625"/>
      <c r="AE112" s="625"/>
      <c r="AF112" s="625"/>
      <c r="AG112" s="625"/>
      <c r="AH112" s="625"/>
      <c r="AI112" s="625"/>
      <c r="AJ112" s="625"/>
      <c r="AK112" s="625"/>
      <c r="AL112" s="625"/>
    </row>
    <row r="113" spans="1:73" x14ac:dyDescent="0.25">
      <c r="A113" s="625"/>
      <c r="B113" s="625"/>
      <c r="C113" s="625"/>
      <c r="D113" s="625"/>
      <c r="E113" s="625"/>
      <c r="F113" s="625"/>
      <c r="G113" s="625"/>
      <c r="H113" s="625"/>
      <c r="I113" s="625"/>
      <c r="J113" s="625"/>
      <c r="K113" s="625"/>
      <c r="L113" s="625"/>
      <c r="M113" s="625"/>
      <c r="N113" s="625"/>
      <c r="O113" s="625"/>
      <c r="P113" s="625"/>
      <c r="Q113" s="625"/>
      <c r="R113" s="625"/>
      <c r="S113" s="625"/>
      <c r="T113" s="625"/>
      <c r="U113" s="625"/>
      <c r="V113" s="625"/>
      <c r="W113" s="625"/>
      <c r="X113" s="625"/>
      <c r="Y113" s="625"/>
      <c r="Z113" s="625"/>
      <c r="AA113" s="625"/>
      <c r="AB113" s="625"/>
      <c r="AC113" s="625"/>
      <c r="AD113" s="625"/>
      <c r="AE113" s="625"/>
      <c r="AF113" s="625"/>
      <c r="AG113" s="625"/>
      <c r="AH113" s="625"/>
      <c r="AI113" s="625"/>
      <c r="AJ113" s="625"/>
      <c r="AK113" s="625"/>
      <c r="AL113" s="625"/>
    </row>
    <row r="114" spans="1:73" x14ac:dyDescent="0.25">
      <c r="A114" s="625"/>
      <c r="B114" s="625"/>
      <c r="C114" s="625"/>
      <c r="D114" s="625"/>
      <c r="E114" s="625"/>
      <c r="F114" s="625"/>
      <c r="G114" s="625"/>
      <c r="H114" s="625"/>
      <c r="I114" s="625"/>
      <c r="J114" s="625"/>
      <c r="K114" s="625"/>
      <c r="L114" s="625"/>
      <c r="M114" s="625"/>
      <c r="N114" s="625"/>
      <c r="O114" s="625"/>
      <c r="P114" s="625"/>
      <c r="Q114" s="625"/>
      <c r="R114" s="625"/>
      <c r="S114" s="625"/>
      <c r="T114" s="625"/>
      <c r="U114" s="625"/>
      <c r="V114" s="625"/>
      <c r="W114" s="625"/>
      <c r="X114" s="625"/>
      <c r="Y114" s="625"/>
      <c r="Z114" s="625"/>
      <c r="AA114" s="625"/>
      <c r="AB114" s="625"/>
      <c r="AC114" s="625"/>
      <c r="AD114" s="625"/>
      <c r="AE114" s="625"/>
      <c r="AF114" s="625"/>
      <c r="AG114" s="625"/>
      <c r="AH114" s="625"/>
      <c r="AI114" s="625"/>
      <c r="AJ114" s="625"/>
      <c r="AK114" s="625"/>
      <c r="AL114" s="625"/>
    </row>
    <row r="115" spans="1:73" x14ac:dyDescent="0.25">
      <c r="A115" s="625"/>
      <c r="B115" s="625"/>
      <c r="C115" s="625"/>
      <c r="D115" s="625"/>
      <c r="E115" s="625"/>
      <c r="F115" s="625"/>
      <c r="G115" s="625"/>
      <c r="H115" s="625"/>
      <c r="I115" s="625"/>
      <c r="J115" s="625"/>
      <c r="K115" s="625"/>
      <c r="L115" s="625"/>
      <c r="M115" s="625"/>
      <c r="N115" s="625"/>
      <c r="O115" s="625"/>
      <c r="P115" s="625"/>
      <c r="Q115" s="625"/>
      <c r="R115" s="625"/>
      <c r="S115" s="625"/>
      <c r="T115" s="625"/>
      <c r="U115" s="625"/>
      <c r="V115" s="625"/>
      <c r="W115" s="625"/>
      <c r="X115" s="625"/>
      <c r="Y115" s="625"/>
      <c r="Z115" s="625"/>
      <c r="AA115" s="625"/>
      <c r="AB115" s="625"/>
      <c r="AC115" s="625"/>
      <c r="AD115" s="625"/>
      <c r="AE115" s="625"/>
      <c r="AF115" s="625"/>
      <c r="AG115" s="625"/>
      <c r="AH115" s="625"/>
      <c r="AI115" s="625"/>
      <c r="AJ115" s="625"/>
      <c r="AK115" s="625"/>
      <c r="AL115" s="625"/>
    </row>
    <row r="116" spans="1:73" x14ac:dyDescent="0.25">
      <c r="A116" s="625"/>
      <c r="B116" s="625"/>
      <c r="C116" s="625"/>
      <c r="D116" s="625"/>
      <c r="E116" s="625"/>
      <c r="F116" s="625"/>
      <c r="G116" s="625"/>
      <c r="H116" s="625"/>
      <c r="I116" s="625"/>
      <c r="J116" s="625"/>
      <c r="K116" s="625"/>
      <c r="L116" s="625"/>
      <c r="M116" s="625"/>
      <c r="N116" s="625"/>
      <c r="O116" s="625"/>
      <c r="P116" s="625"/>
      <c r="Q116" s="625"/>
      <c r="R116" s="625"/>
      <c r="S116" s="625"/>
      <c r="T116" s="625"/>
      <c r="U116" s="625"/>
      <c r="V116" s="625"/>
      <c r="W116" s="625"/>
      <c r="X116" s="625"/>
      <c r="Y116" s="625"/>
      <c r="Z116" s="625"/>
      <c r="AA116" s="625"/>
      <c r="AB116" s="625"/>
      <c r="AC116" s="625"/>
      <c r="AD116" s="625"/>
      <c r="AE116" s="625"/>
      <c r="AF116" s="625"/>
      <c r="AG116" s="625"/>
      <c r="AH116" s="625"/>
      <c r="AI116" s="625"/>
      <c r="AJ116" s="625"/>
      <c r="AK116" s="625"/>
      <c r="AL116" s="625"/>
    </row>
    <row r="117" spans="1:73" x14ac:dyDescent="0.25">
      <c r="A117" s="625"/>
      <c r="B117" s="625"/>
      <c r="C117" s="625"/>
      <c r="D117" s="625"/>
      <c r="E117" s="625"/>
      <c r="F117" s="625"/>
      <c r="G117" s="625"/>
      <c r="H117" s="625"/>
      <c r="I117" s="625"/>
      <c r="J117" s="625"/>
      <c r="K117" s="625"/>
      <c r="L117" s="625"/>
      <c r="M117" s="625"/>
      <c r="N117" s="625"/>
      <c r="O117" s="625"/>
      <c r="P117" s="625"/>
      <c r="Q117" s="625"/>
      <c r="R117" s="625"/>
      <c r="S117" s="625"/>
      <c r="T117" s="625"/>
      <c r="U117" s="625"/>
      <c r="V117" s="625"/>
      <c r="W117" s="625"/>
      <c r="X117" s="625"/>
      <c r="Y117" s="625"/>
      <c r="Z117" s="625"/>
      <c r="AA117" s="625"/>
      <c r="AB117" s="625"/>
      <c r="AC117" s="625"/>
      <c r="AD117" s="625"/>
      <c r="AE117" s="625"/>
      <c r="AF117" s="625"/>
      <c r="AG117" s="625"/>
      <c r="AH117" s="625"/>
      <c r="AI117" s="625"/>
      <c r="AJ117" s="625"/>
      <c r="AK117" s="625"/>
      <c r="AL117" s="625"/>
    </row>
    <row r="118" spans="1:73" x14ac:dyDescent="0.25">
      <c r="A118" s="625"/>
      <c r="B118" s="625"/>
      <c r="C118" s="625"/>
      <c r="D118" s="625"/>
      <c r="E118" s="625"/>
      <c r="F118" s="625"/>
      <c r="G118" s="625"/>
      <c r="H118" s="625"/>
      <c r="I118" s="625"/>
      <c r="J118" s="625"/>
      <c r="K118" s="625"/>
      <c r="L118" s="625"/>
      <c r="M118" s="625"/>
      <c r="N118" s="625"/>
      <c r="O118" s="625"/>
      <c r="P118" s="625"/>
      <c r="Q118" s="625"/>
      <c r="R118" s="625"/>
      <c r="S118" s="625"/>
      <c r="T118" s="625"/>
      <c r="U118" s="625"/>
      <c r="V118" s="625"/>
      <c r="W118" s="625"/>
      <c r="X118" s="625"/>
      <c r="Y118" s="625"/>
      <c r="Z118" s="625"/>
      <c r="AA118" s="625"/>
      <c r="AB118" s="625"/>
      <c r="AC118" s="625"/>
      <c r="AD118" s="625"/>
      <c r="AE118" s="625"/>
      <c r="AF118" s="625"/>
      <c r="AG118" s="625"/>
      <c r="AH118" s="625"/>
      <c r="AI118" s="625"/>
      <c r="AJ118" s="625"/>
      <c r="AK118" s="625"/>
      <c r="AL118" s="625"/>
    </row>
    <row r="119" spans="1:73" x14ac:dyDescent="0.25">
      <c r="A119" s="625"/>
      <c r="B119" s="625"/>
      <c r="C119" s="625"/>
      <c r="D119" s="625"/>
      <c r="E119" s="625"/>
      <c r="F119" s="625"/>
      <c r="G119" s="625"/>
      <c r="H119" s="625"/>
      <c r="I119" s="625"/>
      <c r="J119" s="625"/>
      <c r="K119" s="625"/>
      <c r="L119" s="625"/>
      <c r="M119" s="625"/>
      <c r="N119" s="625"/>
      <c r="O119" s="625"/>
      <c r="P119" s="625"/>
      <c r="Q119" s="625"/>
      <c r="R119" s="625"/>
      <c r="S119" s="625"/>
      <c r="T119" s="625"/>
      <c r="U119" s="625"/>
      <c r="V119" s="625"/>
      <c r="W119" s="625"/>
      <c r="X119" s="625"/>
      <c r="Y119" s="625"/>
      <c r="Z119" s="625"/>
      <c r="AA119" s="625"/>
      <c r="AB119" s="625"/>
      <c r="AC119" s="625"/>
      <c r="AD119" s="625"/>
      <c r="AE119" s="625"/>
      <c r="AF119" s="625"/>
      <c r="AG119" s="625"/>
      <c r="AH119" s="625"/>
      <c r="AI119" s="625"/>
      <c r="AJ119" s="625"/>
      <c r="AK119" s="625"/>
      <c r="AL119" s="625"/>
    </row>
    <row r="120" spans="1:73" x14ac:dyDescent="0.25">
      <c r="A120" s="625"/>
      <c r="B120" s="625"/>
      <c r="C120" s="625"/>
      <c r="D120" s="625"/>
      <c r="E120" s="625"/>
      <c r="F120" s="625"/>
      <c r="G120" s="625"/>
      <c r="H120" s="625"/>
      <c r="I120" s="625"/>
      <c r="J120" s="625"/>
      <c r="K120" s="625"/>
      <c r="L120" s="625"/>
      <c r="M120" s="625"/>
      <c r="N120" s="625"/>
      <c r="O120" s="625"/>
      <c r="P120" s="625"/>
      <c r="Q120" s="625"/>
      <c r="R120" s="625"/>
      <c r="S120" s="625"/>
      <c r="T120" s="625"/>
      <c r="U120" s="625"/>
      <c r="V120" s="625"/>
      <c r="W120" s="625"/>
      <c r="X120" s="625"/>
      <c r="Y120" s="625"/>
      <c r="Z120" s="625"/>
      <c r="AA120" s="625"/>
      <c r="AB120" s="625"/>
      <c r="AC120" s="625"/>
      <c r="AD120" s="625"/>
      <c r="AE120" s="625"/>
      <c r="AF120" s="625"/>
      <c r="AG120" s="625"/>
      <c r="AH120" s="625"/>
      <c r="AI120" s="625"/>
      <c r="AJ120" s="625"/>
      <c r="AK120" s="625"/>
      <c r="AL120" s="625"/>
    </row>
    <row r="121" spans="1:73" x14ac:dyDescent="0.25">
      <c r="A121" s="625"/>
      <c r="B121" s="625"/>
      <c r="C121" s="625"/>
      <c r="D121" s="625"/>
      <c r="E121" s="625"/>
      <c r="F121" s="625"/>
      <c r="G121" s="625"/>
      <c r="H121" s="625"/>
      <c r="I121" s="625"/>
      <c r="J121" s="625"/>
      <c r="K121" s="625"/>
      <c r="L121" s="625"/>
      <c r="M121" s="625"/>
      <c r="N121" s="625"/>
      <c r="O121" s="625"/>
      <c r="P121" s="625"/>
      <c r="Q121" s="625"/>
      <c r="R121" s="625"/>
      <c r="S121" s="625"/>
      <c r="T121" s="625"/>
      <c r="U121" s="625"/>
      <c r="V121" s="625"/>
      <c r="W121" s="625"/>
      <c r="X121" s="625"/>
      <c r="Y121" s="625"/>
      <c r="Z121" s="625"/>
      <c r="AA121" s="625"/>
      <c r="AB121" s="625"/>
      <c r="AC121" s="625"/>
      <c r="AD121" s="625"/>
      <c r="AE121" s="625"/>
      <c r="AF121" s="625"/>
      <c r="AG121" s="625"/>
      <c r="AH121" s="625"/>
      <c r="AI121" s="625"/>
      <c r="AJ121" s="625"/>
      <c r="AK121" s="625"/>
      <c r="AL121" s="625"/>
    </row>
    <row r="122" spans="1:73" x14ac:dyDescent="0.25">
      <c r="A122" s="636"/>
      <c r="B122" s="625"/>
      <c r="C122" s="625"/>
      <c r="D122" s="625"/>
      <c r="E122" s="625"/>
      <c r="F122" s="625"/>
      <c r="G122" s="625"/>
      <c r="H122" s="625"/>
      <c r="I122" s="625"/>
      <c r="J122" s="625"/>
      <c r="K122" s="625"/>
      <c r="L122" s="625"/>
      <c r="M122" s="625"/>
      <c r="N122" s="625"/>
      <c r="O122" s="625"/>
      <c r="P122" s="625"/>
      <c r="Q122" s="625"/>
      <c r="R122" s="625"/>
      <c r="S122" s="625"/>
      <c r="T122" s="625"/>
      <c r="U122" s="625"/>
      <c r="V122" s="625"/>
      <c r="W122" s="625"/>
      <c r="X122" s="625"/>
      <c r="Y122" s="625"/>
      <c r="Z122" s="625"/>
      <c r="AA122" s="625"/>
      <c r="AB122" s="625"/>
      <c r="AC122" s="625"/>
      <c r="AD122" s="625"/>
      <c r="AE122" s="625"/>
      <c r="AF122" s="625"/>
      <c r="AG122" s="625"/>
      <c r="AH122" s="625"/>
      <c r="AI122" s="625"/>
      <c r="AJ122" s="625"/>
      <c r="AK122" s="625"/>
      <c r="AL122" s="625"/>
    </row>
    <row r="123" spans="1:73" x14ac:dyDescent="0.25">
      <c r="A123" s="636"/>
      <c r="B123" s="637"/>
      <c r="C123" s="625"/>
      <c r="D123" s="625"/>
      <c r="E123" s="625"/>
      <c r="F123" s="625"/>
      <c r="G123" s="625"/>
      <c r="H123" s="625"/>
      <c r="I123" s="625"/>
      <c r="J123" s="625"/>
      <c r="K123" s="625"/>
      <c r="L123" s="625"/>
      <c r="M123" s="625"/>
      <c r="N123" s="625"/>
      <c r="O123" s="625"/>
      <c r="P123" s="625"/>
      <c r="Q123" s="625"/>
      <c r="R123" s="625"/>
      <c r="S123" s="625"/>
      <c r="T123" s="625"/>
      <c r="U123" s="625"/>
      <c r="V123" s="625"/>
      <c r="W123" s="625"/>
      <c r="X123" s="625"/>
      <c r="Y123" s="625"/>
      <c r="Z123" s="625"/>
      <c r="AA123" s="625"/>
      <c r="AB123" s="625"/>
      <c r="AC123" s="625"/>
      <c r="AD123" s="625"/>
      <c r="AE123" s="625"/>
      <c r="AF123" s="625"/>
      <c r="AG123" s="625"/>
      <c r="AH123" s="625"/>
      <c r="AI123" s="625"/>
      <c r="AJ123" s="625"/>
      <c r="AK123" s="625"/>
      <c r="AL123" s="625"/>
    </row>
    <row r="124" spans="1:73" ht="15.75" thickBot="1" x14ac:dyDescent="0.3"/>
    <row r="125" spans="1:73" ht="15.75" customHeight="1" thickBot="1" x14ac:dyDescent="0.3">
      <c r="A125" s="915" t="s">
        <v>37</v>
      </c>
      <c r="B125" s="916"/>
      <c r="C125" s="916"/>
      <c r="D125" s="916"/>
      <c r="E125" s="916"/>
      <c r="F125" s="916"/>
      <c r="G125" s="916"/>
      <c r="H125" s="931"/>
      <c r="I125" s="917" t="s">
        <v>1</v>
      </c>
      <c r="J125" s="902"/>
      <c r="K125" s="902"/>
      <c r="L125" s="902"/>
      <c r="M125" s="902"/>
      <c r="N125" s="902"/>
      <c r="O125" s="902"/>
      <c r="P125" s="903"/>
      <c r="Q125" s="917" t="s">
        <v>0</v>
      </c>
      <c r="R125" s="902"/>
      <c r="S125" s="902"/>
      <c r="T125" s="902"/>
      <c r="U125" s="902"/>
      <c r="V125" s="902"/>
      <c r="W125" s="902"/>
      <c r="X125" s="902"/>
      <c r="Y125" s="903"/>
      <c r="Z125" s="918"/>
      <c r="AA125" s="919"/>
      <c r="AB125" s="919"/>
      <c r="AC125" s="919"/>
      <c r="AD125" s="919"/>
      <c r="AE125" s="919"/>
      <c r="AF125" s="919"/>
      <c r="AG125" s="919"/>
      <c r="AH125" s="932"/>
      <c r="AI125" s="888" t="s">
        <v>42</v>
      </c>
      <c r="AJ125" s="889"/>
      <c r="AK125" s="889"/>
      <c r="AL125" s="889"/>
      <c r="AM125" s="889"/>
      <c r="AN125" s="889"/>
      <c r="AO125" s="889"/>
      <c r="AP125" s="890"/>
      <c r="AQ125" s="888" t="s">
        <v>43</v>
      </c>
      <c r="AR125" s="902"/>
      <c r="AS125" s="902"/>
      <c r="AT125" s="902"/>
      <c r="AU125" s="902"/>
      <c r="AV125" s="902"/>
      <c r="AW125" s="902"/>
      <c r="AX125" s="902"/>
      <c r="AY125" s="903"/>
      <c r="AZ125" s="900"/>
      <c r="BA125" s="900"/>
      <c r="BB125" s="900"/>
      <c r="BC125" s="900"/>
      <c r="BD125" s="928"/>
      <c r="BE125" s="901" t="s">
        <v>1</v>
      </c>
      <c r="BF125" s="902"/>
      <c r="BG125" s="902"/>
      <c r="BH125" s="902"/>
      <c r="BI125" s="902"/>
      <c r="BJ125" s="902"/>
      <c r="BK125" s="902"/>
      <c r="BL125" s="903"/>
      <c r="BM125" s="901" t="s">
        <v>0</v>
      </c>
      <c r="BN125" s="902"/>
      <c r="BO125" s="902"/>
      <c r="BP125" s="902"/>
      <c r="BQ125" s="902"/>
      <c r="BR125" s="902"/>
      <c r="BS125" s="902"/>
      <c r="BT125" s="902"/>
      <c r="BU125" s="903"/>
    </row>
    <row r="126" spans="1:73" ht="15.75" customHeight="1" thickBot="1" x14ac:dyDescent="0.3">
      <c r="A126" s="907" t="s">
        <v>12</v>
      </c>
      <c r="B126" s="909" t="s">
        <v>13</v>
      </c>
      <c r="C126" s="909" t="s">
        <v>14</v>
      </c>
      <c r="D126" s="911" t="s">
        <v>15</v>
      </c>
      <c r="E126" s="909" t="s">
        <v>16</v>
      </c>
      <c r="F126" s="909" t="s">
        <v>17</v>
      </c>
      <c r="G126" s="909" t="s">
        <v>18</v>
      </c>
      <c r="H126" s="929" t="s">
        <v>19</v>
      </c>
      <c r="I126" s="906"/>
      <c r="J126" s="904"/>
      <c r="K126" s="904"/>
      <c r="L126" s="904"/>
      <c r="M126" s="904"/>
      <c r="N126" s="904"/>
      <c r="O126" s="904"/>
      <c r="P126" s="905"/>
      <c r="Q126" s="906"/>
      <c r="R126" s="904"/>
      <c r="S126" s="904"/>
      <c r="T126" s="904"/>
      <c r="U126" s="904"/>
      <c r="V126" s="904"/>
      <c r="W126" s="904"/>
      <c r="X126" s="904"/>
      <c r="Y126" s="905"/>
      <c r="Z126" s="912" t="s">
        <v>40</v>
      </c>
      <c r="AA126" s="914" t="s">
        <v>12</v>
      </c>
      <c r="AB126" s="914" t="s">
        <v>13</v>
      </c>
      <c r="AC126" s="914" t="s">
        <v>14</v>
      </c>
      <c r="AD126" s="912" t="s">
        <v>41</v>
      </c>
      <c r="AE126" s="914" t="s">
        <v>16</v>
      </c>
      <c r="AF126" s="914" t="s">
        <v>17</v>
      </c>
      <c r="AG126" s="914" t="s">
        <v>18</v>
      </c>
      <c r="AH126" s="912" t="s">
        <v>19</v>
      </c>
      <c r="AI126" s="891"/>
      <c r="AJ126" s="892"/>
      <c r="AK126" s="892"/>
      <c r="AL126" s="892"/>
      <c r="AM126" s="892"/>
      <c r="AN126" s="892"/>
      <c r="AO126" s="892"/>
      <c r="AP126" s="893"/>
      <c r="AQ126" s="906"/>
      <c r="AR126" s="904"/>
      <c r="AS126" s="904"/>
      <c r="AT126" s="904"/>
      <c r="AU126" s="904"/>
      <c r="AV126" s="904"/>
      <c r="AW126" s="904"/>
      <c r="AX126" s="904"/>
      <c r="AY126" s="905"/>
      <c r="AZ126" s="897" t="s">
        <v>15</v>
      </c>
      <c r="BA126" s="899" t="s">
        <v>12</v>
      </c>
      <c r="BB126" s="899" t="s">
        <v>13</v>
      </c>
      <c r="BC126" s="899" t="s">
        <v>18</v>
      </c>
      <c r="BD126" s="897" t="s">
        <v>19</v>
      </c>
      <c r="BE126" s="904"/>
      <c r="BF126" s="904"/>
      <c r="BG126" s="904"/>
      <c r="BH126" s="904"/>
      <c r="BI126" s="904"/>
      <c r="BJ126" s="904"/>
      <c r="BK126" s="904"/>
      <c r="BL126" s="905"/>
      <c r="BM126" s="906"/>
      <c r="BN126" s="904"/>
      <c r="BO126" s="904"/>
      <c r="BP126" s="904"/>
      <c r="BQ126" s="904"/>
      <c r="BR126" s="904"/>
      <c r="BS126" s="904"/>
      <c r="BT126" s="904"/>
      <c r="BU126" s="905"/>
    </row>
    <row r="127" spans="1:73" ht="15.75" thickBot="1" x14ac:dyDescent="0.3">
      <c r="A127" s="908"/>
      <c r="B127" s="910"/>
      <c r="C127" s="910"/>
      <c r="D127" s="910"/>
      <c r="E127" s="910"/>
      <c r="F127" s="910"/>
      <c r="G127" s="910"/>
      <c r="H127" s="936"/>
      <c r="I127" s="103" t="s">
        <v>9</v>
      </c>
      <c r="J127" s="104" t="s">
        <v>5</v>
      </c>
      <c r="K127" s="104" t="s">
        <v>8</v>
      </c>
      <c r="L127" s="104" t="s">
        <v>4</v>
      </c>
      <c r="M127" s="104" t="s">
        <v>10</v>
      </c>
      <c r="N127" s="104" t="s">
        <v>6</v>
      </c>
      <c r="O127" s="104" t="s">
        <v>7</v>
      </c>
      <c r="P127" s="105" t="s">
        <v>20</v>
      </c>
      <c r="Q127" s="103" t="s">
        <v>22</v>
      </c>
      <c r="R127" s="104" t="s">
        <v>23</v>
      </c>
      <c r="S127" s="104" t="s">
        <v>24</v>
      </c>
      <c r="T127" s="104" t="s">
        <v>25</v>
      </c>
      <c r="U127" s="104" t="s">
        <v>26</v>
      </c>
      <c r="V127" s="104" t="s">
        <v>27</v>
      </c>
      <c r="W127" s="104" t="s">
        <v>28</v>
      </c>
      <c r="X127" s="104" t="s">
        <v>29</v>
      </c>
      <c r="Y127" s="105" t="s">
        <v>30</v>
      </c>
      <c r="Z127" s="913"/>
      <c r="AA127" s="913"/>
      <c r="AB127" s="913"/>
      <c r="AC127" s="913"/>
      <c r="AD127" s="913"/>
      <c r="AE127" s="913"/>
      <c r="AF127" s="913"/>
      <c r="AG127" s="913"/>
      <c r="AH127" s="913"/>
      <c r="AI127" s="109" t="s">
        <v>9</v>
      </c>
      <c r="AJ127" s="110" t="s">
        <v>5</v>
      </c>
      <c r="AK127" s="110" t="s">
        <v>8</v>
      </c>
      <c r="AL127" s="110" t="s">
        <v>4</v>
      </c>
      <c r="AM127" s="110" t="s">
        <v>10</v>
      </c>
      <c r="AN127" s="110" t="s">
        <v>6</v>
      </c>
      <c r="AO127" s="110" t="s">
        <v>7</v>
      </c>
      <c r="AP127" s="111" t="s">
        <v>20</v>
      </c>
      <c r="AQ127" s="106" t="s">
        <v>22</v>
      </c>
      <c r="AR127" s="107" t="s">
        <v>23</v>
      </c>
      <c r="AS127" s="107" t="s">
        <v>24</v>
      </c>
      <c r="AT127" s="107" t="s">
        <v>25</v>
      </c>
      <c r="AU127" s="107" t="s">
        <v>26</v>
      </c>
      <c r="AV127" s="107" t="s">
        <v>27</v>
      </c>
      <c r="AW127" s="107" t="s">
        <v>28</v>
      </c>
      <c r="AX127" s="107" t="s">
        <v>29</v>
      </c>
      <c r="AY127" s="108" t="s">
        <v>30</v>
      </c>
      <c r="AZ127" s="898"/>
      <c r="BA127" s="920"/>
      <c r="BB127" s="920"/>
      <c r="BC127" s="920"/>
      <c r="BD127" s="937"/>
      <c r="BE127" s="132" t="s">
        <v>9</v>
      </c>
      <c r="BF127" s="132" t="s">
        <v>5</v>
      </c>
      <c r="BG127" s="132" t="s">
        <v>8</v>
      </c>
      <c r="BH127" s="132" t="s">
        <v>4</v>
      </c>
      <c r="BI127" s="132" t="s">
        <v>10</v>
      </c>
      <c r="BJ127" s="132" t="s">
        <v>6</v>
      </c>
      <c r="BK127" s="132" t="s">
        <v>7</v>
      </c>
      <c r="BL127" s="132" t="s">
        <v>20</v>
      </c>
      <c r="BM127" s="131" t="s">
        <v>22</v>
      </c>
      <c r="BN127" s="131" t="s">
        <v>23</v>
      </c>
      <c r="BO127" s="131" t="s">
        <v>24</v>
      </c>
      <c r="BP127" s="131" t="s">
        <v>25</v>
      </c>
      <c r="BQ127" s="131" t="s">
        <v>26</v>
      </c>
      <c r="BR127" s="131" t="s">
        <v>27</v>
      </c>
      <c r="BS127" s="131" t="s">
        <v>28</v>
      </c>
      <c r="BT127" s="131" t="s">
        <v>29</v>
      </c>
      <c r="BU127" s="132" t="s">
        <v>30</v>
      </c>
    </row>
    <row r="128" spans="1:73" x14ac:dyDescent="0.25">
      <c r="A128" s="168">
        <v>94.086532294236306</v>
      </c>
      <c r="B128" s="115">
        <v>67.648323220629194</v>
      </c>
      <c r="C128" s="223">
        <v>140</v>
      </c>
      <c r="D128" s="210" t="s">
        <v>9</v>
      </c>
      <c r="E128" s="255">
        <v>36</v>
      </c>
      <c r="F128" s="169">
        <v>25</v>
      </c>
      <c r="G128" s="170">
        <v>119</v>
      </c>
      <c r="H128" s="165" t="s">
        <v>21</v>
      </c>
      <c r="I128" s="114">
        <v>301.73500000000001</v>
      </c>
      <c r="J128" s="115">
        <v>9.8994400000000002</v>
      </c>
      <c r="K128" s="115">
        <v>118.79300000000001</v>
      </c>
      <c r="L128" s="115">
        <v>3.01735</v>
      </c>
      <c r="M128" s="116">
        <v>1.8748899999999999E-3</v>
      </c>
      <c r="N128" s="115">
        <v>3017.35</v>
      </c>
      <c r="O128" s="115">
        <v>3.2998099999999999</v>
      </c>
      <c r="P128" s="117">
        <v>3017349</v>
      </c>
      <c r="Q128" s="114">
        <v>278339</v>
      </c>
      <c r="R128" s="115">
        <v>2783.39</v>
      </c>
      <c r="S128" s="115">
        <v>27.8339</v>
      </c>
      <c r="T128" s="115">
        <v>0.278339</v>
      </c>
      <c r="U128" s="115">
        <v>431.42599999999999</v>
      </c>
      <c r="V128" s="115">
        <v>2.9960100000000001</v>
      </c>
      <c r="W128" s="123">
        <v>2.7833900000000002E-3</v>
      </c>
      <c r="X128" s="124">
        <v>2.7833880711980201E-5</v>
      </c>
      <c r="Y128" s="125">
        <v>6.8779017110454506E-5</v>
      </c>
      <c r="Z128" s="142">
        <v>1</v>
      </c>
      <c r="AA128" s="13">
        <v>94.086675999999997</v>
      </c>
      <c r="AB128" s="7">
        <v>67.648315999999994</v>
      </c>
      <c r="AC128" s="14">
        <v>140</v>
      </c>
      <c r="AD128" s="18" t="s">
        <v>9</v>
      </c>
      <c r="AE128" s="13">
        <v>36</v>
      </c>
      <c r="AF128" s="7">
        <v>25</v>
      </c>
      <c r="AG128" s="14">
        <v>119</v>
      </c>
      <c r="AH128" s="18" t="s">
        <v>21</v>
      </c>
      <c r="AI128" s="8">
        <f>AA128+AB128+AC128</f>
        <v>301.73499199999998</v>
      </c>
      <c r="AJ128" s="260">
        <v>9.8994400000000002</v>
      </c>
      <c r="AK128" s="260">
        <v>118.79300000000001</v>
      </c>
      <c r="AL128" s="260">
        <v>3.01735</v>
      </c>
      <c r="AM128" s="260">
        <v>1.8748899999999999E-3</v>
      </c>
      <c r="AN128" s="260">
        <v>3017.35</v>
      </c>
      <c r="AO128" s="260">
        <v>3.2998099999999999</v>
      </c>
      <c r="AP128" s="184">
        <v>3017350</v>
      </c>
      <c r="AQ128" s="8">
        <v>278340</v>
      </c>
      <c r="AR128" s="262">
        <f>SQRT((AI128/2)*(AI128/2-AA128)*(AI128/2-AB128)*(AI128/2-AC128))</f>
        <v>2783.3968523023468</v>
      </c>
      <c r="AS128" s="260">
        <v>27.834</v>
      </c>
      <c r="AT128" s="260">
        <v>0.27833999999999998</v>
      </c>
      <c r="AU128" s="260">
        <v>431.428</v>
      </c>
      <c r="AV128" s="260">
        <v>2.9960300000000002</v>
      </c>
      <c r="AW128" s="263">
        <v>2.7834000000000001E-3</v>
      </c>
      <c r="AX128" s="194">
        <v>2.7834000000000002E-5</v>
      </c>
      <c r="AY128" s="264">
        <v>6.8779311877570807E-5</v>
      </c>
      <c r="AZ128" s="269" t="s">
        <v>9</v>
      </c>
      <c r="BA128" s="216">
        <f>(100*(A128-AA128))/AA128</f>
        <v>-1.5273763491294425E-4</v>
      </c>
      <c r="BB128" s="90">
        <f>(100*(B128-AB128))/AB128</f>
        <v>1.0673775235340597E-5</v>
      </c>
      <c r="BC128" s="229">
        <f>(100*(G128-AG128))/AG128</f>
        <v>0</v>
      </c>
      <c r="BD128" s="273" t="s">
        <v>21</v>
      </c>
      <c r="BE128" s="133">
        <f t="shared" ref="BE128:BE151" si="41">(100*(I128-AI128))/AI128</f>
        <v>2.6513332058766859E-6</v>
      </c>
      <c r="BF128" s="91">
        <f t="shared" ref="BF128:BF151" si="42">(100*(J128-AJ128))/AJ128</f>
        <v>0</v>
      </c>
      <c r="BG128" s="91">
        <f t="shared" ref="BG128:BG151" si="43">(100*(K128-AK128))/AK128</f>
        <v>0</v>
      </c>
      <c r="BH128" s="91">
        <f t="shared" ref="BH128:BH151" si="44">(100*(L128-AL128))/AL128</f>
        <v>0</v>
      </c>
      <c r="BI128" s="91">
        <f t="shared" ref="BI128:BI151" si="45">(100*(M128-AM128))/AM128</f>
        <v>0</v>
      </c>
      <c r="BJ128" s="91">
        <f t="shared" ref="BJ128:BJ131" si="46">(100*(N128-AN128))/AN128</f>
        <v>0</v>
      </c>
      <c r="BK128" s="92">
        <f t="shared" ref="BK128:BK151" si="47">(100*(O128-AO128))/AO128</f>
        <v>0</v>
      </c>
      <c r="BL128" s="95">
        <f t="shared" ref="BL128:BL151" si="48">(100*(P128-AP128))/AP128</f>
        <v>-3.3141664042951594E-5</v>
      </c>
      <c r="BM128" s="138">
        <f t="shared" ref="BM128:BM151" si="49">(100*(Q128-AQ128))/AQ128</f>
        <v>-3.5927283178846016E-4</v>
      </c>
      <c r="BN128" s="93">
        <f t="shared" ref="BN128:BN151" si="50">(100*(R128-AR128))/AR128</f>
        <v>-2.4618488525178945E-4</v>
      </c>
      <c r="BO128" s="92">
        <f t="shared" ref="BO128:BO151" si="51">(100*(S128-AS128))/AS128</f>
        <v>-3.5927283178762283E-4</v>
      </c>
      <c r="BP128" s="93">
        <f t="shared" ref="BP128:BP151" si="52">(100*(T128-AT128))/AT128</f>
        <v>-3.5927283177884767E-4</v>
      </c>
      <c r="BQ128" s="93">
        <f t="shared" ref="BQ128:BQ151" si="53">(100*(U128-AU128))/AU128</f>
        <v>-4.6357677295158164E-4</v>
      </c>
      <c r="BR128" s="94">
        <f t="shared" ref="BR128:BR151" si="54">(100*(V128-AV128))/AV128</f>
        <v>-6.6755005791434069E-4</v>
      </c>
      <c r="BS128" s="93">
        <f t="shared" ref="BS128:BS151" si="55">(100*(W128-AW128))/AW128</f>
        <v>-3.592728317863265E-4</v>
      </c>
      <c r="BT128" s="93">
        <f t="shared" ref="BT128:BT151" si="56">(100*(X128-AX128))/AX128</f>
        <v>-4.2856944672028745E-4</v>
      </c>
      <c r="BU128" s="95">
        <f t="shared" ref="BU128:BU151" si="57">(100*(Y128-AY128))/AY128</f>
        <v>-4.2856944661746275E-4</v>
      </c>
    </row>
    <row r="129" spans="1:73" x14ac:dyDescent="0.25">
      <c r="A129" s="171">
        <v>155.56349186104001</v>
      </c>
      <c r="B129" s="57">
        <v>110</v>
      </c>
      <c r="C129" s="112">
        <v>110</v>
      </c>
      <c r="D129" s="211" t="s">
        <v>5</v>
      </c>
      <c r="E129" s="246">
        <v>90</v>
      </c>
      <c r="F129" s="60">
        <v>45</v>
      </c>
      <c r="G129" s="172">
        <v>45</v>
      </c>
      <c r="H129" s="166" t="s">
        <v>21</v>
      </c>
      <c r="I129" s="118">
        <v>11447.2</v>
      </c>
      <c r="J129" s="1">
        <v>375.56299999999999</v>
      </c>
      <c r="K129" s="1">
        <v>4506.76</v>
      </c>
      <c r="L129" s="1">
        <v>114.47199999999999</v>
      </c>
      <c r="M129" s="1">
        <v>7.1129399999999995E-2</v>
      </c>
      <c r="N129" s="1">
        <v>114472</v>
      </c>
      <c r="O129" s="1">
        <v>125.188</v>
      </c>
      <c r="P129" s="119">
        <v>114471752</v>
      </c>
      <c r="Q129" s="118">
        <v>562063392</v>
      </c>
      <c r="R129" s="1">
        <v>5620634</v>
      </c>
      <c r="S129" s="1">
        <v>56206.3</v>
      </c>
      <c r="T129" s="1">
        <v>562.06299999999999</v>
      </c>
      <c r="U129" s="1">
        <v>871200</v>
      </c>
      <c r="V129" s="1">
        <v>6050</v>
      </c>
      <c r="W129" s="1">
        <v>5.6206300000000002</v>
      </c>
      <c r="X129" s="52">
        <v>5.6206300000000001E-2</v>
      </c>
      <c r="Y129" s="119">
        <v>0.13888900000000001</v>
      </c>
      <c r="Z129" s="143">
        <v>2</v>
      </c>
      <c r="AA129" s="15">
        <v>155.56347099999999</v>
      </c>
      <c r="AB129" s="34">
        <v>110</v>
      </c>
      <c r="AC129" s="16">
        <v>110</v>
      </c>
      <c r="AD129" s="19" t="s">
        <v>5</v>
      </c>
      <c r="AE129" s="15">
        <v>90</v>
      </c>
      <c r="AF129" s="34">
        <v>45</v>
      </c>
      <c r="AG129" s="2">
        <v>45</v>
      </c>
      <c r="AH129" s="19" t="s">
        <v>21</v>
      </c>
      <c r="AI129" s="13">
        <v>11447.2</v>
      </c>
      <c r="AJ129" s="2">
        <f>AA129+AB129+AC129</f>
        <v>375.56347099999999</v>
      </c>
      <c r="AK129" s="2">
        <v>4506.76</v>
      </c>
      <c r="AL129" s="2">
        <v>114.47199999999999</v>
      </c>
      <c r="AM129" s="2">
        <v>7.1129399999999995E-2</v>
      </c>
      <c r="AN129" s="2">
        <v>114472</v>
      </c>
      <c r="AO129" s="2">
        <v>125.188</v>
      </c>
      <c r="AP129" s="16">
        <v>114471602</v>
      </c>
      <c r="AQ129" s="15">
        <v>562063392</v>
      </c>
      <c r="AR129" s="12">
        <v>5620634</v>
      </c>
      <c r="AS129" s="2">
        <v>56206.3</v>
      </c>
      <c r="AT129" s="2">
        <v>562.06299999999999</v>
      </c>
      <c r="AU129" s="2">
        <v>871200</v>
      </c>
      <c r="AV129" s="2">
        <f>SQRT((AJ129/2)*(AJ129/2-AA129)*(AJ129/2-AB129)*(AJ129/2-AC129))</f>
        <v>6049.9999999997826</v>
      </c>
      <c r="AW129" s="2">
        <v>5.6206300000000002</v>
      </c>
      <c r="AX129" s="23">
        <v>5.6206300000000001E-2</v>
      </c>
      <c r="AY129" s="16">
        <v>0.13888900000000001</v>
      </c>
      <c r="AZ129" s="270" t="s">
        <v>5</v>
      </c>
      <c r="BA129" s="217">
        <f t="shared" ref="BA129:BA151" si="58">(100*(A129-AA129))/AA129</f>
        <v>1.3409986213050105E-5</v>
      </c>
      <c r="BB129" s="73">
        <f t="shared" ref="BB129:BB151" si="59">(100*(B129-AB129))/AB129</f>
        <v>0</v>
      </c>
      <c r="BC129" s="230">
        <f t="shared" ref="BC129:BC146" si="60">(100*(G129-AG129))/AG129</f>
        <v>0</v>
      </c>
      <c r="BD129" s="274" t="s">
        <v>21</v>
      </c>
      <c r="BE129" s="134">
        <f t="shared" si="41"/>
        <v>0</v>
      </c>
      <c r="BF129" s="82">
        <f>(100*(J129-AJ129))/AJ129</f>
        <v>-1.2541155793198831E-4</v>
      </c>
      <c r="BG129" s="82">
        <f t="shared" si="43"/>
        <v>0</v>
      </c>
      <c r="BH129" s="82">
        <f t="shared" si="44"/>
        <v>0</v>
      </c>
      <c r="BI129" s="82">
        <f t="shared" si="45"/>
        <v>0</v>
      </c>
      <c r="BJ129" s="82">
        <f t="shared" si="46"/>
        <v>0</v>
      </c>
      <c r="BK129" s="83">
        <f t="shared" si="47"/>
        <v>0</v>
      </c>
      <c r="BL129" s="96">
        <f t="shared" si="48"/>
        <v>1.3103686624390913E-4</v>
      </c>
      <c r="BM129" s="139">
        <f t="shared" si="49"/>
        <v>0</v>
      </c>
      <c r="BN129" s="80">
        <f t="shared" si="50"/>
        <v>0</v>
      </c>
      <c r="BO129" s="83">
        <f t="shared" si="51"/>
        <v>0</v>
      </c>
      <c r="BP129" s="80">
        <f t="shared" si="52"/>
        <v>0</v>
      </c>
      <c r="BQ129" s="80">
        <f t="shared" si="53"/>
        <v>0</v>
      </c>
      <c r="BR129" s="81">
        <f t="shared" si="54"/>
        <v>3.5928798962601265E-12</v>
      </c>
      <c r="BS129" s="80">
        <f t="shared" si="55"/>
        <v>0</v>
      </c>
      <c r="BT129" s="80">
        <f t="shared" si="56"/>
        <v>0</v>
      </c>
      <c r="BU129" s="96">
        <f t="shared" si="57"/>
        <v>0</v>
      </c>
    </row>
    <row r="130" spans="1:73" x14ac:dyDescent="0.25">
      <c r="A130" s="173">
        <v>114</v>
      </c>
      <c r="B130" s="57">
        <v>114</v>
      </c>
      <c r="C130" s="112">
        <v>114</v>
      </c>
      <c r="D130" s="211" t="s">
        <v>8</v>
      </c>
      <c r="E130" s="246">
        <v>60</v>
      </c>
      <c r="F130" s="60">
        <v>60</v>
      </c>
      <c r="G130" s="174">
        <v>60</v>
      </c>
      <c r="H130" s="166" t="s">
        <v>21</v>
      </c>
      <c r="I130" s="118">
        <v>868.68</v>
      </c>
      <c r="J130" s="1">
        <v>28.5</v>
      </c>
      <c r="K130" s="1">
        <v>342</v>
      </c>
      <c r="L130" s="1">
        <v>8.6867999999999999</v>
      </c>
      <c r="M130" s="1">
        <v>5.3977299999999999E-3</v>
      </c>
      <c r="N130" s="1">
        <v>8686.7999999999993</v>
      </c>
      <c r="O130" s="1">
        <v>9.5</v>
      </c>
      <c r="P130" s="119">
        <v>8686800</v>
      </c>
      <c r="Q130" s="118">
        <v>3630595</v>
      </c>
      <c r="R130" s="1">
        <v>36305.9</v>
      </c>
      <c r="S130" s="1">
        <v>363.05900000000003</v>
      </c>
      <c r="T130" s="1">
        <v>3.6305900000000002</v>
      </c>
      <c r="U130" s="1">
        <v>5627.43</v>
      </c>
      <c r="V130" s="1">
        <v>39.0794</v>
      </c>
      <c r="W130" s="49">
        <v>3.6305900000000002E-2</v>
      </c>
      <c r="X130" s="58">
        <v>3.6305899999999999E-4</v>
      </c>
      <c r="Y130" s="126">
        <v>8.9713900000000003E-4</v>
      </c>
      <c r="Z130" s="143">
        <v>3</v>
      </c>
      <c r="AA130" s="15">
        <v>114</v>
      </c>
      <c r="AB130" s="2">
        <v>114</v>
      </c>
      <c r="AC130" s="16">
        <v>114</v>
      </c>
      <c r="AD130" s="19" t="s">
        <v>8</v>
      </c>
      <c r="AE130" s="15">
        <v>60</v>
      </c>
      <c r="AF130" s="2">
        <v>60</v>
      </c>
      <c r="AG130" s="16">
        <v>60</v>
      </c>
      <c r="AH130" s="19" t="s">
        <v>21</v>
      </c>
      <c r="AI130" s="13">
        <v>868.68</v>
      </c>
      <c r="AJ130" s="2">
        <v>28.5</v>
      </c>
      <c r="AK130" s="2">
        <f>AA130+AB130+AC130</f>
        <v>342</v>
      </c>
      <c r="AL130" s="2">
        <v>8.6867999999999999</v>
      </c>
      <c r="AM130" s="2">
        <v>5.3977299999999999E-3</v>
      </c>
      <c r="AN130" s="2">
        <v>8686.7999999999993</v>
      </c>
      <c r="AO130" s="2">
        <v>9.5</v>
      </c>
      <c r="AP130" s="16">
        <v>8686800</v>
      </c>
      <c r="AQ130" s="27">
        <v>3630593</v>
      </c>
      <c r="AR130" s="12">
        <v>36305.9</v>
      </c>
      <c r="AS130" s="2">
        <v>363.05900000000003</v>
      </c>
      <c r="AT130" s="2">
        <v>3.6305900000000002</v>
      </c>
      <c r="AU130" s="2">
        <f>SQRT((AK130/2)*(AK130/2-AA130)*(AK130/2-AB130)*(AK130/2-AC130))</f>
        <v>5627.4330737912824</v>
      </c>
      <c r="AV130" s="2">
        <v>39.0794</v>
      </c>
      <c r="AW130" s="24">
        <v>3.6305900000000002E-2</v>
      </c>
      <c r="AX130" s="25">
        <v>3.6305899999999999E-4</v>
      </c>
      <c r="AY130" s="265">
        <v>8.9713900000000003E-4</v>
      </c>
      <c r="AZ130" s="270" t="s">
        <v>8</v>
      </c>
      <c r="BA130" s="217">
        <f t="shared" si="58"/>
        <v>0</v>
      </c>
      <c r="BB130" s="73">
        <f t="shared" si="59"/>
        <v>0</v>
      </c>
      <c r="BC130" s="230">
        <f t="shared" si="60"/>
        <v>0</v>
      </c>
      <c r="BD130" s="274" t="s">
        <v>21</v>
      </c>
      <c r="BE130" s="134">
        <f t="shared" si="41"/>
        <v>0</v>
      </c>
      <c r="BF130" s="82">
        <f t="shared" si="42"/>
        <v>0</v>
      </c>
      <c r="BG130" s="82">
        <f t="shared" si="43"/>
        <v>0</v>
      </c>
      <c r="BH130" s="82">
        <f t="shared" si="44"/>
        <v>0</v>
      </c>
      <c r="BI130" s="82">
        <f t="shared" si="45"/>
        <v>0</v>
      </c>
      <c r="BJ130" s="82">
        <f t="shared" si="46"/>
        <v>0</v>
      </c>
      <c r="BK130" s="83">
        <f t="shared" si="47"/>
        <v>0</v>
      </c>
      <c r="BL130" s="96">
        <f t="shared" si="48"/>
        <v>0</v>
      </c>
      <c r="BM130" s="139">
        <f t="shared" si="49"/>
        <v>5.5087419603354053E-5</v>
      </c>
      <c r="BN130" s="80">
        <f t="shared" si="50"/>
        <v>0</v>
      </c>
      <c r="BO130" s="83">
        <f t="shared" si="51"/>
        <v>0</v>
      </c>
      <c r="BP130" s="80">
        <f t="shared" si="52"/>
        <v>0</v>
      </c>
      <c r="BQ130" s="80">
        <f t="shared" si="53"/>
        <v>-5.4621551989528986E-5</v>
      </c>
      <c r="BR130" s="81">
        <f t="shared" si="54"/>
        <v>0</v>
      </c>
      <c r="BS130" s="80">
        <f t="shared" si="55"/>
        <v>0</v>
      </c>
      <c r="BT130" s="80">
        <f t="shared" si="56"/>
        <v>0</v>
      </c>
      <c r="BU130" s="96">
        <f t="shared" si="57"/>
        <v>0</v>
      </c>
    </row>
    <row r="131" spans="1:73" x14ac:dyDescent="0.25">
      <c r="A131" s="171">
        <v>64.654611224420407</v>
      </c>
      <c r="B131" s="57">
        <v>181.19565205600199</v>
      </c>
      <c r="C131" s="112">
        <v>140</v>
      </c>
      <c r="D131" s="211" t="s">
        <v>4</v>
      </c>
      <c r="E131" s="246">
        <v>18</v>
      </c>
      <c r="F131" s="60">
        <v>120</v>
      </c>
      <c r="G131" s="175">
        <v>42</v>
      </c>
      <c r="H131" s="166" t="s">
        <v>21</v>
      </c>
      <c r="I131" s="118">
        <v>38585</v>
      </c>
      <c r="J131" s="1">
        <v>1265.9100000000001</v>
      </c>
      <c r="K131" s="1">
        <v>15191</v>
      </c>
      <c r="L131" s="1">
        <v>385.85</v>
      </c>
      <c r="M131" s="1">
        <v>0.239756</v>
      </c>
      <c r="N131" s="1">
        <v>385850</v>
      </c>
      <c r="O131" s="1">
        <v>421.971</v>
      </c>
      <c r="P131" s="119">
        <v>385850263</v>
      </c>
      <c r="Q131" s="118">
        <v>3919477505</v>
      </c>
      <c r="R131" s="1">
        <v>39194775</v>
      </c>
      <c r="S131" s="1">
        <v>391948</v>
      </c>
      <c r="T131" s="1">
        <v>3919.48</v>
      </c>
      <c r="U131" s="1">
        <v>6075202</v>
      </c>
      <c r="V131" s="1">
        <v>42188.9</v>
      </c>
      <c r="W131" s="1">
        <v>39.194800000000001</v>
      </c>
      <c r="X131" s="1">
        <v>0.39194800000000002</v>
      </c>
      <c r="Y131" s="119">
        <v>0.96852400000000005</v>
      </c>
      <c r="Z131" s="143">
        <v>4</v>
      </c>
      <c r="AA131" s="2">
        <v>64.654875000000004</v>
      </c>
      <c r="AB131" s="2">
        <v>181.196054</v>
      </c>
      <c r="AC131" s="35">
        <v>140</v>
      </c>
      <c r="AD131" s="19" t="s">
        <v>4</v>
      </c>
      <c r="AE131" s="15">
        <v>18</v>
      </c>
      <c r="AF131" s="2">
        <v>120</v>
      </c>
      <c r="AG131" s="16">
        <v>42</v>
      </c>
      <c r="AH131" s="19" t="s">
        <v>21</v>
      </c>
      <c r="AI131" s="13">
        <v>38585.1</v>
      </c>
      <c r="AJ131" s="2">
        <v>1265.92</v>
      </c>
      <c r="AK131" s="2">
        <v>15191</v>
      </c>
      <c r="AL131" s="2">
        <f>AA131+AB131+AC131</f>
        <v>385.85092900000001</v>
      </c>
      <c r="AM131" s="2">
        <v>0.239757</v>
      </c>
      <c r="AN131" s="2">
        <v>385851</v>
      </c>
      <c r="AO131" s="2">
        <v>421.97199999999998</v>
      </c>
      <c r="AP131" s="16">
        <v>385851000</v>
      </c>
      <c r="AQ131" s="15">
        <v>3919480000</v>
      </c>
      <c r="AR131" s="12">
        <v>39194800</v>
      </c>
      <c r="AS131" s="2">
        <v>391948</v>
      </c>
      <c r="AT131" s="2">
        <f>SQRT((AL131/2)*(AL131/2-AA131)*(AL131/2-AB131)*(AL131/2-AC131))</f>
        <v>3919.4827249033679</v>
      </c>
      <c r="AU131" s="2">
        <v>6075206</v>
      </c>
      <c r="AV131" s="2">
        <v>42188.9</v>
      </c>
      <c r="AW131" s="2">
        <v>39.194800000000001</v>
      </c>
      <c r="AX131" s="2">
        <v>0.39194800000000002</v>
      </c>
      <c r="AY131" s="16">
        <v>0.96852499999999997</v>
      </c>
      <c r="AZ131" s="270" t="s">
        <v>4</v>
      </c>
      <c r="BA131" s="217">
        <f t="shared" si="58"/>
        <v>-4.079747731278364E-4</v>
      </c>
      <c r="BB131" s="73">
        <f t="shared" si="59"/>
        <v>-2.2182822922516622E-4</v>
      </c>
      <c r="BC131" s="230">
        <f t="shared" si="60"/>
        <v>0</v>
      </c>
      <c r="BD131" s="274" t="s">
        <v>21</v>
      </c>
      <c r="BE131" s="134">
        <f t="shared" si="41"/>
        <v>-2.5916739881079692E-4</v>
      </c>
      <c r="BF131" s="82">
        <f>(100*(J131-AJ131))/AJ131</f>
        <v>-7.8993933265853323E-4</v>
      </c>
      <c r="BG131" s="82">
        <f t="shared" si="43"/>
        <v>0</v>
      </c>
      <c r="BH131" s="82">
        <f t="shared" si="44"/>
        <v>-2.4076655779804552E-4</v>
      </c>
      <c r="BI131" s="82">
        <f t="shared" si="45"/>
        <v>-4.1708896924844743E-4</v>
      </c>
      <c r="BJ131" s="82">
        <f t="shared" si="46"/>
        <v>-2.5916739881456832E-4</v>
      </c>
      <c r="BK131" s="83">
        <f t="shared" si="47"/>
        <v>-2.3698254859951684E-4</v>
      </c>
      <c r="BL131" s="96">
        <f t="shared" si="48"/>
        <v>-1.9100637292633686E-4</v>
      </c>
      <c r="BM131" s="139">
        <f t="shared" si="49"/>
        <v>-6.3656403400451079E-5</v>
      </c>
      <c r="BN131" s="80">
        <f t="shared" si="50"/>
        <v>-6.3783971343137348E-5</v>
      </c>
      <c r="BO131" s="83">
        <f t="shared" si="51"/>
        <v>0</v>
      </c>
      <c r="BP131" s="80">
        <f t="shared" si="52"/>
        <v>-6.9522014997570029E-5</v>
      </c>
      <c r="BQ131" s="80">
        <f t="shared" si="53"/>
        <v>-6.5841388752908129E-5</v>
      </c>
      <c r="BR131" s="81">
        <f t="shared" si="54"/>
        <v>0</v>
      </c>
      <c r="BS131" s="80">
        <f t="shared" si="55"/>
        <v>0</v>
      </c>
      <c r="BT131" s="80">
        <f t="shared" si="56"/>
        <v>0</v>
      </c>
      <c r="BU131" s="96">
        <f t="shared" si="57"/>
        <v>-1.0324978703882021E-4</v>
      </c>
    </row>
    <row r="132" spans="1:73" x14ac:dyDescent="0.25">
      <c r="A132" s="171">
        <v>82.240659227933506</v>
      </c>
      <c r="B132" s="57">
        <v>82.240659227933506</v>
      </c>
      <c r="C132" s="112">
        <v>126</v>
      </c>
      <c r="D132" s="211" t="s">
        <v>10</v>
      </c>
      <c r="E132" s="246">
        <v>40</v>
      </c>
      <c r="F132" s="60">
        <v>40</v>
      </c>
      <c r="G132" s="174">
        <v>100</v>
      </c>
      <c r="H132" s="166" t="s">
        <v>21</v>
      </c>
      <c r="I132" s="120">
        <v>46748437</v>
      </c>
      <c r="J132" s="1">
        <v>1533741</v>
      </c>
      <c r="K132" s="1">
        <v>18404896</v>
      </c>
      <c r="L132" s="1">
        <v>467484</v>
      </c>
      <c r="M132" s="1">
        <v>290.48099999999999</v>
      </c>
      <c r="N132" s="1">
        <v>467484367</v>
      </c>
      <c r="O132" s="1">
        <v>511247</v>
      </c>
      <c r="P132" s="164">
        <v>467484366969</v>
      </c>
      <c r="Q132" s="120">
        <v>8625661272433680</v>
      </c>
      <c r="R132" s="59">
        <v>86256612724337</v>
      </c>
      <c r="S132" s="59">
        <v>862566127243</v>
      </c>
      <c r="T132" s="1">
        <v>8625661272</v>
      </c>
      <c r="U132" s="59">
        <v>13369801711876</v>
      </c>
      <c r="V132" s="59">
        <v>92845845221</v>
      </c>
      <c r="W132" s="1">
        <v>86256613</v>
      </c>
      <c r="X132" s="1">
        <v>862566</v>
      </c>
      <c r="Y132" s="119">
        <v>2131447</v>
      </c>
      <c r="Z132" s="143">
        <v>5</v>
      </c>
      <c r="AA132" s="15">
        <v>82.2407252</v>
      </c>
      <c r="AB132" s="2">
        <v>82.240786</v>
      </c>
      <c r="AC132" s="16">
        <v>126</v>
      </c>
      <c r="AD132" s="19" t="s">
        <v>10</v>
      </c>
      <c r="AE132" s="15">
        <v>40</v>
      </c>
      <c r="AF132" s="2">
        <v>40</v>
      </c>
      <c r="AG132" s="16">
        <v>100</v>
      </c>
      <c r="AH132" s="19" t="s">
        <v>21</v>
      </c>
      <c r="AI132" s="13">
        <v>46748546</v>
      </c>
      <c r="AJ132" s="2">
        <v>1533745</v>
      </c>
      <c r="AK132" s="2">
        <v>18404940</v>
      </c>
      <c r="AL132" s="2">
        <v>467485</v>
      </c>
      <c r="AM132" s="2">
        <f>AA132+AB132+AC132</f>
        <v>290.4815112</v>
      </c>
      <c r="AN132" s="2">
        <v>467485464</v>
      </c>
      <c r="AO132" s="2">
        <v>511248</v>
      </c>
      <c r="AP132" s="185">
        <v>467485463808</v>
      </c>
      <c r="AQ132" s="28">
        <v>8625724930000000</v>
      </c>
      <c r="AR132" s="12">
        <v>86257249300000</v>
      </c>
      <c r="AS132" s="29">
        <v>862572493000</v>
      </c>
      <c r="AT132" s="2">
        <f>SQRT((AL132/2)*(AL132/2-AA132*63360*2.54/100)*(AL132/2-AB132*63360*2.54/100)*(AL132/2-AC132*63360*2.54/100))</f>
        <v>8625724930.1023312</v>
      </c>
      <c r="AU132" s="2">
        <v>13369900381301</v>
      </c>
      <c r="AV132" s="2">
        <v>92846530426</v>
      </c>
      <c r="AW132" s="2">
        <v>86257249</v>
      </c>
      <c r="AX132" s="2">
        <v>862572</v>
      </c>
      <c r="AY132" s="16">
        <v>2131463</v>
      </c>
      <c r="AZ132" s="270" t="s">
        <v>10</v>
      </c>
      <c r="BA132" s="217">
        <f t="shared" si="58"/>
        <v>-8.0218245077158867E-5</v>
      </c>
      <c r="BB132" s="73">
        <f t="shared" si="59"/>
        <v>-1.5414744029092905E-4</v>
      </c>
      <c r="BC132" s="230">
        <f t="shared" si="60"/>
        <v>0</v>
      </c>
      <c r="BD132" s="274" t="s">
        <v>21</v>
      </c>
      <c r="BE132" s="134">
        <f t="shared" si="41"/>
        <v>-2.3316233193648419E-4</v>
      </c>
      <c r="BF132" s="82">
        <f t="shared" si="42"/>
        <v>-2.607995462087896E-4</v>
      </c>
      <c r="BG132" s="82">
        <f t="shared" si="43"/>
        <v>-2.3906625069139046E-4</v>
      </c>
      <c r="BH132" s="82">
        <f t="shared" si="44"/>
        <v>-2.1391060675743606E-4</v>
      </c>
      <c r="BI132" s="82">
        <f t="shared" si="45"/>
        <v>-1.7598366171174546E-4</v>
      </c>
      <c r="BJ132" s="82">
        <f>(100*(N132-AN132))/AN132</f>
        <v>-2.3465970270254222E-4</v>
      </c>
      <c r="BK132" s="83">
        <f t="shared" si="47"/>
        <v>-1.9559978718743153E-4</v>
      </c>
      <c r="BL132" s="96">
        <f t="shared" si="48"/>
        <v>-2.3462526322539956E-4</v>
      </c>
      <c r="BM132" s="139">
        <f t="shared" si="49"/>
        <v>-7.3799671142538972E-4</v>
      </c>
      <c r="BN132" s="80">
        <f t="shared" si="50"/>
        <v>-7.3799671119352517E-4</v>
      </c>
      <c r="BO132" s="83">
        <f t="shared" si="51"/>
        <v>-7.3799675408847058E-4</v>
      </c>
      <c r="BP132" s="80">
        <f t="shared" si="52"/>
        <v>-7.380029255165026E-4</v>
      </c>
      <c r="BQ132" s="80">
        <f t="shared" si="53"/>
        <v>-7.3799671041676577E-4</v>
      </c>
      <c r="BR132" s="81">
        <f t="shared" si="54"/>
        <v>-7.3799742096568495E-4</v>
      </c>
      <c r="BS132" s="80">
        <f t="shared" si="55"/>
        <v>-7.373293344887454E-4</v>
      </c>
      <c r="BT132" s="80">
        <f t="shared" si="56"/>
        <v>-6.9559410692672616E-4</v>
      </c>
      <c r="BU132" s="96">
        <f t="shared" si="57"/>
        <v>-7.5065811604517647E-4</v>
      </c>
    </row>
    <row r="133" spans="1:73" x14ac:dyDescent="0.25">
      <c r="A133" s="171">
        <v>87.714132004892605</v>
      </c>
      <c r="B133" s="60">
        <v>87.714132004892605</v>
      </c>
      <c r="C133" s="112">
        <v>60</v>
      </c>
      <c r="D133" s="211" t="s">
        <v>6</v>
      </c>
      <c r="E133" s="246">
        <v>70</v>
      </c>
      <c r="F133" s="60">
        <v>70</v>
      </c>
      <c r="G133" s="172">
        <v>40</v>
      </c>
      <c r="H133" s="166" t="s">
        <v>21</v>
      </c>
      <c r="I133" s="118">
        <v>23.5428</v>
      </c>
      <c r="J133" s="1">
        <v>0.77240200000000003</v>
      </c>
      <c r="K133" s="1">
        <v>9.2688299999999995</v>
      </c>
      <c r="L133" s="1">
        <v>0.235428</v>
      </c>
      <c r="M133" s="49">
        <v>1.4628800000000001E-4</v>
      </c>
      <c r="N133" s="1">
        <v>235.428</v>
      </c>
      <c r="O133" s="1">
        <v>0.257467</v>
      </c>
      <c r="P133" s="119">
        <v>235428</v>
      </c>
      <c r="Q133" s="127">
        <v>2472.73</v>
      </c>
      <c r="R133" s="78">
        <v>24.7273</v>
      </c>
      <c r="S133" s="78">
        <v>0.24727299999999999</v>
      </c>
      <c r="T133" s="50">
        <v>2.4727299999999998E-3</v>
      </c>
      <c r="U133" s="78">
        <v>3.8327399999999998</v>
      </c>
      <c r="V133" s="49">
        <v>2.66162E-2</v>
      </c>
      <c r="W133" s="51">
        <v>2.4727296775091598E-5</v>
      </c>
      <c r="X133" s="79">
        <v>2.4727296775091602E-7</v>
      </c>
      <c r="Y133" s="128">
        <v>6.1102481022608205E-7</v>
      </c>
      <c r="Z133" s="143">
        <v>6</v>
      </c>
      <c r="AA133" s="74">
        <v>87.714111000000003</v>
      </c>
      <c r="AB133" s="186">
        <v>87.714129999999997</v>
      </c>
      <c r="AC133" s="185">
        <v>60</v>
      </c>
      <c r="AD133" s="19" t="s">
        <v>6</v>
      </c>
      <c r="AE133" s="15">
        <v>70</v>
      </c>
      <c r="AF133" s="2">
        <v>70</v>
      </c>
      <c r="AG133" s="16">
        <v>40</v>
      </c>
      <c r="AH133" s="19" t="s">
        <v>21</v>
      </c>
      <c r="AI133" s="187">
        <v>23.5428</v>
      </c>
      <c r="AJ133" s="2">
        <v>0.77240200000000003</v>
      </c>
      <c r="AK133" s="2">
        <v>9.2688199999999998</v>
      </c>
      <c r="AL133" s="2">
        <v>0.235428</v>
      </c>
      <c r="AM133" s="2">
        <v>1.4628800000000001E-4</v>
      </c>
      <c r="AN133" s="2">
        <f>AA133+AB133+AC133</f>
        <v>235.42824100000001</v>
      </c>
      <c r="AO133" s="2">
        <v>0.257467</v>
      </c>
      <c r="AP133" s="16">
        <v>235428</v>
      </c>
      <c r="AQ133" s="15">
        <f>SQRT((AN133/2)*(AN133/2-AA133)*(AN133/2-AB133)*(AN133/2-AC133))</f>
        <v>2472.7293102115036</v>
      </c>
      <c r="AR133" s="12">
        <v>24.7273</v>
      </c>
      <c r="AS133" s="2">
        <v>0.24727299999999999</v>
      </c>
      <c r="AT133" s="23">
        <v>2.4727299999999998E-3</v>
      </c>
      <c r="AU133" s="2">
        <v>3.8327399999999998</v>
      </c>
      <c r="AV133" s="2">
        <v>2.66162E-2</v>
      </c>
      <c r="AW133" s="31">
        <v>2.47273E-5</v>
      </c>
      <c r="AX133" s="32">
        <v>2.4727299999999999E-7</v>
      </c>
      <c r="AY133" s="266">
        <v>6.1102488991530404E-7</v>
      </c>
      <c r="AZ133" s="270" t="s">
        <v>6</v>
      </c>
      <c r="BA133" s="217">
        <f t="shared" si="58"/>
        <v>2.3946993662342418E-5</v>
      </c>
      <c r="BB133" s="73">
        <f t="shared" si="59"/>
        <v>2.2857122421299947E-6</v>
      </c>
      <c r="BC133" s="230">
        <f t="shared" si="60"/>
        <v>0</v>
      </c>
      <c r="BD133" s="274" t="s">
        <v>21</v>
      </c>
      <c r="BE133" s="134">
        <f t="shared" si="41"/>
        <v>0</v>
      </c>
      <c r="BF133" s="82">
        <f t="shared" si="42"/>
        <v>0</v>
      </c>
      <c r="BG133" s="82">
        <f t="shared" si="43"/>
        <v>1.0788859854459816E-4</v>
      </c>
      <c r="BH133" s="82">
        <f t="shared" si="44"/>
        <v>0</v>
      </c>
      <c r="BI133" s="82">
        <f t="shared" si="45"/>
        <v>0</v>
      </c>
      <c r="BJ133" s="82">
        <f t="shared" ref="BJ133:BJ151" si="61">(100*(N133-AN133))/AN133</f>
        <v>-1.0236664853508848E-4</v>
      </c>
      <c r="BK133" s="83">
        <f t="shared" si="47"/>
        <v>0</v>
      </c>
      <c r="BL133" s="96">
        <f t="shared" si="48"/>
        <v>0</v>
      </c>
      <c r="BM133" s="139">
        <f t="shared" si="49"/>
        <v>2.7895835324687756E-5</v>
      </c>
      <c r="BN133" s="80">
        <f t="shared" si="50"/>
        <v>0</v>
      </c>
      <c r="BO133" s="83">
        <f t="shared" si="51"/>
        <v>0</v>
      </c>
      <c r="BP133" s="80">
        <f t="shared" si="52"/>
        <v>0</v>
      </c>
      <c r="BQ133" s="80">
        <f t="shared" si="53"/>
        <v>0</v>
      </c>
      <c r="BR133" s="81">
        <f t="shared" si="54"/>
        <v>0</v>
      </c>
      <c r="BS133" s="80">
        <f t="shared" si="55"/>
        <v>-1.3041894590868774E-5</v>
      </c>
      <c r="BT133" s="80">
        <f t="shared" si="56"/>
        <v>-1.3041894574597663E-5</v>
      </c>
      <c r="BU133" s="96">
        <f t="shared" si="57"/>
        <v>-1.3041894579298353E-5</v>
      </c>
    </row>
    <row r="134" spans="1:73" x14ac:dyDescent="0.25">
      <c r="A134" s="171">
        <v>139.019240211328</v>
      </c>
      <c r="B134" s="57">
        <v>90.498152917904605</v>
      </c>
      <c r="C134" s="112">
        <v>74</v>
      </c>
      <c r="D134" s="211" t="s">
        <v>7</v>
      </c>
      <c r="E134" s="246">
        <v>115</v>
      </c>
      <c r="F134" s="60">
        <v>36.155900000000003</v>
      </c>
      <c r="G134" s="174">
        <v>28.844100000000001</v>
      </c>
      <c r="H134" s="166" t="s">
        <v>21</v>
      </c>
      <c r="I134" s="118">
        <v>27753.599999999999</v>
      </c>
      <c r="J134" s="1">
        <v>910.55200000000002</v>
      </c>
      <c r="K134" s="1">
        <v>10926.6</v>
      </c>
      <c r="L134" s="1">
        <v>277.536</v>
      </c>
      <c r="M134" s="1">
        <v>0.172453</v>
      </c>
      <c r="N134" s="1">
        <v>277536</v>
      </c>
      <c r="O134" s="1">
        <v>303.517</v>
      </c>
      <c r="P134" s="119">
        <v>277536304</v>
      </c>
      <c r="Q134" s="118">
        <v>2537403798</v>
      </c>
      <c r="R134" s="1">
        <v>25374038</v>
      </c>
      <c r="S134" s="1">
        <v>253740</v>
      </c>
      <c r="T134" s="1">
        <v>2537.4</v>
      </c>
      <c r="U134" s="1">
        <v>3932984</v>
      </c>
      <c r="V134" s="1">
        <v>27312.400000000001</v>
      </c>
      <c r="W134" s="1">
        <v>25.373999999999999</v>
      </c>
      <c r="X134" s="1">
        <v>0.25374000000000002</v>
      </c>
      <c r="Y134" s="119">
        <v>0.62700599999999995</v>
      </c>
      <c r="Z134" s="143">
        <v>7</v>
      </c>
      <c r="AA134" s="15">
        <v>139.019408</v>
      </c>
      <c r="AB134" s="2">
        <v>90.498295999999996</v>
      </c>
      <c r="AC134" s="16">
        <v>74</v>
      </c>
      <c r="AD134" s="19" t="s">
        <v>7</v>
      </c>
      <c r="AE134" s="15">
        <v>115</v>
      </c>
      <c r="AF134" s="2">
        <v>36.155900000000003</v>
      </c>
      <c r="AG134" s="16">
        <v>28.844100000000001</v>
      </c>
      <c r="AH134" s="19" t="s">
        <v>21</v>
      </c>
      <c r="AI134" s="13">
        <v>27753.7</v>
      </c>
      <c r="AJ134" s="2">
        <v>910.55399999999997</v>
      </c>
      <c r="AK134" s="2">
        <v>10926.6</v>
      </c>
      <c r="AL134" s="2">
        <v>277.53699999999998</v>
      </c>
      <c r="AM134" s="2">
        <v>0.172453</v>
      </c>
      <c r="AN134" s="2">
        <v>277537</v>
      </c>
      <c r="AO134" s="2">
        <f>AA134+AB134+AC134</f>
        <v>303.51770399999998</v>
      </c>
      <c r="AP134" s="16">
        <v>277536859</v>
      </c>
      <c r="AQ134" s="15">
        <v>2537410000</v>
      </c>
      <c r="AR134" s="12">
        <v>25374100</v>
      </c>
      <c r="AS134" s="2">
        <v>253741</v>
      </c>
      <c r="AT134" s="2">
        <f>SQRT((AO134/2)*(AO134/2-AA134)*(AO134/2-AB134)*(AO134/2-AC134))*0.9144*0.9144</f>
        <v>2537.4066591919941</v>
      </c>
      <c r="AU134" s="2">
        <v>3932993</v>
      </c>
      <c r="AV134" s="2">
        <v>27312.5</v>
      </c>
      <c r="AW134" s="2">
        <v>25.374099999999999</v>
      </c>
      <c r="AX134" s="2">
        <v>0.25374099999999999</v>
      </c>
      <c r="AY134" s="16">
        <v>0.62700800000000001</v>
      </c>
      <c r="AZ134" s="270" t="s">
        <v>7</v>
      </c>
      <c r="BA134" s="217">
        <f t="shared" si="58"/>
        <v>-1.2069442275407625E-4</v>
      </c>
      <c r="BB134" s="73">
        <f t="shared" si="59"/>
        <v>-1.5810473977474456E-4</v>
      </c>
      <c r="BC134" s="230">
        <f t="shared" si="60"/>
        <v>0</v>
      </c>
      <c r="BD134" s="274" t="s">
        <v>21</v>
      </c>
      <c r="BE134" s="134">
        <f t="shared" si="41"/>
        <v>-3.6031231872572951E-4</v>
      </c>
      <c r="BF134" s="82">
        <f t="shared" si="42"/>
        <v>-2.1964650091622312E-4</v>
      </c>
      <c r="BG134" s="82">
        <f t="shared" si="43"/>
        <v>0</v>
      </c>
      <c r="BH134" s="82">
        <f t="shared" si="44"/>
        <v>-3.603123187093444E-4</v>
      </c>
      <c r="BI134" s="82">
        <f t="shared" si="45"/>
        <v>0</v>
      </c>
      <c r="BJ134" s="82">
        <f t="shared" si="61"/>
        <v>-3.6031231871786466E-4</v>
      </c>
      <c r="BK134" s="83">
        <f t="shared" si="47"/>
        <v>-2.3194693116969443E-4</v>
      </c>
      <c r="BL134" s="96">
        <f t="shared" si="48"/>
        <v>-1.9997343848299443E-4</v>
      </c>
      <c r="BM134" s="139">
        <f t="shared" si="49"/>
        <v>-2.44422462274524E-4</v>
      </c>
      <c r="BN134" s="80">
        <f t="shared" si="50"/>
        <v>-2.443436417449289E-4</v>
      </c>
      <c r="BO134" s="83">
        <f t="shared" si="51"/>
        <v>-3.9410264797569173E-4</v>
      </c>
      <c r="BP134" s="80">
        <f t="shared" si="52"/>
        <v>-2.6244086535676998E-4</v>
      </c>
      <c r="BQ134" s="80">
        <f t="shared" si="53"/>
        <v>-2.2883335922540415E-4</v>
      </c>
      <c r="BR134" s="81">
        <f t="shared" si="54"/>
        <v>-3.6613272310680021E-4</v>
      </c>
      <c r="BS134" s="80">
        <f t="shared" si="55"/>
        <v>-3.941026479747733E-4</v>
      </c>
      <c r="BT134" s="80">
        <f t="shared" si="56"/>
        <v>-3.9410264796514737E-4</v>
      </c>
      <c r="BU134" s="96">
        <f t="shared" si="57"/>
        <v>-3.1897519649789336E-4</v>
      </c>
    </row>
    <row r="135" spans="1:73" ht="15.75" thickBot="1" x14ac:dyDescent="0.3">
      <c r="A135" s="176">
        <v>98.697663796935899</v>
      </c>
      <c r="B135" s="177">
        <v>130.976223647756</v>
      </c>
      <c r="C135" s="254">
        <v>164</v>
      </c>
      <c r="D135" s="212" t="s">
        <v>20</v>
      </c>
      <c r="E135" s="256">
        <v>37</v>
      </c>
      <c r="F135" s="178">
        <v>53</v>
      </c>
      <c r="G135" s="179">
        <v>90</v>
      </c>
      <c r="H135" s="167" t="s">
        <v>21</v>
      </c>
      <c r="I135" s="121">
        <v>3.9367399999999997E-2</v>
      </c>
      <c r="J135" s="64">
        <v>1.2915800000000001E-3</v>
      </c>
      <c r="K135" s="55">
        <v>1.5499000000000001E-2</v>
      </c>
      <c r="L135" s="62">
        <v>3.93674E-4</v>
      </c>
      <c r="M135" s="65">
        <v>2.4461761279421398E-7</v>
      </c>
      <c r="N135" s="66">
        <v>0.39367400000000002</v>
      </c>
      <c r="O135" s="64">
        <v>4.3052699999999999E-4</v>
      </c>
      <c r="P135" s="122">
        <v>393.67399999999998</v>
      </c>
      <c r="Q135" s="129">
        <v>6.4635200000000004E-3</v>
      </c>
      <c r="R135" s="67">
        <v>6.46352364348926E-5</v>
      </c>
      <c r="S135" s="68">
        <v>6.4635236434892597E-7</v>
      </c>
      <c r="T135" s="69">
        <v>6.4635236434892601E-9</v>
      </c>
      <c r="U135" s="67">
        <v>1.00184816843717E-5</v>
      </c>
      <c r="V135" s="68">
        <v>6.9572789474803603E-8</v>
      </c>
      <c r="W135" s="70">
        <v>6.4635236434892597E-11</v>
      </c>
      <c r="X135" s="71">
        <v>6.46352364348926E-13</v>
      </c>
      <c r="Y135" s="72">
        <v>1.59717147554646E-12</v>
      </c>
      <c r="Z135" s="144">
        <v>8</v>
      </c>
      <c r="AA135" s="17">
        <v>98.697691000000006</v>
      </c>
      <c r="AB135" s="9">
        <v>130.97607199999999</v>
      </c>
      <c r="AC135" s="10">
        <v>164</v>
      </c>
      <c r="AD135" s="20" t="s">
        <v>20</v>
      </c>
      <c r="AE135" s="17">
        <v>37</v>
      </c>
      <c r="AF135" s="9">
        <v>53</v>
      </c>
      <c r="AG135" s="10">
        <v>90</v>
      </c>
      <c r="AH135" s="20" t="s">
        <v>21</v>
      </c>
      <c r="AI135" s="261">
        <v>3.9367399999999997E-2</v>
      </c>
      <c r="AJ135" s="9">
        <v>1.2915800000000001E-3</v>
      </c>
      <c r="AK135" s="9">
        <v>1.5499000000000001E-2</v>
      </c>
      <c r="AL135" s="9">
        <v>3.93674E-4</v>
      </c>
      <c r="AM135" s="203">
        <v>2.4461768273283997E-7</v>
      </c>
      <c r="AN135" s="9">
        <v>0.39367400000000002</v>
      </c>
      <c r="AO135" s="9">
        <v>4.3052699999999999E-4</v>
      </c>
      <c r="AP135" s="10">
        <f>AA135+AB135+AC135</f>
        <v>393.67376300000001</v>
      </c>
      <c r="AQ135" s="17">
        <f>SQRT((AP135/2)*(AP135/2-AA135)*(AP135/2-AB135)*(AP135/2-AC135))/1000000</f>
        <v>6.4635179413191713E-3</v>
      </c>
      <c r="AR135" s="267">
        <v>6.4635199999999994E-5</v>
      </c>
      <c r="AS135" s="189">
        <v>6.4635200000000002E-7</v>
      </c>
      <c r="AT135" s="190">
        <v>6.46352E-9</v>
      </c>
      <c r="AU135" s="36">
        <v>1.00184760369521E-5</v>
      </c>
      <c r="AV135" s="206">
        <v>6.9572750256611599E-8</v>
      </c>
      <c r="AW135" s="191">
        <v>6.4635200000000004E-11</v>
      </c>
      <c r="AX135" s="192">
        <v>6.4635200000000001E-13</v>
      </c>
      <c r="AY135" s="268">
        <v>1.5971705752206499E-12</v>
      </c>
      <c r="AZ135" s="271" t="s">
        <v>20</v>
      </c>
      <c r="BA135" s="218">
        <f t="shared" si="58"/>
        <v>-2.7562006599611507E-5</v>
      </c>
      <c r="BB135" s="97">
        <f t="shared" si="59"/>
        <v>1.1578279429013758E-4</v>
      </c>
      <c r="BC135" s="231">
        <f t="shared" si="60"/>
        <v>0</v>
      </c>
      <c r="BD135" s="275" t="s">
        <v>21</v>
      </c>
      <c r="BE135" s="135">
        <f t="shared" si="41"/>
        <v>0</v>
      </c>
      <c r="BF135" s="98">
        <f t="shared" si="42"/>
        <v>0</v>
      </c>
      <c r="BG135" s="98">
        <f t="shared" si="43"/>
        <v>0</v>
      </c>
      <c r="BH135" s="98">
        <f t="shared" si="44"/>
        <v>0</v>
      </c>
      <c r="BI135" s="98">
        <f t="shared" si="45"/>
        <v>-2.8590993591397755E-5</v>
      </c>
      <c r="BJ135" s="98">
        <f t="shared" si="61"/>
        <v>0</v>
      </c>
      <c r="BK135" s="99">
        <f t="shared" si="47"/>
        <v>0</v>
      </c>
      <c r="BL135" s="102">
        <f t="shared" si="48"/>
        <v>6.020213238596414E-5</v>
      </c>
      <c r="BM135" s="140">
        <f t="shared" si="49"/>
        <v>3.1850779216487004E-5</v>
      </c>
      <c r="BN135" s="100">
        <f t="shared" si="50"/>
        <v>5.637004698009154E-5</v>
      </c>
      <c r="BO135" s="99">
        <f t="shared" si="51"/>
        <v>5.6370046964365743E-5</v>
      </c>
      <c r="BP135" s="100">
        <f t="shared" si="52"/>
        <v>5.6370046972556261E-5</v>
      </c>
      <c r="BQ135" s="100">
        <f t="shared" si="53"/>
        <v>5.6370046490118772E-5</v>
      </c>
      <c r="BR135" s="101">
        <f t="shared" si="54"/>
        <v>5.6370046978378358E-5</v>
      </c>
      <c r="BS135" s="100">
        <f t="shared" si="55"/>
        <v>5.6370046960558432E-5</v>
      </c>
      <c r="BT135" s="100">
        <f t="shared" si="56"/>
        <v>5.6370046969306852E-5</v>
      </c>
      <c r="BU135" s="102">
        <f t="shared" si="57"/>
        <v>5.6370047388078573E-5</v>
      </c>
    </row>
    <row r="136" spans="1:73" x14ac:dyDescent="0.25">
      <c r="A136" s="168">
        <v>94.086532294236306</v>
      </c>
      <c r="B136" s="115">
        <v>67.648323220629194</v>
      </c>
      <c r="C136" s="223">
        <v>140</v>
      </c>
      <c r="D136" s="210" t="s">
        <v>9</v>
      </c>
      <c r="E136" s="255">
        <v>0.62831853071800003</v>
      </c>
      <c r="F136" s="169">
        <v>0.43633231299859998</v>
      </c>
      <c r="G136" s="180">
        <v>2.0769418098732002</v>
      </c>
      <c r="H136" s="165" t="s">
        <v>31</v>
      </c>
      <c r="I136" s="114">
        <v>301.73500000000001</v>
      </c>
      <c r="J136" s="115">
        <v>9.8994400000000002</v>
      </c>
      <c r="K136" s="115">
        <v>118.79300000000001</v>
      </c>
      <c r="L136" s="115">
        <v>3.01735</v>
      </c>
      <c r="M136" s="116">
        <v>1.8748899999999999E-3</v>
      </c>
      <c r="N136" s="115">
        <v>3017.35</v>
      </c>
      <c r="O136" s="115">
        <v>3.2998099999999999</v>
      </c>
      <c r="P136" s="117">
        <v>3017349</v>
      </c>
      <c r="Q136" s="114">
        <v>278339</v>
      </c>
      <c r="R136" s="115">
        <v>2783.39</v>
      </c>
      <c r="S136" s="115">
        <v>27.8339</v>
      </c>
      <c r="T136" s="115">
        <v>0.278339</v>
      </c>
      <c r="U136" s="115">
        <v>431.42599999999999</v>
      </c>
      <c r="V136" s="115">
        <v>2.9960100000000001</v>
      </c>
      <c r="W136" s="123">
        <v>2.7833900000000002E-3</v>
      </c>
      <c r="X136" s="124">
        <v>2.7833880711980201E-5</v>
      </c>
      <c r="Y136" s="125">
        <v>6.8779017110454506E-5</v>
      </c>
      <c r="Z136" s="142">
        <v>1</v>
      </c>
      <c r="AA136" s="13">
        <v>94.086675999999997</v>
      </c>
      <c r="AB136" s="7">
        <v>67.648315999999994</v>
      </c>
      <c r="AC136" s="14">
        <v>140</v>
      </c>
      <c r="AD136" s="18" t="s">
        <v>9</v>
      </c>
      <c r="AE136" s="194">
        <v>0.62831899999999996</v>
      </c>
      <c r="AF136" s="194">
        <v>0.436332</v>
      </c>
      <c r="AG136" s="195">
        <v>2.0769419999999998</v>
      </c>
      <c r="AH136" s="18" t="s">
        <v>31</v>
      </c>
      <c r="AI136" s="8">
        <f>AA136+AB136+AC136</f>
        <v>301.73499199999998</v>
      </c>
      <c r="AJ136" s="260">
        <v>9.8994400000000002</v>
      </c>
      <c r="AK136" s="260">
        <v>118.79300000000001</v>
      </c>
      <c r="AL136" s="260">
        <v>3.01735</v>
      </c>
      <c r="AM136" s="260">
        <v>1.8748899999999999E-3</v>
      </c>
      <c r="AN136" s="260">
        <v>3017.35</v>
      </c>
      <c r="AO136" s="260">
        <v>3.2998099999999999</v>
      </c>
      <c r="AP136" s="184">
        <v>3017350</v>
      </c>
      <c r="AQ136" s="8">
        <v>278340</v>
      </c>
      <c r="AR136" s="262">
        <f>SQRT((AI136/2)*(AI136/2-AA136)*(AI136/2-AB136)*(AI136/2-AC136))</f>
        <v>2783.3968523023468</v>
      </c>
      <c r="AS136" s="260">
        <v>27.834</v>
      </c>
      <c r="AT136" s="260">
        <v>0.27833999999999998</v>
      </c>
      <c r="AU136" s="260">
        <v>431.428</v>
      </c>
      <c r="AV136" s="260">
        <v>2.9960300000000002</v>
      </c>
      <c r="AW136" s="263">
        <v>2.7834000000000001E-3</v>
      </c>
      <c r="AX136" s="194">
        <v>2.7834000000000002E-5</v>
      </c>
      <c r="AY136" s="264">
        <v>6.8779311877570807E-5</v>
      </c>
      <c r="AZ136" s="269" t="s">
        <v>9</v>
      </c>
      <c r="BA136" s="216">
        <f t="shared" si="58"/>
        <v>-1.5273763491294425E-4</v>
      </c>
      <c r="BB136" s="90">
        <f t="shared" si="59"/>
        <v>1.0673775235340597E-5</v>
      </c>
      <c r="BC136" s="229">
        <f t="shared" si="60"/>
        <v>-9.1541699112141327E-6</v>
      </c>
      <c r="BD136" s="273" t="s">
        <v>31</v>
      </c>
      <c r="BE136" s="133">
        <f t="shared" si="41"/>
        <v>2.6513332058766859E-6</v>
      </c>
      <c r="BF136" s="91">
        <f t="shared" si="42"/>
        <v>0</v>
      </c>
      <c r="BG136" s="91">
        <f t="shared" si="43"/>
        <v>0</v>
      </c>
      <c r="BH136" s="91">
        <f t="shared" si="44"/>
        <v>0</v>
      </c>
      <c r="BI136" s="91">
        <f t="shared" si="45"/>
        <v>0</v>
      </c>
      <c r="BJ136" s="91">
        <f t="shared" si="61"/>
        <v>0</v>
      </c>
      <c r="BK136" s="92">
        <f t="shared" si="47"/>
        <v>0</v>
      </c>
      <c r="BL136" s="95">
        <f t="shared" si="48"/>
        <v>-3.3141664042951594E-5</v>
      </c>
      <c r="BM136" s="138">
        <f t="shared" si="49"/>
        <v>-3.5927283178846016E-4</v>
      </c>
      <c r="BN136" s="93">
        <f t="shared" si="50"/>
        <v>-2.4618488525178945E-4</v>
      </c>
      <c r="BO136" s="92">
        <f t="shared" si="51"/>
        <v>-3.5927283178762283E-4</v>
      </c>
      <c r="BP136" s="93">
        <f t="shared" si="52"/>
        <v>-3.5927283177884767E-4</v>
      </c>
      <c r="BQ136" s="93">
        <f t="shared" si="53"/>
        <v>-4.6357677295158164E-4</v>
      </c>
      <c r="BR136" s="94">
        <f t="shared" si="54"/>
        <v>-6.6755005791434069E-4</v>
      </c>
      <c r="BS136" s="93">
        <f t="shared" si="55"/>
        <v>-3.592728317863265E-4</v>
      </c>
      <c r="BT136" s="93">
        <f t="shared" si="56"/>
        <v>-4.2856944672028745E-4</v>
      </c>
      <c r="BU136" s="95">
        <f t="shared" si="57"/>
        <v>-4.2856944661746275E-4</v>
      </c>
    </row>
    <row r="137" spans="1:73" x14ac:dyDescent="0.25">
      <c r="A137" s="171">
        <v>155.56349186104001</v>
      </c>
      <c r="B137" s="57">
        <v>110</v>
      </c>
      <c r="C137" s="112">
        <v>110</v>
      </c>
      <c r="D137" s="211" t="s">
        <v>5</v>
      </c>
      <c r="E137" s="246">
        <v>1.5707963267949001</v>
      </c>
      <c r="F137" s="60">
        <v>0.78539816339739998</v>
      </c>
      <c r="G137" s="172">
        <v>0.78539816339750002</v>
      </c>
      <c r="H137" s="166" t="s">
        <v>31</v>
      </c>
      <c r="I137" s="118">
        <v>11447.2</v>
      </c>
      <c r="J137" s="1">
        <v>375.56299999999999</v>
      </c>
      <c r="K137" s="1">
        <v>4506.76</v>
      </c>
      <c r="L137" s="1">
        <v>114.47199999999999</v>
      </c>
      <c r="M137" s="1">
        <v>7.1129399999999995E-2</v>
      </c>
      <c r="N137" s="1">
        <v>114472</v>
      </c>
      <c r="O137" s="1">
        <v>125.188</v>
      </c>
      <c r="P137" s="119">
        <v>114471752</v>
      </c>
      <c r="Q137" s="118">
        <v>562063392</v>
      </c>
      <c r="R137" s="1">
        <v>5620634</v>
      </c>
      <c r="S137" s="1">
        <v>56206.3</v>
      </c>
      <c r="T137" s="1">
        <v>562.06299999999999</v>
      </c>
      <c r="U137" s="1">
        <v>871200</v>
      </c>
      <c r="V137" s="1">
        <v>6050</v>
      </c>
      <c r="W137" s="1">
        <v>5.6206300000000002</v>
      </c>
      <c r="X137" s="52">
        <v>5.6206300000000001E-2</v>
      </c>
      <c r="Y137" s="119">
        <v>0.13888900000000001</v>
      </c>
      <c r="Z137" s="143">
        <v>2</v>
      </c>
      <c r="AA137" s="15">
        <v>155.56347099999999</v>
      </c>
      <c r="AB137" s="34">
        <v>110</v>
      </c>
      <c r="AC137" s="16">
        <v>110</v>
      </c>
      <c r="AD137" s="19" t="s">
        <v>5</v>
      </c>
      <c r="AE137" s="22">
        <v>1.5707960000000001</v>
      </c>
      <c r="AF137" s="22">
        <v>0.78539800000000004</v>
      </c>
      <c r="AG137" s="196">
        <v>0.78539800000000004</v>
      </c>
      <c r="AH137" s="19" t="s">
        <v>31</v>
      </c>
      <c r="AI137" s="13">
        <v>11447.2</v>
      </c>
      <c r="AJ137" s="2">
        <f>AA137+AB137+AC137</f>
        <v>375.56347099999999</v>
      </c>
      <c r="AK137" s="2">
        <v>4506.76</v>
      </c>
      <c r="AL137" s="2">
        <v>114.47199999999999</v>
      </c>
      <c r="AM137" s="2">
        <v>7.1129399999999995E-2</v>
      </c>
      <c r="AN137" s="2">
        <v>114472</v>
      </c>
      <c r="AO137" s="2">
        <v>125.188</v>
      </c>
      <c r="AP137" s="16">
        <v>114471602</v>
      </c>
      <c r="AQ137" s="15">
        <v>562063392</v>
      </c>
      <c r="AR137" s="12">
        <v>5620634</v>
      </c>
      <c r="AS137" s="2">
        <v>56206.3</v>
      </c>
      <c r="AT137" s="2">
        <v>562.06299999999999</v>
      </c>
      <c r="AU137" s="2">
        <v>871200</v>
      </c>
      <c r="AV137" s="2">
        <f>SQRT((AJ137/2)*(AJ137/2-AA137)*(AJ137/2-AB137)*(AJ137/2-AC137))</f>
        <v>6049.9999999997826</v>
      </c>
      <c r="AW137" s="2">
        <v>5.6206300000000002</v>
      </c>
      <c r="AX137" s="23">
        <v>5.6206300000000001E-2</v>
      </c>
      <c r="AY137" s="16">
        <v>0.13888900000000001</v>
      </c>
      <c r="AZ137" s="270" t="s">
        <v>5</v>
      </c>
      <c r="BA137" s="217">
        <f t="shared" si="58"/>
        <v>1.3409986213050105E-5</v>
      </c>
      <c r="BB137" s="73">
        <f t="shared" si="59"/>
        <v>0</v>
      </c>
      <c r="BC137" s="230">
        <f t="shared" si="60"/>
        <v>2.080442017612075E-5</v>
      </c>
      <c r="BD137" s="274" t="s">
        <v>31</v>
      </c>
      <c r="BE137" s="134">
        <f t="shared" si="41"/>
        <v>0</v>
      </c>
      <c r="BF137" s="82">
        <f t="shared" si="42"/>
        <v>-1.2541155793198831E-4</v>
      </c>
      <c r="BG137" s="82">
        <f t="shared" si="43"/>
        <v>0</v>
      </c>
      <c r="BH137" s="82">
        <f t="shared" si="44"/>
        <v>0</v>
      </c>
      <c r="BI137" s="82">
        <f t="shared" si="45"/>
        <v>0</v>
      </c>
      <c r="BJ137" s="82">
        <f t="shared" si="61"/>
        <v>0</v>
      </c>
      <c r="BK137" s="83">
        <f t="shared" si="47"/>
        <v>0</v>
      </c>
      <c r="BL137" s="96">
        <f t="shared" si="48"/>
        <v>1.3103686624390913E-4</v>
      </c>
      <c r="BM137" s="139">
        <f t="shared" si="49"/>
        <v>0</v>
      </c>
      <c r="BN137" s="80">
        <f t="shared" si="50"/>
        <v>0</v>
      </c>
      <c r="BO137" s="83">
        <f t="shared" si="51"/>
        <v>0</v>
      </c>
      <c r="BP137" s="80">
        <f t="shared" si="52"/>
        <v>0</v>
      </c>
      <c r="BQ137" s="80">
        <f t="shared" si="53"/>
        <v>0</v>
      </c>
      <c r="BR137" s="81">
        <f t="shared" si="54"/>
        <v>3.5928798962601265E-12</v>
      </c>
      <c r="BS137" s="80">
        <f t="shared" si="55"/>
        <v>0</v>
      </c>
      <c r="BT137" s="80">
        <f t="shared" si="56"/>
        <v>0</v>
      </c>
      <c r="BU137" s="96">
        <f t="shared" si="57"/>
        <v>0</v>
      </c>
    </row>
    <row r="138" spans="1:73" x14ac:dyDescent="0.25">
      <c r="A138" s="173">
        <v>114</v>
      </c>
      <c r="B138" s="57">
        <v>114</v>
      </c>
      <c r="C138" s="112">
        <v>114</v>
      </c>
      <c r="D138" s="211" t="s">
        <v>8</v>
      </c>
      <c r="E138" s="246">
        <v>1.0471975511966001</v>
      </c>
      <c r="F138" s="60">
        <v>1.0471975511966001</v>
      </c>
      <c r="G138" s="172">
        <v>1.0471975511966001</v>
      </c>
      <c r="H138" s="166" t="s">
        <v>31</v>
      </c>
      <c r="I138" s="118">
        <v>868.68</v>
      </c>
      <c r="J138" s="1">
        <v>28.5</v>
      </c>
      <c r="K138" s="1">
        <v>342</v>
      </c>
      <c r="L138" s="1">
        <v>8.6867999999999999</v>
      </c>
      <c r="M138" s="1">
        <v>5.3977299999999999E-3</v>
      </c>
      <c r="N138" s="1">
        <v>8686.7999999999993</v>
      </c>
      <c r="O138" s="1">
        <v>9.5</v>
      </c>
      <c r="P138" s="119">
        <v>8686800</v>
      </c>
      <c r="Q138" s="118">
        <v>3630595</v>
      </c>
      <c r="R138" s="1">
        <v>36305.9</v>
      </c>
      <c r="S138" s="1">
        <v>363.05900000000003</v>
      </c>
      <c r="T138" s="1">
        <v>3.6305900000000002</v>
      </c>
      <c r="U138" s="1">
        <v>5627.43</v>
      </c>
      <c r="V138" s="1">
        <v>39.0794</v>
      </c>
      <c r="W138" s="49">
        <v>3.6305900000000002E-2</v>
      </c>
      <c r="X138" s="58">
        <v>3.6305899999999999E-4</v>
      </c>
      <c r="Y138" s="126">
        <v>8.9713900000000003E-4</v>
      </c>
      <c r="Z138" s="143">
        <v>3</v>
      </c>
      <c r="AA138" s="15">
        <v>114</v>
      </c>
      <c r="AB138" s="2">
        <v>114</v>
      </c>
      <c r="AC138" s="16">
        <v>114</v>
      </c>
      <c r="AD138" s="19" t="s">
        <v>8</v>
      </c>
      <c r="AE138" s="22">
        <v>1.0471980000000001</v>
      </c>
      <c r="AF138" s="22">
        <v>1.0471969999999999</v>
      </c>
      <c r="AG138" s="196">
        <v>1.0471980000000001</v>
      </c>
      <c r="AH138" s="19" t="s">
        <v>31</v>
      </c>
      <c r="AI138" s="13">
        <v>868.68</v>
      </c>
      <c r="AJ138" s="2">
        <v>28.5</v>
      </c>
      <c r="AK138" s="2">
        <f>AA138+AB138+AC138</f>
        <v>342</v>
      </c>
      <c r="AL138" s="2">
        <v>8.6867999999999999</v>
      </c>
      <c r="AM138" s="2">
        <v>5.3977299999999999E-3</v>
      </c>
      <c r="AN138" s="2">
        <v>8686.7999999999993</v>
      </c>
      <c r="AO138" s="2">
        <v>9.5</v>
      </c>
      <c r="AP138" s="16">
        <v>8686800</v>
      </c>
      <c r="AQ138" s="27">
        <v>3630593</v>
      </c>
      <c r="AR138" s="12">
        <v>36305.9</v>
      </c>
      <c r="AS138" s="2">
        <v>363.05900000000003</v>
      </c>
      <c r="AT138" s="2">
        <v>3.6305900000000002</v>
      </c>
      <c r="AU138" s="2">
        <f>SQRT((AK138/2)*(AK138/2-AA138)*(AK138/2-AB138)*(AK138/2-AC138))</f>
        <v>5627.4330737912824</v>
      </c>
      <c r="AV138" s="2">
        <v>39.0794</v>
      </c>
      <c r="AW138" s="24">
        <v>3.6305900000000002E-2</v>
      </c>
      <c r="AX138" s="25">
        <v>3.6305899999999999E-4</v>
      </c>
      <c r="AY138" s="265">
        <v>8.9713900000000003E-4</v>
      </c>
      <c r="AZ138" s="270" t="s">
        <v>8</v>
      </c>
      <c r="BA138" s="217">
        <f t="shared" si="58"/>
        <v>0</v>
      </c>
      <c r="BB138" s="73">
        <f t="shared" si="59"/>
        <v>0</v>
      </c>
      <c r="BC138" s="230">
        <f t="shared" si="60"/>
        <v>-4.2857549384110747E-5</v>
      </c>
      <c r="BD138" s="274" t="s">
        <v>31</v>
      </c>
      <c r="BE138" s="134">
        <f t="shared" si="41"/>
        <v>0</v>
      </c>
      <c r="BF138" s="82">
        <f t="shared" si="42"/>
        <v>0</v>
      </c>
      <c r="BG138" s="82">
        <f t="shared" si="43"/>
        <v>0</v>
      </c>
      <c r="BH138" s="82">
        <f t="shared" si="44"/>
        <v>0</v>
      </c>
      <c r="BI138" s="82">
        <f t="shared" si="45"/>
        <v>0</v>
      </c>
      <c r="BJ138" s="82">
        <f t="shared" si="61"/>
        <v>0</v>
      </c>
      <c r="BK138" s="83">
        <f t="shared" si="47"/>
        <v>0</v>
      </c>
      <c r="BL138" s="96">
        <f t="shared" si="48"/>
        <v>0</v>
      </c>
      <c r="BM138" s="139">
        <f t="shared" si="49"/>
        <v>5.5087419603354053E-5</v>
      </c>
      <c r="BN138" s="80">
        <f t="shared" si="50"/>
        <v>0</v>
      </c>
      <c r="BO138" s="83">
        <f t="shared" si="51"/>
        <v>0</v>
      </c>
      <c r="BP138" s="80">
        <f t="shared" si="52"/>
        <v>0</v>
      </c>
      <c r="BQ138" s="80">
        <f t="shared" si="53"/>
        <v>-5.4621551989528986E-5</v>
      </c>
      <c r="BR138" s="81">
        <f t="shared" si="54"/>
        <v>0</v>
      </c>
      <c r="BS138" s="80">
        <f t="shared" si="55"/>
        <v>0</v>
      </c>
      <c r="BT138" s="80">
        <f t="shared" si="56"/>
        <v>0</v>
      </c>
      <c r="BU138" s="96">
        <f t="shared" si="57"/>
        <v>0</v>
      </c>
    </row>
    <row r="139" spans="1:73" x14ac:dyDescent="0.25">
      <c r="A139" s="171">
        <v>64.654611224420407</v>
      </c>
      <c r="B139" s="57">
        <v>181.19565205600199</v>
      </c>
      <c r="C139" s="112">
        <v>140</v>
      </c>
      <c r="D139" s="211" t="s">
        <v>4</v>
      </c>
      <c r="E139" s="246">
        <v>0.31415926535900002</v>
      </c>
      <c r="F139" s="60">
        <v>2.0943951023932001</v>
      </c>
      <c r="G139" s="172">
        <v>0.7330382858376</v>
      </c>
      <c r="H139" s="166" t="s">
        <v>31</v>
      </c>
      <c r="I139" s="118">
        <v>38585</v>
      </c>
      <c r="J139" s="1">
        <v>1265.9100000000001</v>
      </c>
      <c r="K139" s="1">
        <v>15191</v>
      </c>
      <c r="L139" s="1">
        <v>385.85</v>
      </c>
      <c r="M139" s="1">
        <v>0.239756</v>
      </c>
      <c r="N139" s="1">
        <v>385850</v>
      </c>
      <c r="O139" s="1">
        <v>421.971</v>
      </c>
      <c r="P139" s="119">
        <v>385850263</v>
      </c>
      <c r="Q139" s="118">
        <v>3919477505</v>
      </c>
      <c r="R139" s="1">
        <v>39194775</v>
      </c>
      <c r="S139" s="1">
        <v>391948</v>
      </c>
      <c r="T139" s="1">
        <v>3919.48</v>
      </c>
      <c r="U139" s="1">
        <v>6075202</v>
      </c>
      <c r="V139" s="1">
        <v>42188.9</v>
      </c>
      <c r="W139" s="1">
        <v>39.194800000000001</v>
      </c>
      <c r="X139" s="1">
        <v>0.39194800000000002</v>
      </c>
      <c r="Y139" s="119">
        <v>0.96852400000000005</v>
      </c>
      <c r="Z139" s="143">
        <v>4</v>
      </c>
      <c r="AA139" s="2">
        <v>64.654875000000004</v>
      </c>
      <c r="AB139" s="2">
        <v>181.196054</v>
      </c>
      <c r="AC139" s="35">
        <v>140</v>
      </c>
      <c r="AD139" s="19" t="s">
        <v>4</v>
      </c>
      <c r="AE139" s="22">
        <v>0.31415900000000002</v>
      </c>
      <c r="AF139" s="22">
        <v>2.094395</v>
      </c>
      <c r="AG139" s="196">
        <v>0.73303799999999997</v>
      </c>
      <c r="AH139" s="19" t="s">
        <v>31</v>
      </c>
      <c r="AI139" s="13">
        <v>38585.1</v>
      </c>
      <c r="AJ139" s="2">
        <v>1265.92</v>
      </c>
      <c r="AK139" s="2">
        <v>15191</v>
      </c>
      <c r="AL139" s="2">
        <f>AA139+AB139+AC139</f>
        <v>385.85092900000001</v>
      </c>
      <c r="AM139" s="2">
        <v>0.239757</v>
      </c>
      <c r="AN139" s="2">
        <v>385851</v>
      </c>
      <c r="AO139" s="2">
        <v>421.97199999999998</v>
      </c>
      <c r="AP139" s="16">
        <v>385851000</v>
      </c>
      <c r="AQ139" s="15">
        <v>3919480000</v>
      </c>
      <c r="AR139" s="12">
        <v>39194800</v>
      </c>
      <c r="AS139" s="2">
        <v>391948</v>
      </c>
      <c r="AT139" s="2">
        <f>SQRT((AL139/2)*(AL139/2-AA139)*(AL139/2-AB139)*(AL139/2-AC139))</f>
        <v>3919.4827249033679</v>
      </c>
      <c r="AU139" s="2">
        <v>6075206</v>
      </c>
      <c r="AV139" s="2">
        <v>42188.9</v>
      </c>
      <c r="AW139" s="2">
        <v>39.194800000000001</v>
      </c>
      <c r="AX139" s="2">
        <v>0.39194800000000002</v>
      </c>
      <c r="AY139" s="16">
        <v>0.96852499999999997</v>
      </c>
      <c r="AZ139" s="270" t="s">
        <v>4</v>
      </c>
      <c r="BA139" s="217">
        <f t="shared" si="58"/>
        <v>-4.079747731278364E-4</v>
      </c>
      <c r="BB139" s="73">
        <f t="shared" si="59"/>
        <v>-2.2182822922516622E-4</v>
      </c>
      <c r="BC139" s="230">
        <f t="shared" si="60"/>
        <v>3.8993558319438409E-5</v>
      </c>
      <c r="BD139" s="274" t="s">
        <v>31</v>
      </c>
      <c r="BE139" s="134">
        <f t="shared" si="41"/>
        <v>-2.5916739881079692E-4</v>
      </c>
      <c r="BF139" s="82">
        <f t="shared" si="42"/>
        <v>-7.8993933265853323E-4</v>
      </c>
      <c r="BG139" s="82">
        <f t="shared" si="43"/>
        <v>0</v>
      </c>
      <c r="BH139" s="82">
        <f t="shared" si="44"/>
        <v>-2.4076655779804552E-4</v>
      </c>
      <c r="BI139" s="82">
        <f t="shared" si="45"/>
        <v>-4.1708896924844743E-4</v>
      </c>
      <c r="BJ139" s="82">
        <f t="shared" si="61"/>
        <v>-2.5916739881456832E-4</v>
      </c>
      <c r="BK139" s="83">
        <f t="shared" si="47"/>
        <v>-2.3698254859951684E-4</v>
      </c>
      <c r="BL139" s="96">
        <f t="shared" si="48"/>
        <v>-1.9100637292633686E-4</v>
      </c>
      <c r="BM139" s="139">
        <f t="shared" si="49"/>
        <v>-6.3656403400451079E-5</v>
      </c>
      <c r="BN139" s="80">
        <f t="shared" si="50"/>
        <v>-6.3783971343137348E-5</v>
      </c>
      <c r="BO139" s="83">
        <f t="shared" si="51"/>
        <v>0</v>
      </c>
      <c r="BP139" s="80">
        <f t="shared" si="52"/>
        <v>-6.9522014997570029E-5</v>
      </c>
      <c r="BQ139" s="80">
        <f t="shared" si="53"/>
        <v>-6.5841388752908129E-5</v>
      </c>
      <c r="BR139" s="81">
        <f t="shared" si="54"/>
        <v>0</v>
      </c>
      <c r="BS139" s="80">
        <f t="shared" si="55"/>
        <v>0</v>
      </c>
      <c r="BT139" s="80">
        <f t="shared" si="56"/>
        <v>0</v>
      </c>
      <c r="BU139" s="96">
        <f t="shared" si="57"/>
        <v>-1.0324978703882021E-4</v>
      </c>
    </row>
    <row r="140" spans="1:73" x14ac:dyDescent="0.25">
      <c r="A140" s="171">
        <v>82.240659227933506</v>
      </c>
      <c r="B140" s="57">
        <v>82.240659227933506</v>
      </c>
      <c r="C140" s="112">
        <v>126</v>
      </c>
      <c r="D140" s="211" t="s">
        <v>10</v>
      </c>
      <c r="E140" s="246">
        <v>0.69813170079770004</v>
      </c>
      <c r="F140" s="60">
        <v>0.69813170079770004</v>
      </c>
      <c r="G140" s="172">
        <v>1.7453292519943999</v>
      </c>
      <c r="H140" s="166" t="s">
        <v>31</v>
      </c>
      <c r="I140" s="120">
        <v>46748437</v>
      </c>
      <c r="J140" s="1">
        <v>1533741</v>
      </c>
      <c r="K140" s="1">
        <v>18404896</v>
      </c>
      <c r="L140" s="1">
        <v>467484</v>
      </c>
      <c r="M140" s="1">
        <v>290.48099999999999</v>
      </c>
      <c r="N140" s="1">
        <v>467484367</v>
      </c>
      <c r="O140" s="1">
        <v>511247</v>
      </c>
      <c r="P140" s="164">
        <v>467484366969</v>
      </c>
      <c r="Q140" s="120">
        <v>8625661272433680</v>
      </c>
      <c r="R140" s="59">
        <v>86256612724337</v>
      </c>
      <c r="S140" s="59">
        <v>862566127243</v>
      </c>
      <c r="T140" s="1">
        <v>8625661272</v>
      </c>
      <c r="U140" s="59">
        <v>13369801711876</v>
      </c>
      <c r="V140" s="59">
        <v>92845845221</v>
      </c>
      <c r="W140" s="1">
        <v>86256613</v>
      </c>
      <c r="X140" s="1">
        <v>862566</v>
      </c>
      <c r="Y140" s="119">
        <v>2131447</v>
      </c>
      <c r="Z140" s="143">
        <v>5</v>
      </c>
      <c r="AA140" s="15">
        <v>82.2407252</v>
      </c>
      <c r="AB140" s="2">
        <v>82.240786</v>
      </c>
      <c r="AC140" s="16">
        <v>126</v>
      </c>
      <c r="AD140" s="19" t="s">
        <v>10</v>
      </c>
      <c r="AE140" s="22">
        <v>0.69813199999999997</v>
      </c>
      <c r="AF140" s="22">
        <v>0.69813199999999997</v>
      </c>
      <c r="AG140" s="196">
        <v>1.7453289999999999</v>
      </c>
      <c r="AH140" s="19" t="s">
        <v>31</v>
      </c>
      <c r="AI140" s="13">
        <v>46748546</v>
      </c>
      <c r="AJ140" s="2">
        <v>1533745</v>
      </c>
      <c r="AK140" s="2">
        <v>18404940</v>
      </c>
      <c r="AL140" s="2">
        <v>467485</v>
      </c>
      <c r="AM140" s="2">
        <f>AA140+AB140+AC140</f>
        <v>290.4815112</v>
      </c>
      <c r="AN140" s="2">
        <v>467485464</v>
      </c>
      <c r="AO140" s="2">
        <v>511248</v>
      </c>
      <c r="AP140" s="185">
        <v>467485463808</v>
      </c>
      <c r="AQ140" s="28">
        <v>8625724930000000</v>
      </c>
      <c r="AR140" s="12">
        <v>86257249300000</v>
      </c>
      <c r="AS140" s="29">
        <v>862572493000</v>
      </c>
      <c r="AT140" s="2">
        <f>SQRT((AL140/2)*(AL140/2-AA140*63360*2.54/100)*(AL140/2-AB140*63360*2.54/100)*(AL140/2-AC140*63360*2.54/100))</f>
        <v>8625724930.1023312</v>
      </c>
      <c r="AU140" s="2">
        <v>13369900381301</v>
      </c>
      <c r="AV140" s="2">
        <v>92846530426</v>
      </c>
      <c r="AW140" s="2">
        <v>86257249</v>
      </c>
      <c r="AX140" s="2">
        <v>862572</v>
      </c>
      <c r="AY140" s="16">
        <v>2131463</v>
      </c>
      <c r="AZ140" s="270" t="s">
        <v>10</v>
      </c>
      <c r="BA140" s="217">
        <f t="shared" si="58"/>
        <v>-8.0218245077158867E-5</v>
      </c>
      <c r="BB140" s="73">
        <f t="shared" si="59"/>
        <v>-1.5414744029092905E-4</v>
      </c>
      <c r="BC140" s="230">
        <f t="shared" si="60"/>
        <v>1.4438217666322191E-5</v>
      </c>
      <c r="BD140" s="274" t="s">
        <v>31</v>
      </c>
      <c r="BE140" s="134">
        <f t="shared" si="41"/>
        <v>-2.3316233193648419E-4</v>
      </c>
      <c r="BF140" s="82">
        <f t="shared" si="42"/>
        <v>-2.607995462087896E-4</v>
      </c>
      <c r="BG140" s="82">
        <f t="shared" si="43"/>
        <v>-2.3906625069139046E-4</v>
      </c>
      <c r="BH140" s="82">
        <f t="shared" si="44"/>
        <v>-2.1391060675743606E-4</v>
      </c>
      <c r="BI140" s="82">
        <f t="shared" si="45"/>
        <v>-1.7598366171174546E-4</v>
      </c>
      <c r="BJ140" s="82">
        <f t="shared" si="61"/>
        <v>-2.3465970270254222E-4</v>
      </c>
      <c r="BK140" s="83">
        <f t="shared" si="47"/>
        <v>-1.9559978718743153E-4</v>
      </c>
      <c r="BL140" s="96">
        <f t="shared" si="48"/>
        <v>-2.3462526322539956E-4</v>
      </c>
      <c r="BM140" s="139">
        <f t="shared" si="49"/>
        <v>-7.3799671142538972E-4</v>
      </c>
      <c r="BN140" s="80">
        <f t="shared" si="50"/>
        <v>-7.3799671119352517E-4</v>
      </c>
      <c r="BO140" s="83">
        <f t="shared" si="51"/>
        <v>-7.3799675408847058E-4</v>
      </c>
      <c r="BP140" s="80">
        <f t="shared" si="52"/>
        <v>-7.380029255165026E-4</v>
      </c>
      <c r="BQ140" s="80">
        <f t="shared" si="53"/>
        <v>-7.3799671041676577E-4</v>
      </c>
      <c r="BR140" s="81">
        <f t="shared" si="54"/>
        <v>-7.3799742096568495E-4</v>
      </c>
      <c r="BS140" s="80">
        <f t="shared" si="55"/>
        <v>-7.373293344887454E-4</v>
      </c>
      <c r="BT140" s="80">
        <f t="shared" si="56"/>
        <v>-6.9559410692672616E-4</v>
      </c>
      <c r="BU140" s="96">
        <f t="shared" si="57"/>
        <v>-7.5065811604517647E-4</v>
      </c>
    </row>
    <row r="141" spans="1:73" x14ac:dyDescent="0.25">
      <c r="A141" s="171">
        <v>87.714132004892605</v>
      </c>
      <c r="B141" s="60">
        <v>87.714132004892605</v>
      </c>
      <c r="C141" s="112">
        <v>60</v>
      </c>
      <c r="D141" s="211" t="s">
        <v>6</v>
      </c>
      <c r="E141" s="246">
        <v>1.221730476396</v>
      </c>
      <c r="F141" s="60">
        <v>1.221730476396</v>
      </c>
      <c r="G141" s="172">
        <v>0.69813170079779996</v>
      </c>
      <c r="H141" s="166" t="s">
        <v>31</v>
      </c>
      <c r="I141" s="118">
        <v>23.5428</v>
      </c>
      <c r="J141" s="1">
        <v>0.77240200000000003</v>
      </c>
      <c r="K141" s="1">
        <v>9.2688299999999995</v>
      </c>
      <c r="L141" s="1">
        <v>0.235428</v>
      </c>
      <c r="M141" s="49">
        <v>1.4628800000000001E-4</v>
      </c>
      <c r="N141" s="1">
        <v>235.428</v>
      </c>
      <c r="O141" s="1">
        <v>0.257467</v>
      </c>
      <c r="P141" s="119">
        <v>235428</v>
      </c>
      <c r="Q141" s="127">
        <v>2472.73</v>
      </c>
      <c r="R141" s="78">
        <v>24.7273</v>
      </c>
      <c r="S141" s="78">
        <v>0.24727299999999999</v>
      </c>
      <c r="T141" s="50">
        <v>2.4727299999999998E-3</v>
      </c>
      <c r="U141" s="78">
        <v>3.8327399999999998</v>
      </c>
      <c r="V141" s="49">
        <v>2.66162E-2</v>
      </c>
      <c r="W141" s="51">
        <v>2.4727296775091598E-5</v>
      </c>
      <c r="X141" s="79">
        <v>2.4727296775091602E-7</v>
      </c>
      <c r="Y141" s="128">
        <v>6.1102481022608205E-7</v>
      </c>
      <c r="Z141" s="143">
        <v>6</v>
      </c>
      <c r="AA141" s="74">
        <v>87.714111000000003</v>
      </c>
      <c r="AB141" s="186">
        <v>87.714129999999997</v>
      </c>
      <c r="AC141" s="185">
        <v>60</v>
      </c>
      <c r="AD141" s="19" t="s">
        <v>6</v>
      </c>
      <c r="AE141" s="22">
        <v>1.22173</v>
      </c>
      <c r="AF141" s="22">
        <v>1.2210000000000001</v>
      </c>
      <c r="AG141" s="196">
        <v>0.69813199999999997</v>
      </c>
      <c r="AH141" s="19" t="s">
        <v>31</v>
      </c>
      <c r="AI141" s="187">
        <v>23.5428</v>
      </c>
      <c r="AJ141" s="2">
        <v>0.77240200000000003</v>
      </c>
      <c r="AK141" s="2">
        <v>9.2688199999999998</v>
      </c>
      <c r="AL141" s="2">
        <v>0.235428</v>
      </c>
      <c r="AM141" s="2">
        <v>1.4628800000000001E-4</v>
      </c>
      <c r="AN141" s="2">
        <f>AA141+AB141+AC141</f>
        <v>235.42824100000001</v>
      </c>
      <c r="AO141" s="2">
        <v>0.257467</v>
      </c>
      <c r="AP141" s="16">
        <v>235428</v>
      </c>
      <c r="AQ141" s="15">
        <f>SQRT((AN141/2)*(AN141/2-AA141)*(AN141/2-AB141)*(AN141/2-AC141))</f>
        <v>2472.7293102115036</v>
      </c>
      <c r="AR141" s="12">
        <v>24.7273</v>
      </c>
      <c r="AS141" s="2">
        <v>0.24727299999999999</v>
      </c>
      <c r="AT141" s="23">
        <v>2.4727299999999998E-3</v>
      </c>
      <c r="AU141" s="2">
        <v>3.8327399999999998</v>
      </c>
      <c r="AV141" s="2">
        <v>2.66162E-2</v>
      </c>
      <c r="AW141" s="31">
        <v>2.47273E-5</v>
      </c>
      <c r="AX141" s="32">
        <v>2.4727299999999999E-7</v>
      </c>
      <c r="AY141" s="266">
        <v>6.1102488991530404E-7</v>
      </c>
      <c r="AZ141" s="270" t="s">
        <v>6</v>
      </c>
      <c r="BA141" s="217">
        <f t="shared" si="58"/>
        <v>2.3946993662342418E-5</v>
      </c>
      <c r="BB141" s="73">
        <f t="shared" si="59"/>
        <v>2.2857122421299947E-6</v>
      </c>
      <c r="BC141" s="230">
        <f t="shared" si="60"/>
        <v>-4.2857539837149876E-5</v>
      </c>
      <c r="BD141" s="274" t="s">
        <v>31</v>
      </c>
      <c r="BE141" s="134">
        <f t="shared" si="41"/>
        <v>0</v>
      </c>
      <c r="BF141" s="82">
        <f t="shared" si="42"/>
        <v>0</v>
      </c>
      <c r="BG141" s="82">
        <f t="shared" si="43"/>
        <v>1.0788859854459816E-4</v>
      </c>
      <c r="BH141" s="82">
        <f t="shared" si="44"/>
        <v>0</v>
      </c>
      <c r="BI141" s="82">
        <f t="shared" si="45"/>
        <v>0</v>
      </c>
      <c r="BJ141" s="82">
        <f t="shared" si="61"/>
        <v>-1.0236664853508848E-4</v>
      </c>
      <c r="BK141" s="83">
        <f t="shared" si="47"/>
        <v>0</v>
      </c>
      <c r="BL141" s="96">
        <f t="shared" si="48"/>
        <v>0</v>
      </c>
      <c r="BM141" s="139">
        <f t="shared" si="49"/>
        <v>2.7895835324687756E-5</v>
      </c>
      <c r="BN141" s="80">
        <f t="shared" si="50"/>
        <v>0</v>
      </c>
      <c r="BO141" s="83">
        <f t="shared" si="51"/>
        <v>0</v>
      </c>
      <c r="BP141" s="80">
        <f t="shared" si="52"/>
        <v>0</v>
      </c>
      <c r="BQ141" s="80">
        <f t="shared" si="53"/>
        <v>0</v>
      </c>
      <c r="BR141" s="81">
        <f t="shared" si="54"/>
        <v>0</v>
      </c>
      <c r="BS141" s="80">
        <f t="shared" si="55"/>
        <v>-1.3041894590868774E-5</v>
      </c>
      <c r="BT141" s="80">
        <f t="shared" si="56"/>
        <v>-1.3041894574597663E-5</v>
      </c>
      <c r="BU141" s="96">
        <f t="shared" si="57"/>
        <v>-1.3041894579298353E-5</v>
      </c>
    </row>
    <row r="142" spans="1:73" x14ac:dyDescent="0.25">
      <c r="A142" s="171">
        <v>139.019240211328</v>
      </c>
      <c r="B142" s="57">
        <v>90.498152917904605</v>
      </c>
      <c r="C142" s="112">
        <v>74</v>
      </c>
      <c r="D142" s="211" t="s">
        <v>7</v>
      </c>
      <c r="E142" s="246">
        <v>2.0071286397935002</v>
      </c>
      <c r="F142" s="60">
        <v>0.63103949902180001</v>
      </c>
      <c r="G142" s="172">
        <v>0.50342451477450001</v>
      </c>
      <c r="H142" s="166" t="s">
        <v>31</v>
      </c>
      <c r="I142" s="118">
        <v>27753.599999999999</v>
      </c>
      <c r="J142" s="1">
        <v>910.55200000000002</v>
      </c>
      <c r="K142" s="1">
        <v>10926.6</v>
      </c>
      <c r="L142" s="1">
        <v>277.536</v>
      </c>
      <c r="M142" s="1">
        <v>0.172453</v>
      </c>
      <c r="N142" s="1">
        <v>277536</v>
      </c>
      <c r="O142" s="1">
        <v>303.517</v>
      </c>
      <c r="P142" s="119">
        <v>277536304</v>
      </c>
      <c r="Q142" s="118">
        <v>2537403798</v>
      </c>
      <c r="R142" s="1">
        <v>25374038</v>
      </c>
      <c r="S142" s="1">
        <v>253740</v>
      </c>
      <c r="T142" s="1">
        <v>2537.4</v>
      </c>
      <c r="U142" s="1">
        <v>3932984</v>
      </c>
      <c r="V142" s="1">
        <v>27312.400000000001</v>
      </c>
      <c r="W142" s="1">
        <v>25.373999999999999</v>
      </c>
      <c r="X142" s="1">
        <v>0.25374000000000002</v>
      </c>
      <c r="Y142" s="119">
        <v>0.62700599999999995</v>
      </c>
      <c r="Z142" s="143">
        <v>7</v>
      </c>
      <c r="AA142" s="15">
        <v>139.019408</v>
      </c>
      <c r="AB142" s="2">
        <v>90.498295999999996</v>
      </c>
      <c r="AC142" s="16">
        <v>74</v>
      </c>
      <c r="AD142" s="19" t="s">
        <v>7</v>
      </c>
      <c r="AE142" s="22">
        <v>2.0071289999999999</v>
      </c>
      <c r="AF142" s="22">
        <v>0.63104000000000005</v>
      </c>
      <c r="AG142" s="196">
        <v>0.50342399999999998</v>
      </c>
      <c r="AH142" s="19" t="s">
        <v>31</v>
      </c>
      <c r="AI142" s="13">
        <v>27753.7</v>
      </c>
      <c r="AJ142" s="2">
        <v>910.55399999999997</v>
      </c>
      <c r="AK142" s="2">
        <v>10926.6</v>
      </c>
      <c r="AL142" s="2">
        <v>277.53699999999998</v>
      </c>
      <c r="AM142" s="2">
        <v>0.172453</v>
      </c>
      <c r="AN142" s="2">
        <v>277537</v>
      </c>
      <c r="AO142" s="2">
        <f>AA142+AB142+AC142</f>
        <v>303.51770399999998</v>
      </c>
      <c r="AP142" s="16">
        <v>277536859</v>
      </c>
      <c r="AQ142" s="15">
        <v>2537410000</v>
      </c>
      <c r="AR142" s="12">
        <v>25374100</v>
      </c>
      <c r="AS142" s="2">
        <v>253741</v>
      </c>
      <c r="AT142" s="2">
        <f>SQRT((AO142/2)*(AO142/2-AA142)*(AO142/2-AB142)*(AO142/2-AC142))*0.9144*0.9144</f>
        <v>2537.4066591919941</v>
      </c>
      <c r="AU142" s="2">
        <v>3932993</v>
      </c>
      <c r="AV142" s="2">
        <v>27312.5</v>
      </c>
      <c r="AW142" s="2">
        <v>25.374099999999999</v>
      </c>
      <c r="AX142" s="2">
        <v>0.25374099999999999</v>
      </c>
      <c r="AY142" s="16">
        <v>0.62700800000000001</v>
      </c>
      <c r="AZ142" s="270" t="s">
        <v>7</v>
      </c>
      <c r="BA142" s="217">
        <f t="shared" si="58"/>
        <v>-1.2069442275407625E-4</v>
      </c>
      <c r="BB142" s="73">
        <f t="shared" si="59"/>
        <v>-1.5810473977474456E-4</v>
      </c>
      <c r="BC142" s="230">
        <f t="shared" si="60"/>
        <v>1.0225466009301947E-4</v>
      </c>
      <c r="BD142" s="274" t="s">
        <v>31</v>
      </c>
      <c r="BE142" s="134">
        <f t="shared" si="41"/>
        <v>-3.6031231872572951E-4</v>
      </c>
      <c r="BF142" s="82">
        <f t="shared" si="42"/>
        <v>-2.1964650091622312E-4</v>
      </c>
      <c r="BG142" s="82">
        <f t="shared" si="43"/>
        <v>0</v>
      </c>
      <c r="BH142" s="82">
        <f t="shared" si="44"/>
        <v>-3.603123187093444E-4</v>
      </c>
      <c r="BI142" s="82">
        <f t="shared" si="45"/>
        <v>0</v>
      </c>
      <c r="BJ142" s="82">
        <f t="shared" si="61"/>
        <v>-3.6031231871786466E-4</v>
      </c>
      <c r="BK142" s="83">
        <f t="shared" si="47"/>
        <v>-2.3194693116969443E-4</v>
      </c>
      <c r="BL142" s="96">
        <f t="shared" si="48"/>
        <v>-1.9997343848299443E-4</v>
      </c>
      <c r="BM142" s="139">
        <f t="shared" si="49"/>
        <v>-2.44422462274524E-4</v>
      </c>
      <c r="BN142" s="80">
        <f t="shared" si="50"/>
        <v>-2.443436417449289E-4</v>
      </c>
      <c r="BO142" s="83">
        <f t="shared" si="51"/>
        <v>-3.9410264797569173E-4</v>
      </c>
      <c r="BP142" s="80">
        <f t="shared" si="52"/>
        <v>-2.6244086535676998E-4</v>
      </c>
      <c r="BQ142" s="80">
        <f t="shared" si="53"/>
        <v>-2.2883335922540415E-4</v>
      </c>
      <c r="BR142" s="81">
        <f t="shared" si="54"/>
        <v>-3.6613272310680021E-4</v>
      </c>
      <c r="BS142" s="80">
        <f t="shared" si="55"/>
        <v>-3.941026479747733E-4</v>
      </c>
      <c r="BT142" s="80">
        <f t="shared" si="56"/>
        <v>-3.9410264796514737E-4</v>
      </c>
      <c r="BU142" s="96">
        <f t="shared" si="57"/>
        <v>-3.1897519649789336E-4</v>
      </c>
    </row>
    <row r="143" spans="1:73" ht="15.75" thickBot="1" x14ac:dyDescent="0.3">
      <c r="A143" s="176">
        <v>98.697663796935899</v>
      </c>
      <c r="B143" s="177">
        <v>130.976223647756</v>
      </c>
      <c r="C143" s="254">
        <v>164</v>
      </c>
      <c r="D143" s="212" t="s">
        <v>20</v>
      </c>
      <c r="E143" s="256">
        <v>0.64577182323789994</v>
      </c>
      <c r="F143" s="178">
        <v>0.92502450355700006</v>
      </c>
      <c r="G143" s="181">
        <v>1.5707963267949001</v>
      </c>
      <c r="H143" s="167" t="s">
        <v>31</v>
      </c>
      <c r="I143" s="121">
        <v>3.9367399999999997E-2</v>
      </c>
      <c r="J143" s="64">
        <v>1.2915800000000001E-3</v>
      </c>
      <c r="K143" s="55">
        <v>1.5499000000000001E-2</v>
      </c>
      <c r="L143" s="62">
        <v>3.93674E-4</v>
      </c>
      <c r="M143" s="65">
        <v>2.4461761279421398E-7</v>
      </c>
      <c r="N143" s="66">
        <v>0.39367400000000002</v>
      </c>
      <c r="O143" s="64">
        <v>4.3052699999999999E-4</v>
      </c>
      <c r="P143" s="122">
        <v>393.67399999999998</v>
      </c>
      <c r="Q143" s="129">
        <v>6.4635200000000004E-3</v>
      </c>
      <c r="R143" s="67">
        <v>6.46352364348926E-5</v>
      </c>
      <c r="S143" s="68">
        <v>6.4635236434892597E-7</v>
      </c>
      <c r="T143" s="69">
        <v>6.4635236434892601E-9</v>
      </c>
      <c r="U143" s="67">
        <v>1.00184816843717E-5</v>
      </c>
      <c r="V143" s="68">
        <v>6.9572789474803603E-8</v>
      </c>
      <c r="W143" s="70">
        <v>6.4635236434892597E-11</v>
      </c>
      <c r="X143" s="71">
        <v>6.46352364348926E-13</v>
      </c>
      <c r="Y143" s="72">
        <v>1.59717147554646E-12</v>
      </c>
      <c r="Z143" s="144">
        <v>8</v>
      </c>
      <c r="AA143" s="17">
        <v>98.697691000000006</v>
      </c>
      <c r="AB143" s="9">
        <v>130.97607199999999</v>
      </c>
      <c r="AC143" s="10">
        <v>164</v>
      </c>
      <c r="AD143" s="20" t="s">
        <v>20</v>
      </c>
      <c r="AE143" s="197">
        <v>0.64577200000000001</v>
      </c>
      <c r="AF143" s="197">
        <v>0.92502399999999996</v>
      </c>
      <c r="AG143" s="198">
        <v>1.5707960000000001</v>
      </c>
      <c r="AH143" s="20" t="s">
        <v>31</v>
      </c>
      <c r="AI143" s="261">
        <v>3.9367399999999997E-2</v>
      </c>
      <c r="AJ143" s="9">
        <v>1.2915800000000001E-3</v>
      </c>
      <c r="AK143" s="9">
        <v>1.5499000000000001E-2</v>
      </c>
      <c r="AL143" s="9">
        <v>3.93674E-4</v>
      </c>
      <c r="AM143" s="203">
        <v>2.4461768273283997E-7</v>
      </c>
      <c r="AN143" s="9">
        <v>0.39367400000000002</v>
      </c>
      <c r="AO143" s="9">
        <v>4.3052699999999999E-4</v>
      </c>
      <c r="AP143" s="10">
        <f>AA143+AB143+AC143</f>
        <v>393.67376300000001</v>
      </c>
      <c r="AQ143" s="17">
        <f>SQRT((AP143/2)*(AP143/2-AA143)*(AP143/2-AB143)*(AP143/2-AC143))/1000000</f>
        <v>6.4635179413191713E-3</v>
      </c>
      <c r="AR143" s="267">
        <v>6.4635199999999994E-5</v>
      </c>
      <c r="AS143" s="189">
        <v>6.4635200000000002E-7</v>
      </c>
      <c r="AT143" s="190">
        <v>6.46352E-9</v>
      </c>
      <c r="AU143" s="36">
        <v>1.00184760369521E-5</v>
      </c>
      <c r="AV143" s="206">
        <v>6.9572750256611599E-8</v>
      </c>
      <c r="AW143" s="191">
        <v>6.4635200000000004E-11</v>
      </c>
      <c r="AX143" s="192">
        <v>6.4635200000000001E-13</v>
      </c>
      <c r="AY143" s="268">
        <v>1.5971705752206499E-12</v>
      </c>
      <c r="AZ143" s="271" t="s">
        <v>20</v>
      </c>
      <c r="BA143" s="218">
        <f t="shared" si="58"/>
        <v>-2.7562006599611507E-5</v>
      </c>
      <c r="BB143" s="97">
        <f t="shared" si="59"/>
        <v>1.1578279429013758E-4</v>
      </c>
      <c r="BC143" s="231">
        <f t="shared" si="60"/>
        <v>2.0804413815010066E-5</v>
      </c>
      <c r="BD143" s="275" t="s">
        <v>31</v>
      </c>
      <c r="BE143" s="135">
        <f t="shared" si="41"/>
        <v>0</v>
      </c>
      <c r="BF143" s="98">
        <f t="shared" si="42"/>
        <v>0</v>
      </c>
      <c r="BG143" s="98">
        <f t="shared" si="43"/>
        <v>0</v>
      </c>
      <c r="BH143" s="98">
        <f t="shared" si="44"/>
        <v>0</v>
      </c>
      <c r="BI143" s="98">
        <f t="shared" si="45"/>
        <v>-2.8590993591397755E-5</v>
      </c>
      <c r="BJ143" s="98">
        <f t="shared" si="61"/>
        <v>0</v>
      </c>
      <c r="BK143" s="99">
        <f t="shared" si="47"/>
        <v>0</v>
      </c>
      <c r="BL143" s="102">
        <f t="shared" si="48"/>
        <v>6.020213238596414E-5</v>
      </c>
      <c r="BM143" s="140">
        <f t="shared" si="49"/>
        <v>3.1850779216487004E-5</v>
      </c>
      <c r="BN143" s="100">
        <f t="shared" si="50"/>
        <v>5.637004698009154E-5</v>
      </c>
      <c r="BO143" s="99">
        <f t="shared" si="51"/>
        <v>5.6370046964365743E-5</v>
      </c>
      <c r="BP143" s="100">
        <f t="shared" si="52"/>
        <v>5.6370046972556261E-5</v>
      </c>
      <c r="BQ143" s="100">
        <f t="shared" si="53"/>
        <v>5.6370046490118772E-5</v>
      </c>
      <c r="BR143" s="101">
        <f t="shared" si="54"/>
        <v>5.6370046978378358E-5</v>
      </c>
      <c r="BS143" s="100">
        <f t="shared" si="55"/>
        <v>5.6370046960558432E-5</v>
      </c>
      <c r="BT143" s="100">
        <f t="shared" si="56"/>
        <v>5.6370046969306852E-5</v>
      </c>
      <c r="BU143" s="102">
        <f t="shared" si="57"/>
        <v>5.6370047388078573E-5</v>
      </c>
    </row>
    <row r="144" spans="1:73" x14ac:dyDescent="0.25">
      <c r="A144" s="168">
        <v>94.086532294236306</v>
      </c>
      <c r="B144" s="115">
        <v>67.648323220629194</v>
      </c>
      <c r="C144" s="223">
        <v>140</v>
      </c>
      <c r="D144" s="210" t="s">
        <v>9</v>
      </c>
      <c r="E144" s="257">
        <v>40.000000000002601</v>
      </c>
      <c r="F144" s="169">
        <v>27.777777777778901</v>
      </c>
      <c r="G144" s="182">
        <v>132.22222222221899</v>
      </c>
      <c r="H144" s="165" t="s">
        <v>32</v>
      </c>
      <c r="I144" s="114">
        <v>301.73500000000001</v>
      </c>
      <c r="J144" s="115">
        <v>9.8994400000000002</v>
      </c>
      <c r="K144" s="115">
        <v>118.79300000000001</v>
      </c>
      <c r="L144" s="115">
        <v>3.01735</v>
      </c>
      <c r="M144" s="116">
        <v>1.8748899999999999E-3</v>
      </c>
      <c r="N144" s="115">
        <v>3017.35</v>
      </c>
      <c r="O144" s="115">
        <v>3.2998099999999999</v>
      </c>
      <c r="P144" s="117">
        <v>3017349</v>
      </c>
      <c r="Q144" s="114">
        <v>278339</v>
      </c>
      <c r="R144" s="115">
        <v>2783.39</v>
      </c>
      <c r="S144" s="115">
        <v>27.8339</v>
      </c>
      <c r="T144" s="115">
        <v>0.278339</v>
      </c>
      <c r="U144" s="115">
        <v>431.42599999999999</v>
      </c>
      <c r="V144" s="115">
        <v>2.9960100000000001</v>
      </c>
      <c r="W144" s="123">
        <v>2.7833900000000002E-3</v>
      </c>
      <c r="X144" s="124">
        <v>2.7833880711980201E-5</v>
      </c>
      <c r="Y144" s="125">
        <v>6.8779017110454506E-5</v>
      </c>
      <c r="Z144" s="142">
        <v>1</v>
      </c>
      <c r="AA144" s="13">
        <v>94.086675999999997</v>
      </c>
      <c r="AB144" s="7">
        <v>67.648315999999994</v>
      </c>
      <c r="AC144" s="14">
        <v>140</v>
      </c>
      <c r="AD144" s="18" t="s">
        <v>9</v>
      </c>
      <c r="AE144" s="194">
        <v>39.999999000000003</v>
      </c>
      <c r="AF144" s="194">
        <v>27.777777</v>
      </c>
      <c r="AG144" s="199">
        <v>132.22222300000001</v>
      </c>
      <c r="AH144" s="18" t="s">
        <v>32</v>
      </c>
      <c r="AI144" s="8">
        <f>AA144+AB144+AC144</f>
        <v>301.73499199999998</v>
      </c>
      <c r="AJ144" s="260">
        <v>9.8994400000000002</v>
      </c>
      <c r="AK144" s="260">
        <v>118.79300000000001</v>
      </c>
      <c r="AL144" s="260">
        <v>3.01735</v>
      </c>
      <c r="AM144" s="260">
        <v>1.8748899999999999E-3</v>
      </c>
      <c r="AN144" s="260">
        <v>3017.35</v>
      </c>
      <c r="AO144" s="260">
        <v>3.2998099999999999</v>
      </c>
      <c r="AP144" s="184">
        <v>3017350</v>
      </c>
      <c r="AQ144" s="8">
        <v>278340</v>
      </c>
      <c r="AR144" s="262">
        <f>SQRT((AI144/2)*(AI144/2-AA144)*(AI144/2-AB144)*(AI144/2-AC144))</f>
        <v>2783.3968523023468</v>
      </c>
      <c r="AS144" s="260">
        <v>27.834</v>
      </c>
      <c r="AT144" s="260">
        <v>0.27833999999999998</v>
      </c>
      <c r="AU144" s="260">
        <v>431.428</v>
      </c>
      <c r="AV144" s="260">
        <v>2.9960300000000002</v>
      </c>
      <c r="AW144" s="263">
        <v>2.7834000000000001E-3</v>
      </c>
      <c r="AX144" s="194">
        <v>2.7834000000000002E-5</v>
      </c>
      <c r="AY144" s="264">
        <v>6.8779311877570807E-5</v>
      </c>
      <c r="AZ144" s="272" t="s">
        <v>9</v>
      </c>
      <c r="BA144" s="277">
        <f t="shared" si="58"/>
        <v>-1.5273763491294425E-4</v>
      </c>
      <c r="BB144" s="85">
        <f t="shared" si="59"/>
        <v>1.0673775235340597E-5</v>
      </c>
      <c r="BC144" s="278">
        <f t="shared" si="60"/>
        <v>-5.8823774681420667E-7</v>
      </c>
      <c r="BD144" s="276" t="s">
        <v>32</v>
      </c>
      <c r="BE144" s="136">
        <f t="shared" si="41"/>
        <v>2.6513332058766859E-6</v>
      </c>
      <c r="BF144" s="86">
        <f t="shared" si="42"/>
        <v>0</v>
      </c>
      <c r="BG144" s="86">
        <f t="shared" si="43"/>
        <v>0</v>
      </c>
      <c r="BH144" s="86">
        <f t="shared" si="44"/>
        <v>0</v>
      </c>
      <c r="BI144" s="86">
        <f t="shared" si="45"/>
        <v>0</v>
      </c>
      <c r="BJ144" s="86">
        <f t="shared" si="61"/>
        <v>0</v>
      </c>
      <c r="BK144" s="87">
        <f t="shared" si="47"/>
        <v>0</v>
      </c>
      <c r="BL144" s="137">
        <f t="shared" si="48"/>
        <v>-3.3141664042951594E-5</v>
      </c>
      <c r="BM144" s="141">
        <f t="shared" si="49"/>
        <v>-3.5927283178846016E-4</v>
      </c>
      <c r="BN144" s="88">
        <f t="shared" si="50"/>
        <v>-2.4618488525178945E-4</v>
      </c>
      <c r="BO144" s="87">
        <f t="shared" si="51"/>
        <v>-3.5927283178762283E-4</v>
      </c>
      <c r="BP144" s="88">
        <f t="shared" si="52"/>
        <v>-3.5927283177884767E-4</v>
      </c>
      <c r="BQ144" s="88">
        <f t="shared" si="53"/>
        <v>-4.6357677295158164E-4</v>
      </c>
      <c r="BR144" s="89">
        <f t="shared" si="54"/>
        <v>-6.6755005791434069E-4</v>
      </c>
      <c r="BS144" s="88">
        <f t="shared" si="55"/>
        <v>-3.592728317863265E-4</v>
      </c>
      <c r="BT144" s="88">
        <f t="shared" si="56"/>
        <v>-4.2856944672028745E-4</v>
      </c>
      <c r="BU144" s="137">
        <f t="shared" si="57"/>
        <v>-4.2856944661746275E-4</v>
      </c>
    </row>
    <row r="145" spans="1:73" x14ac:dyDescent="0.25">
      <c r="A145" s="171">
        <v>155.56349186104001</v>
      </c>
      <c r="B145" s="57">
        <v>110</v>
      </c>
      <c r="C145" s="112">
        <v>110</v>
      </c>
      <c r="D145" s="211" t="s">
        <v>5</v>
      </c>
      <c r="E145" s="246">
        <v>100</v>
      </c>
      <c r="F145" s="60">
        <v>49.999999999996902</v>
      </c>
      <c r="G145" s="175">
        <v>50.000000000003098</v>
      </c>
      <c r="H145" s="166" t="s">
        <v>32</v>
      </c>
      <c r="I145" s="118">
        <v>11447.2</v>
      </c>
      <c r="J145" s="1">
        <v>375.56299999999999</v>
      </c>
      <c r="K145" s="1">
        <v>4506.76</v>
      </c>
      <c r="L145" s="1">
        <v>114.47199999999999</v>
      </c>
      <c r="M145" s="1">
        <v>7.1129399999999995E-2</v>
      </c>
      <c r="N145" s="1">
        <v>114472</v>
      </c>
      <c r="O145" s="1">
        <v>125.188</v>
      </c>
      <c r="P145" s="119">
        <v>114471752</v>
      </c>
      <c r="Q145" s="118">
        <v>562063392</v>
      </c>
      <c r="R145" s="1">
        <v>5620634</v>
      </c>
      <c r="S145" s="1">
        <v>56206.3</v>
      </c>
      <c r="T145" s="1">
        <v>562.06299999999999</v>
      </c>
      <c r="U145" s="1">
        <v>871200</v>
      </c>
      <c r="V145" s="1">
        <v>6050</v>
      </c>
      <c r="W145" s="1">
        <v>5.6206300000000002</v>
      </c>
      <c r="X145" s="52">
        <v>5.6206300000000001E-2</v>
      </c>
      <c r="Y145" s="119">
        <v>0.13888900000000001</v>
      </c>
      <c r="Z145" s="143">
        <v>2</v>
      </c>
      <c r="AA145" s="15">
        <v>155.56347099999999</v>
      </c>
      <c r="AB145" s="34">
        <v>110</v>
      </c>
      <c r="AC145" s="16">
        <v>110</v>
      </c>
      <c r="AD145" s="19" t="s">
        <v>5</v>
      </c>
      <c r="AE145" s="22">
        <v>100</v>
      </c>
      <c r="AF145" s="22">
        <v>50</v>
      </c>
      <c r="AG145" s="200">
        <v>50</v>
      </c>
      <c r="AH145" s="19" t="s">
        <v>32</v>
      </c>
      <c r="AI145" s="13">
        <v>11447.2</v>
      </c>
      <c r="AJ145" s="2">
        <f>AA145+AB145+AC145</f>
        <v>375.56347099999999</v>
      </c>
      <c r="AK145" s="2">
        <v>4506.76</v>
      </c>
      <c r="AL145" s="2">
        <v>114.47199999999999</v>
      </c>
      <c r="AM145" s="2">
        <v>7.1129399999999995E-2</v>
      </c>
      <c r="AN145" s="2">
        <v>114472</v>
      </c>
      <c r="AO145" s="2">
        <v>125.188</v>
      </c>
      <c r="AP145" s="16">
        <v>114471602</v>
      </c>
      <c r="AQ145" s="15">
        <v>562063392</v>
      </c>
      <c r="AR145" s="12">
        <v>5620634</v>
      </c>
      <c r="AS145" s="2">
        <v>56206.3</v>
      </c>
      <c r="AT145" s="2">
        <v>562.06299999999999</v>
      </c>
      <c r="AU145" s="2">
        <v>871200</v>
      </c>
      <c r="AV145" s="2">
        <f>SQRT((AJ145/2)*(AJ145/2-AA145)*(AJ145/2-AB145)*(AJ145/2-AC145))</f>
        <v>6049.9999999997826</v>
      </c>
      <c r="AW145" s="2">
        <v>5.6206300000000002</v>
      </c>
      <c r="AX145" s="23">
        <v>5.6206300000000001E-2</v>
      </c>
      <c r="AY145" s="16">
        <v>0.13888900000000001</v>
      </c>
      <c r="AZ145" s="270" t="s">
        <v>5</v>
      </c>
      <c r="BA145" s="217">
        <f t="shared" si="58"/>
        <v>1.3409986213050105E-5</v>
      </c>
      <c r="BB145" s="73">
        <f t="shared" si="59"/>
        <v>0</v>
      </c>
      <c r="BC145" s="230">
        <f t="shared" si="60"/>
        <v>6.1959326558280736E-12</v>
      </c>
      <c r="BD145" s="274" t="s">
        <v>32</v>
      </c>
      <c r="BE145" s="134">
        <f t="shared" si="41"/>
        <v>0</v>
      </c>
      <c r="BF145" s="82">
        <f t="shared" si="42"/>
        <v>-1.2541155793198831E-4</v>
      </c>
      <c r="BG145" s="82">
        <f t="shared" si="43"/>
        <v>0</v>
      </c>
      <c r="BH145" s="82">
        <f t="shared" si="44"/>
        <v>0</v>
      </c>
      <c r="BI145" s="82">
        <f t="shared" si="45"/>
        <v>0</v>
      </c>
      <c r="BJ145" s="82">
        <f t="shared" si="61"/>
        <v>0</v>
      </c>
      <c r="BK145" s="83">
        <f t="shared" si="47"/>
        <v>0</v>
      </c>
      <c r="BL145" s="96">
        <f t="shared" si="48"/>
        <v>1.3103686624390913E-4</v>
      </c>
      <c r="BM145" s="139">
        <f t="shared" si="49"/>
        <v>0</v>
      </c>
      <c r="BN145" s="80">
        <f t="shared" si="50"/>
        <v>0</v>
      </c>
      <c r="BO145" s="83">
        <f t="shared" si="51"/>
        <v>0</v>
      </c>
      <c r="BP145" s="80">
        <f t="shared" si="52"/>
        <v>0</v>
      </c>
      <c r="BQ145" s="80">
        <f t="shared" si="53"/>
        <v>0</v>
      </c>
      <c r="BR145" s="81">
        <f t="shared" si="54"/>
        <v>3.5928798962601265E-12</v>
      </c>
      <c r="BS145" s="80">
        <f t="shared" si="55"/>
        <v>0</v>
      </c>
      <c r="BT145" s="80">
        <f t="shared" si="56"/>
        <v>0</v>
      </c>
      <c r="BU145" s="96">
        <f t="shared" si="57"/>
        <v>0</v>
      </c>
    </row>
    <row r="146" spans="1:73" x14ac:dyDescent="0.25">
      <c r="A146" s="173">
        <v>114</v>
      </c>
      <c r="B146" s="57">
        <v>114</v>
      </c>
      <c r="C146" s="112">
        <v>114</v>
      </c>
      <c r="D146" s="211" t="s">
        <v>8</v>
      </c>
      <c r="E146" s="246">
        <v>66.666666666666799</v>
      </c>
      <c r="F146" s="60">
        <v>66.666666666666799</v>
      </c>
      <c r="G146" s="175">
        <v>66.666666666666401</v>
      </c>
      <c r="H146" s="166" t="s">
        <v>32</v>
      </c>
      <c r="I146" s="118">
        <v>868.68</v>
      </c>
      <c r="J146" s="1">
        <v>28.5</v>
      </c>
      <c r="K146" s="1">
        <v>342</v>
      </c>
      <c r="L146" s="1">
        <v>8.6867999999999999</v>
      </c>
      <c r="M146" s="1">
        <v>5.3977299999999999E-3</v>
      </c>
      <c r="N146" s="1">
        <v>8686.7999999999993</v>
      </c>
      <c r="O146" s="1">
        <v>9.5</v>
      </c>
      <c r="P146" s="119">
        <v>8686800</v>
      </c>
      <c r="Q146" s="118">
        <v>3630595</v>
      </c>
      <c r="R146" s="1">
        <v>36305.9</v>
      </c>
      <c r="S146" s="1">
        <v>363.05900000000003</v>
      </c>
      <c r="T146" s="1">
        <v>3.6305900000000002</v>
      </c>
      <c r="U146" s="1">
        <v>5627.43</v>
      </c>
      <c r="V146" s="1">
        <v>39.0794</v>
      </c>
      <c r="W146" s="49">
        <v>3.6305900000000002E-2</v>
      </c>
      <c r="X146" s="58">
        <v>3.6305899999999999E-4</v>
      </c>
      <c r="Y146" s="126">
        <v>8.9713900000000003E-4</v>
      </c>
      <c r="Z146" s="143">
        <v>3</v>
      </c>
      <c r="AA146" s="15">
        <v>114</v>
      </c>
      <c r="AB146" s="2">
        <v>114</v>
      </c>
      <c r="AC146" s="16">
        <v>114</v>
      </c>
      <c r="AD146" s="19" t="s">
        <v>8</v>
      </c>
      <c r="AE146" s="22">
        <v>66.666666000000006</v>
      </c>
      <c r="AF146" s="22">
        <v>66.666657999999998</v>
      </c>
      <c r="AG146" s="200">
        <v>66.666675999999995</v>
      </c>
      <c r="AH146" s="19" t="s">
        <v>32</v>
      </c>
      <c r="AI146" s="13">
        <v>868.68</v>
      </c>
      <c r="AJ146" s="2">
        <v>28.5</v>
      </c>
      <c r="AK146" s="2">
        <f>AA146+AB146+AC146</f>
        <v>342</v>
      </c>
      <c r="AL146" s="2">
        <v>8.6867999999999999</v>
      </c>
      <c r="AM146" s="2">
        <v>5.3977299999999999E-3</v>
      </c>
      <c r="AN146" s="2">
        <v>8686.7999999999993</v>
      </c>
      <c r="AO146" s="2">
        <v>9.5</v>
      </c>
      <c r="AP146" s="16">
        <v>8686800</v>
      </c>
      <c r="AQ146" s="27">
        <v>3630593</v>
      </c>
      <c r="AR146" s="12">
        <v>36305.9</v>
      </c>
      <c r="AS146" s="2">
        <v>363.05900000000003</v>
      </c>
      <c r="AT146" s="2">
        <v>3.6305900000000002</v>
      </c>
      <c r="AU146" s="2">
        <f>SQRT((AK146/2)*(AK146/2-AA146)*(AK146/2-AB146)*(AK146/2-AC146))</f>
        <v>5627.4330737912824</v>
      </c>
      <c r="AV146" s="2">
        <v>39.0794</v>
      </c>
      <c r="AW146" s="24">
        <v>3.6305900000000002E-2</v>
      </c>
      <c r="AX146" s="25">
        <v>3.6305899999999999E-4</v>
      </c>
      <c r="AY146" s="265">
        <v>8.9713900000000003E-4</v>
      </c>
      <c r="AZ146" s="270" t="s">
        <v>8</v>
      </c>
      <c r="BA146" s="217">
        <f t="shared" si="58"/>
        <v>0</v>
      </c>
      <c r="BB146" s="73">
        <f t="shared" si="59"/>
        <v>0</v>
      </c>
      <c r="BC146" s="230">
        <f t="shared" si="60"/>
        <v>-1.399999843097926E-5</v>
      </c>
      <c r="BD146" s="274" t="s">
        <v>32</v>
      </c>
      <c r="BE146" s="134">
        <f t="shared" si="41"/>
        <v>0</v>
      </c>
      <c r="BF146" s="82">
        <f t="shared" si="42"/>
        <v>0</v>
      </c>
      <c r="BG146" s="82">
        <f t="shared" si="43"/>
        <v>0</v>
      </c>
      <c r="BH146" s="82">
        <f t="shared" si="44"/>
        <v>0</v>
      </c>
      <c r="BI146" s="82">
        <f t="shared" si="45"/>
        <v>0</v>
      </c>
      <c r="BJ146" s="82">
        <f t="shared" si="61"/>
        <v>0</v>
      </c>
      <c r="BK146" s="83">
        <f t="shared" si="47"/>
        <v>0</v>
      </c>
      <c r="BL146" s="96">
        <f t="shared" si="48"/>
        <v>0</v>
      </c>
      <c r="BM146" s="139">
        <f t="shared" si="49"/>
        <v>5.5087419603354053E-5</v>
      </c>
      <c r="BN146" s="80">
        <f t="shared" si="50"/>
        <v>0</v>
      </c>
      <c r="BO146" s="83">
        <f t="shared" si="51"/>
        <v>0</v>
      </c>
      <c r="BP146" s="80">
        <f t="shared" si="52"/>
        <v>0</v>
      </c>
      <c r="BQ146" s="80">
        <f t="shared" si="53"/>
        <v>-5.4621551989528986E-5</v>
      </c>
      <c r="BR146" s="81">
        <f t="shared" si="54"/>
        <v>0</v>
      </c>
      <c r="BS146" s="80">
        <f t="shared" si="55"/>
        <v>0</v>
      </c>
      <c r="BT146" s="80">
        <f t="shared" si="56"/>
        <v>0</v>
      </c>
      <c r="BU146" s="96">
        <f t="shared" si="57"/>
        <v>0</v>
      </c>
    </row>
    <row r="147" spans="1:73" x14ac:dyDescent="0.25">
      <c r="A147" s="171">
        <v>64.654611224420407</v>
      </c>
      <c r="B147" s="57">
        <v>181.19565205600199</v>
      </c>
      <c r="C147" s="112">
        <v>140</v>
      </c>
      <c r="D147" s="211" t="s">
        <v>4</v>
      </c>
      <c r="E147" s="56">
        <v>20</v>
      </c>
      <c r="F147" s="1">
        <v>133.333333333333</v>
      </c>
      <c r="G147" s="1">
        <v>46.666666666666998</v>
      </c>
      <c r="H147" s="166" t="s">
        <v>32</v>
      </c>
      <c r="I147" s="118">
        <v>38585</v>
      </c>
      <c r="J147" s="1">
        <v>1265.9100000000001</v>
      </c>
      <c r="K147" s="1">
        <v>15191</v>
      </c>
      <c r="L147" s="1">
        <v>385.85</v>
      </c>
      <c r="M147" s="1">
        <v>0.239756</v>
      </c>
      <c r="N147" s="1">
        <v>385850</v>
      </c>
      <c r="O147" s="1">
        <v>421.971</v>
      </c>
      <c r="P147" s="119">
        <v>385850263</v>
      </c>
      <c r="Q147" s="118">
        <v>3919477505</v>
      </c>
      <c r="R147" s="1">
        <v>39194775</v>
      </c>
      <c r="S147" s="1">
        <v>391948</v>
      </c>
      <c r="T147" s="1">
        <v>3919.48</v>
      </c>
      <c r="U147" s="1">
        <v>6075202</v>
      </c>
      <c r="V147" s="1">
        <v>42188.9</v>
      </c>
      <c r="W147" s="1">
        <v>39.194800000000001</v>
      </c>
      <c r="X147" s="1">
        <v>0.39194800000000002</v>
      </c>
      <c r="Y147" s="119">
        <v>0.96852400000000005</v>
      </c>
      <c r="Z147" s="143">
        <v>4</v>
      </c>
      <c r="AA147" s="2">
        <v>64.654875000000004</v>
      </c>
      <c r="AB147" s="2">
        <v>181.196054</v>
      </c>
      <c r="AC147" s="35">
        <v>140</v>
      </c>
      <c r="AD147" s="19" t="s">
        <v>4</v>
      </c>
      <c r="AE147" s="22">
        <v>20</v>
      </c>
      <c r="AF147" s="22">
        <v>133.33333400000001</v>
      </c>
      <c r="AG147" s="200">
        <v>46.666665999999999</v>
      </c>
      <c r="AH147" s="19" t="s">
        <v>32</v>
      </c>
      <c r="AI147" s="13">
        <v>38585.1</v>
      </c>
      <c r="AJ147" s="2">
        <v>1265.92</v>
      </c>
      <c r="AK147" s="2">
        <v>15191</v>
      </c>
      <c r="AL147" s="2">
        <f>AA147+AB147+AC147</f>
        <v>385.85092900000001</v>
      </c>
      <c r="AM147" s="2">
        <v>0.239757</v>
      </c>
      <c r="AN147" s="2">
        <v>385851</v>
      </c>
      <c r="AO147" s="2">
        <v>421.97199999999998</v>
      </c>
      <c r="AP147" s="16">
        <v>385851000</v>
      </c>
      <c r="AQ147" s="15">
        <v>3919480000</v>
      </c>
      <c r="AR147" s="12">
        <v>39194800</v>
      </c>
      <c r="AS147" s="2">
        <v>391948</v>
      </c>
      <c r="AT147" s="2">
        <f>SQRT((AL147/2)*(AL147/2-AA147)*(AL147/2-AB147)*(AL147/2-AC147))</f>
        <v>3919.4827249033679</v>
      </c>
      <c r="AU147" s="2">
        <v>6075206</v>
      </c>
      <c r="AV147" s="2">
        <v>42188.9</v>
      </c>
      <c r="AW147" s="2">
        <v>39.194800000000001</v>
      </c>
      <c r="AX147" s="2">
        <v>0.39194800000000002</v>
      </c>
      <c r="AY147" s="16">
        <v>0.96852499999999997</v>
      </c>
      <c r="AZ147" s="270" t="s">
        <v>4</v>
      </c>
      <c r="BA147" s="217">
        <f t="shared" si="58"/>
        <v>-4.079747731278364E-4</v>
      </c>
      <c r="BB147" s="73">
        <f t="shared" si="59"/>
        <v>-2.2182822922516622E-4</v>
      </c>
      <c r="BC147" s="230">
        <f>(100*(G147-AG147))/AG147</f>
        <v>1.4285721609908473E-6</v>
      </c>
      <c r="BD147" s="274" t="s">
        <v>32</v>
      </c>
      <c r="BE147" s="134">
        <f t="shared" si="41"/>
        <v>-2.5916739881079692E-4</v>
      </c>
      <c r="BF147" s="82">
        <f t="shared" si="42"/>
        <v>-7.8993933265853323E-4</v>
      </c>
      <c r="BG147" s="82">
        <f t="shared" si="43"/>
        <v>0</v>
      </c>
      <c r="BH147" s="82">
        <f t="shared" si="44"/>
        <v>-2.4076655779804552E-4</v>
      </c>
      <c r="BI147" s="82">
        <f t="shared" si="45"/>
        <v>-4.1708896924844743E-4</v>
      </c>
      <c r="BJ147" s="82">
        <f t="shared" si="61"/>
        <v>-2.5916739881456832E-4</v>
      </c>
      <c r="BK147" s="83">
        <f t="shared" si="47"/>
        <v>-2.3698254859951684E-4</v>
      </c>
      <c r="BL147" s="96">
        <f t="shared" si="48"/>
        <v>-1.9100637292633686E-4</v>
      </c>
      <c r="BM147" s="139">
        <f t="shared" si="49"/>
        <v>-6.3656403400451079E-5</v>
      </c>
      <c r="BN147" s="80">
        <f t="shared" si="50"/>
        <v>-6.3783971343137348E-5</v>
      </c>
      <c r="BO147" s="83">
        <f t="shared" si="51"/>
        <v>0</v>
      </c>
      <c r="BP147" s="80">
        <f t="shared" si="52"/>
        <v>-6.9522014997570029E-5</v>
      </c>
      <c r="BQ147" s="80">
        <f t="shared" si="53"/>
        <v>-6.5841388752908129E-5</v>
      </c>
      <c r="BR147" s="81">
        <f t="shared" si="54"/>
        <v>0</v>
      </c>
      <c r="BS147" s="80">
        <f t="shared" si="55"/>
        <v>0</v>
      </c>
      <c r="BT147" s="80">
        <f t="shared" si="56"/>
        <v>0</v>
      </c>
      <c r="BU147" s="96">
        <f t="shared" si="57"/>
        <v>-1.0324978703882021E-4</v>
      </c>
    </row>
    <row r="148" spans="1:73" x14ac:dyDescent="0.25">
      <c r="A148" s="171">
        <v>82.240659227933506</v>
      </c>
      <c r="B148" s="57">
        <v>82.240659227933506</v>
      </c>
      <c r="C148" s="112">
        <v>126</v>
      </c>
      <c r="D148" s="211" t="s">
        <v>10</v>
      </c>
      <c r="E148" s="246">
        <v>44.444444444442397</v>
      </c>
      <c r="F148" s="60">
        <v>44.444444444442397</v>
      </c>
      <c r="G148" s="175">
        <v>111.11111111111499</v>
      </c>
      <c r="H148" s="166" t="s">
        <v>32</v>
      </c>
      <c r="I148" s="120">
        <v>46748437</v>
      </c>
      <c r="J148" s="1">
        <v>1533741</v>
      </c>
      <c r="K148" s="1">
        <v>18404896</v>
      </c>
      <c r="L148" s="1">
        <v>467484</v>
      </c>
      <c r="M148" s="1">
        <v>290.48099999999999</v>
      </c>
      <c r="N148" s="1">
        <v>467484367</v>
      </c>
      <c r="O148" s="1">
        <v>511247</v>
      </c>
      <c r="P148" s="164">
        <v>467484366969</v>
      </c>
      <c r="Q148" s="120">
        <v>8625661272433680</v>
      </c>
      <c r="R148" s="59">
        <v>86256612724337</v>
      </c>
      <c r="S148" s="59">
        <v>862566127243</v>
      </c>
      <c r="T148" s="1">
        <v>8625661272</v>
      </c>
      <c r="U148" s="59">
        <v>13369801711876</v>
      </c>
      <c r="V148" s="59">
        <v>92845845221</v>
      </c>
      <c r="W148" s="1">
        <v>86256613</v>
      </c>
      <c r="X148" s="1">
        <v>862566</v>
      </c>
      <c r="Y148" s="119">
        <v>2131447</v>
      </c>
      <c r="Z148" s="143">
        <v>5</v>
      </c>
      <c r="AA148" s="15">
        <v>82.2407252</v>
      </c>
      <c r="AB148" s="2">
        <v>82.240786</v>
      </c>
      <c r="AC148" s="16">
        <v>126</v>
      </c>
      <c r="AD148" s="19" t="s">
        <v>10</v>
      </c>
      <c r="AE148" s="22">
        <v>44.444445999999999</v>
      </c>
      <c r="AF148" s="22">
        <v>44.444445999999999</v>
      </c>
      <c r="AG148" s="200">
        <v>111.111108</v>
      </c>
      <c r="AH148" s="19" t="s">
        <v>32</v>
      </c>
      <c r="AI148" s="13">
        <v>46748546</v>
      </c>
      <c r="AJ148" s="2">
        <v>1533745</v>
      </c>
      <c r="AK148" s="2">
        <v>18404940</v>
      </c>
      <c r="AL148" s="2">
        <v>467485</v>
      </c>
      <c r="AM148" s="2">
        <f>AA148+AB148+AC148</f>
        <v>290.4815112</v>
      </c>
      <c r="AN148" s="2">
        <v>467485464</v>
      </c>
      <c r="AO148" s="2">
        <v>511248</v>
      </c>
      <c r="AP148" s="185">
        <v>467485463808</v>
      </c>
      <c r="AQ148" s="28">
        <v>8625724930000000</v>
      </c>
      <c r="AR148" s="12">
        <v>86257249300000</v>
      </c>
      <c r="AS148" s="29">
        <v>862572493000</v>
      </c>
      <c r="AT148" s="2">
        <f>SQRT((AL148/2)*(AL148/2-AA148*63360*2.54/100)*(AL148/2-AB148*63360*2.54/100)*(AL148/2-AC148*63360*2.54/100))</f>
        <v>8625724930.1023312</v>
      </c>
      <c r="AU148" s="2">
        <v>13369900381301</v>
      </c>
      <c r="AV148" s="2">
        <v>92846530426</v>
      </c>
      <c r="AW148" s="2">
        <v>86257249</v>
      </c>
      <c r="AX148" s="2">
        <v>862572</v>
      </c>
      <c r="AY148" s="16">
        <v>2131463</v>
      </c>
      <c r="AZ148" s="270" t="s">
        <v>10</v>
      </c>
      <c r="BA148" s="217">
        <f t="shared" si="58"/>
        <v>-8.0218245077158867E-5</v>
      </c>
      <c r="BB148" s="73">
        <f t="shared" si="59"/>
        <v>-1.5414744029092905E-4</v>
      </c>
      <c r="BC148" s="230">
        <f>(100*(G148-AG148))/AG148</f>
        <v>2.8000035714642958E-6</v>
      </c>
      <c r="BD148" s="274" t="s">
        <v>32</v>
      </c>
      <c r="BE148" s="134">
        <f t="shared" si="41"/>
        <v>-2.3316233193648419E-4</v>
      </c>
      <c r="BF148" s="82">
        <f t="shared" si="42"/>
        <v>-2.607995462087896E-4</v>
      </c>
      <c r="BG148" s="82">
        <f t="shared" si="43"/>
        <v>-2.3906625069139046E-4</v>
      </c>
      <c r="BH148" s="82">
        <f t="shared" si="44"/>
        <v>-2.1391060675743606E-4</v>
      </c>
      <c r="BI148" s="82">
        <f t="shared" si="45"/>
        <v>-1.7598366171174546E-4</v>
      </c>
      <c r="BJ148" s="82">
        <f t="shared" si="61"/>
        <v>-2.3465970270254222E-4</v>
      </c>
      <c r="BK148" s="83">
        <f t="shared" si="47"/>
        <v>-1.9559978718743153E-4</v>
      </c>
      <c r="BL148" s="96">
        <f t="shared" si="48"/>
        <v>-2.3462526322539956E-4</v>
      </c>
      <c r="BM148" s="139">
        <f t="shared" si="49"/>
        <v>-7.3799671142538972E-4</v>
      </c>
      <c r="BN148" s="80">
        <f t="shared" si="50"/>
        <v>-7.3799671119352517E-4</v>
      </c>
      <c r="BO148" s="83">
        <f t="shared" si="51"/>
        <v>-7.3799675408847058E-4</v>
      </c>
      <c r="BP148" s="80">
        <f t="shared" si="52"/>
        <v>-7.380029255165026E-4</v>
      </c>
      <c r="BQ148" s="80">
        <f t="shared" si="53"/>
        <v>-7.3799671041676577E-4</v>
      </c>
      <c r="BR148" s="81">
        <f t="shared" si="54"/>
        <v>-7.3799742096568495E-4</v>
      </c>
      <c r="BS148" s="80">
        <f t="shared" si="55"/>
        <v>-7.373293344887454E-4</v>
      </c>
      <c r="BT148" s="80">
        <f t="shared" si="56"/>
        <v>-6.9559410692672616E-4</v>
      </c>
      <c r="BU148" s="96">
        <f t="shared" si="57"/>
        <v>-7.5065811604517647E-4</v>
      </c>
    </row>
    <row r="149" spans="1:73" x14ac:dyDescent="0.25">
      <c r="A149" s="171">
        <v>87.714132004892605</v>
      </c>
      <c r="B149" s="60">
        <v>87.714132004892605</v>
      </c>
      <c r="C149" s="112">
        <v>60</v>
      </c>
      <c r="D149" s="211" t="s">
        <v>6</v>
      </c>
      <c r="E149" s="246">
        <v>77.777777777775796</v>
      </c>
      <c r="F149" s="60">
        <v>77.777777777775796</v>
      </c>
      <c r="G149" s="175">
        <v>44.444444444448401</v>
      </c>
      <c r="H149" s="166" t="s">
        <v>32</v>
      </c>
      <c r="I149" s="118">
        <v>23.5428</v>
      </c>
      <c r="J149" s="1">
        <v>0.77240200000000003</v>
      </c>
      <c r="K149" s="1">
        <v>9.2688299999999995</v>
      </c>
      <c r="L149" s="1">
        <v>0.235428</v>
      </c>
      <c r="M149" s="49">
        <v>1.4628800000000001E-4</v>
      </c>
      <c r="N149" s="1">
        <v>235.428</v>
      </c>
      <c r="O149" s="1">
        <v>0.257467</v>
      </c>
      <c r="P149" s="119">
        <v>235428</v>
      </c>
      <c r="Q149" s="127">
        <v>2472.73</v>
      </c>
      <c r="R149" s="78">
        <v>24.7273</v>
      </c>
      <c r="S149" s="78">
        <v>0.24727299999999999</v>
      </c>
      <c r="T149" s="50">
        <v>2.4727299999999998E-3</v>
      </c>
      <c r="U149" s="78">
        <v>3.8327399999999998</v>
      </c>
      <c r="V149" s="49">
        <v>2.66162E-2</v>
      </c>
      <c r="W149" s="51">
        <v>2.4727296775091598E-5</v>
      </c>
      <c r="X149" s="79">
        <v>2.4727296775091602E-7</v>
      </c>
      <c r="Y149" s="128">
        <v>6.1102481022608205E-7</v>
      </c>
      <c r="Z149" s="143">
        <v>6</v>
      </c>
      <c r="AA149" s="74">
        <v>87.714111000000003</v>
      </c>
      <c r="AB149" s="186">
        <v>87.714129999999997</v>
      </c>
      <c r="AC149" s="185">
        <v>60</v>
      </c>
      <c r="AD149" s="19" t="s">
        <v>6</v>
      </c>
      <c r="AE149" s="22">
        <v>77.777777</v>
      </c>
      <c r="AF149" s="22">
        <v>77.777777</v>
      </c>
      <c r="AG149" s="200">
        <v>44.444445999999999</v>
      </c>
      <c r="AH149" s="19" t="s">
        <v>32</v>
      </c>
      <c r="AI149" s="187">
        <v>23.5428</v>
      </c>
      <c r="AJ149" s="2">
        <v>0.77240200000000003</v>
      </c>
      <c r="AK149" s="2">
        <v>9.2688199999999998</v>
      </c>
      <c r="AL149" s="2">
        <v>0.235428</v>
      </c>
      <c r="AM149" s="2">
        <v>1.4628800000000001E-4</v>
      </c>
      <c r="AN149" s="2">
        <f>AA149+AB149+AC149</f>
        <v>235.42824100000001</v>
      </c>
      <c r="AO149" s="2">
        <v>0.257467</v>
      </c>
      <c r="AP149" s="16">
        <v>235428</v>
      </c>
      <c r="AQ149" s="15">
        <f>SQRT((AN149/2)*(AN149/2-AA149)*(AN149/2-AB149)*(AN149/2-AC149))</f>
        <v>2472.7293102115036</v>
      </c>
      <c r="AR149" s="12">
        <v>24.7273</v>
      </c>
      <c r="AS149" s="2">
        <v>0.24727299999999999</v>
      </c>
      <c r="AT149" s="23">
        <v>2.4727299999999998E-3</v>
      </c>
      <c r="AU149" s="2">
        <v>3.8327399999999998</v>
      </c>
      <c r="AV149" s="2">
        <v>2.66162E-2</v>
      </c>
      <c r="AW149" s="31">
        <v>2.47273E-5</v>
      </c>
      <c r="AX149" s="32">
        <v>2.4727299999999999E-7</v>
      </c>
      <c r="AY149" s="266">
        <v>6.1102488991530404E-7</v>
      </c>
      <c r="AZ149" s="270" t="s">
        <v>6</v>
      </c>
      <c r="BA149" s="217">
        <f t="shared" si="58"/>
        <v>2.3946993662342418E-5</v>
      </c>
      <c r="BB149" s="73">
        <f t="shared" si="59"/>
        <v>2.2857122421299947E-6</v>
      </c>
      <c r="BC149" s="230">
        <f>(100*(G149-AG149))/AG149</f>
        <v>-3.4999909744449706E-6</v>
      </c>
      <c r="BD149" s="274" t="s">
        <v>32</v>
      </c>
      <c r="BE149" s="134">
        <f t="shared" si="41"/>
        <v>0</v>
      </c>
      <c r="BF149" s="82">
        <f t="shared" si="42"/>
        <v>0</v>
      </c>
      <c r="BG149" s="82">
        <f t="shared" si="43"/>
        <v>1.0788859854459816E-4</v>
      </c>
      <c r="BH149" s="82">
        <f t="shared" si="44"/>
        <v>0</v>
      </c>
      <c r="BI149" s="82">
        <f t="shared" si="45"/>
        <v>0</v>
      </c>
      <c r="BJ149" s="82">
        <f t="shared" si="61"/>
        <v>-1.0236664853508848E-4</v>
      </c>
      <c r="BK149" s="83">
        <f t="shared" si="47"/>
        <v>0</v>
      </c>
      <c r="BL149" s="96">
        <f t="shared" si="48"/>
        <v>0</v>
      </c>
      <c r="BM149" s="139">
        <f t="shared" si="49"/>
        <v>2.7895835324687756E-5</v>
      </c>
      <c r="BN149" s="80">
        <f t="shared" si="50"/>
        <v>0</v>
      </c>
      <c r="BO149" s="83">
        <f t="shared" si="51"/>
        <v>0</v>
      </c>
      <c r="BP149" s="80">
        <f t="shared" si="52"/>
        <v>0</v>
      </c>
      <c r="BQ149" s="80">
        <f t="shared" si="53"/>
        <v>0</v>
      </c>
      <c r="BR149" s="81">
        <f t="shared" si="54"/>
        <v>0</v>
      </c>
      <c r="BS149" s="80">
        <f t="shared" si="55"/>
        <v>-1.3041894590868774E-5</v>
      </c>
      <c r="BT149" s="80">
        <f t="shared" si="56"/>
        <v>-1.3041894574597663E-5</v>
      </c>
      <c r="BU149" s="96">
        <f t="shared" si="57"/>
        <v>-1.3041894579298353E-5</v>
      </c>
    </row>
    <row r="150" spans="1:73" x14ac:dyDescent="0.25">
      <c r="A150" s="171">
        <v>139.019240211328</v>
      </c>
      <c r="B150" s="57">
        <v>90.498152917904605</v>
      </c>
      <c r="C150" s="112">
        <v>74</v>
      </c>
      <c r="D150" s="211" t="s">
        <v>7</v>
      </c>
      <c r="E150" s="246">
        <v>127.77777777777899</v>
      </c>
      <c r="F150" s="60">
        <v>40.173222222221099</v>
      </c>
      <c r="G150" s="175">
        <v>32.0489999999999</v>
      </c>
      <c r="H150" s="166" t="s">
        <v>32</v>
      </c>
      <c r="I150" s="118">
        <v>27753.599999999999</v>
      </c>
      <c r="J150" s="1">
        <v>910.55200000000002</v>
      </c>
      <c r="K150" s="1">
        <v>10926.6</v>
      </c>
      <c r="L150" s="1">
        <v>277.536</v>
      </c>
      <c r="M150" s="1">
        <v>0.172453</v>
      </c>
      <c r="N150" s="1">
        <v>277536</v>
      </c>
      <c r="O150" s="1">
        <v>303.517</v>
      </c>
      <c r="P150" s="119">
        <v>277536304</v>
      </c>
      <c r="Q150" s="118">
        <v>2537403798</v>
      </c>
      <c r="R150" s="1">
        <v>25374038</v>
      </c>
      <c r="S150" s="1">
        <v>253740</v>
      </c>
      <c r="T150" s="1">
        <v>2537.4</v>
      </c>
      <c r="U150" s="1">
        <v>3932984</v>
      </c>
      <c r="V150" s="1">
        <v>27312.400000000001</v>
      </c>
      <c r="W150" s="1">
        <v>25.373999999999999</v>
      </c>
      <c r="X150" s="1">
        <v>0.25374000000000002</v>
      </c>
      <c r="Y150" s="119">
        <v>0.62700599999999995</v>
      </c>
      <c r="Z150" s="143">
        <v>7</v>
      </c>
      <c r="AA150" s="15">
        <v>139.019408</v>
      </c>
      <c r="AB150" s="2">
        <v>90.498295999999996</v>
      </c>
      <c r="AC150" s="16">
        <v>74</v>
      </c>
      <c r="AD150" s="19" t="s">
        <v>7</v>
      </c>
      <c r="AE150" s="22">
        <v>127.777777</v>
      </c>
      <c r="AF150" s="22">
        <v>40.173267000000003</v>
      </c>
      <c r="AG150" s="200">
        <v>32.048954999999999</v>
      </c>
      <c r="AH150" s="19" t="s">
        <v>32</v>
      </c>
      <c r="AI150" s="13">
        <v>27753.7</v>
      </c>
      <c r="AJ150" s="2">
        <v>910.55399999999997</v>
      </c>
      <c r="AK150" s="2">
        <v>10926.6</v>
      </c>
      <c r="AL150" s="2">
        <v>277.53699999999998</v>
      </c>
      <c r="AM150" s="2">
        <v>0.172453</v>
      </c>
      <c r="AN150" s="2">
        <v>277537</v>
      </c>
      <c r="AO150" s="2">
        <f>AA150+AB150+AC150</f>
        <v>303.51770399999998</v>
      </c>
      <c r="AP150" s="16">
        <v>277536859</v>
      </c>
      <c r="AQ150" s="15">
        <v>2537410000</v>
      </c>
      <c r="AR150" s="12">
        <v>25374100</v>
      </c>
      <c r="AS150" s="2">
        <v>253741</v>
      </c>
      <c r="AT150" s="2">
        <f>SQRT((AO150/2)*(AO150/2-AA150)*(AO150/2-AB150)*(AO150/2-AC150))*0.9144*0.9144</f>
        <v>2537.4066591919941</v>
      </c>
      <c r="AU150" s="2">
        <v>3932993</v>
      </c>
      <c r="AV150" s="2">
        <v>27312.5</v>
      </c>
      <c r="AW150" s="2">
        <v>25.374099999999999</v>
      </c>
      <c r="AX150" s="2">
        <v>0.25374099999999999</v>
      </c>
      <c r="AY150" s="16">
        <v>0.62700800000000001</v>
      </c>
      <c r="AZ150" s="270" t="s">
        <v>7</v>
      </c>
      <c r="BA150" s="217">
        <f t="shared" si="58"/>
        <v>-1.2069442275407625E-4</v>
      </c>
      <c r="BB150" s="73">
        <f t="shared" si="59"/>
        <v>-1.5810473977474456E-4</v>
      </c>
      <c r="BC150" s="230">
        <f t="shared" ref="BC150:BC151" si="62">(100*(G150-AG150))/AG150</f>
        <v>1.4041019403158943E-4</v>
      </c>
      <c r="BD150" s="274" t="s">
        <v>32</v>
      </c>
      <c r="BE150" s="134">
        <f t="shared" si="41"/>
        <v>-3.6031231872572951E-4</v>
      </c>
      <c r="BF150" s="82">
        <f t="shared" si="42"/>
        <v>-2.1964650091622312E-4</v>
      </c>
      <c r="BG150" s="82">
        <f t="shared" si="43"/>
        <v>0</v>
      </c>
      <c r="BH150" s="82">
        <f t="shared" si="44"/>
        <v>-3.603123187093444E-4</v>
      </c>
      <c r="BI150" s="82">
        <f t="shared" si="45"/>
        <v>0</v>
      </c>
      <c r="BJ150" s="82">
        <f t="shared" si="61"/>
        <v>-3.6031231871786466E-4</v>
      </c>
      <c r="BK150" s="83">
        <f t="shared" si="47"/>
        <v>-2.3194693116969443E-4</v>
      </c>
      <c r="BL150" s="96">
        <f t="shared" si="48"/>
        <v>-1.9997343848299443E-4</v>
      </c>
      <c r="BM150" s="139">
        <f t="shared" si="49"/>
        <v>-2.44422462274524E-4</v>
      </c>
      <c r="BN150" s="80">
        <f t="shared" si="50"/>
        <v>-2.443436417449289E-4</v>
      </c>
      <c r="BO150" s="83">
        <f t="shared" si="51"/>
        <v>-3.9410264797569173E-4</v>
      </c>
      <c r="BP150" s="80">
        <f t="shared" si="52"/>
        <v>-2.6244086535676998E-4</v>
      </c>
      <c r="BQ150" s="80">
        <f t="shared" si="53"/>
        <v>-2.2883335922540415E-4</v>
      </c>
      <c r="BR150" s="81">
        <f t="shared" si="54"/>
        <v>-3.6613272310680021E-4</v>
      </c>
      <c r="BS150" s="80">
        <f t="shared" si="55"/>
        <v>-3.941026479747733E-4</v>
      </c>
      <c r="BT150" s="80">
        <f t="shared" si="56"/>
        <v>-3.9410264796514737E-4</v>
      </c>
      <c r="BU150" s="96">
        <f t="shared" si="57"/>
        <v>-3.1897519649789336E-4</v>
      </c>
    </row>
    <row r="151" spans="1:73" ht="15.75" thickBot="1" x14ac:dyDescent="0.3">
      <c r="A151" s="176">
        <v>98.697663796935899</v>
      </c>
      <c r="B151" s="177">
        <v>130.976223647756</v>
      </c>
      <c r="C151" s="254">
        <v>164</v>
      </c>
      <c r="D151" s="212" t="s">
        <v>20</v>
      </c>
      <c r="E151" s="256">
        <v>41.111111111111001</v>
      </c>
      <c r="F151" s="178">
        <v>58.888888888889198</v>
      </c>
      <c r="G151" s="181">
        <v>99.999999999999801</v>
      </c>
      <c r="H151" s="167" t="s">
        <v>32</v>
      </c>
      <c r="I151" s="121">
        <v>3.9367399999999997E-2</v>
      </c>
      <c r="J151" s="64">
        <v>1.2915800000000001E-3</v>
      </c>
      <c r="K151" s="55">
        <v>1.5499000000000001E-2</v>
      </c>
      <c r="L151" s="62">
        <v>3.93674E-4</v>
      </c>
      <c r="M151" s="65">
        <v>2.4461761279421398E-7</v>
      </c>
      <c r="N151" s="66">
        <v>0.39367400000000002</v>
      </c>
      <c r="O151" s="64">
        <v>4.3052699999999999E-4</v>
      </c>
      <c r="P151" s="122">
        <v>393.67399999999998</v>
      </c>
      <c r="Q151" s="129">
        <v>6.4635200000000004E-3</v>
      </c>
      <c r="R151" s="67">
        <v>6.46352364348926E-5</v>
      </c>
      <c r="S151" s="68">
        <v>6.4635236434892597E-7</v>
      </c>
      <c r="T151" s="69">
        <v>6.4635236434892601E-9</v>
      </c>
      <c r="U151" s="67">
        <v>1.00184816843717E-5</v>
      </c>
      <c r="V151" s="68">
        <v>6.9572789474803603E-8</v>
      </c>
      <c r="W151" s="70">
        <v>6.4635236434892597E-11</v>
      </c>
      <c r="X151" s="71">
        <v>6.46352364348926E-13</v>
      </c>
      <c r="Y151" s="72">
        <v>1.59717147554646E-12</v>
      </c>
      <c r="Z151" s="144">
        <v>8</v>
      </c>
      <c r="AA151" s="17">
        <v>98.697691000000006</v>
      </c>
      <c r="AB151" s="9">
        <v>130.97607199999999</v>
      </c>
      <c r="AC151" s="10">
        <v>164</v>
      </c>
      <c r="AD151" s="20" t="s">
        <v>20</v>
      </c>
      <c r="AE151" s="197">
        <v>41.111113000000003</v>
      </c>
      <c r="AF151" s="197">
        <v>58.888886999999997</v>
      </c>
      <c r="AG151" s="201">
        <v>100</v>
      </c>
      <c r="AH151" s="20" t="s">
        <v>32</v>
      </c>
      <c r="AI151" s="261">
        <v>3.9367399999999997E-2</v>
      </c>
      <c r="AJ151" s="9">
        <v>1.2915800000000001E-3</v>
      </c>
      <c r="AK151" s="9">
        <v>1.5499000000000001E-2</v>
      </c>
      <c r="AL151" s="9">
        <v>3.93674E-4</v>
      </c>
      <c r="AM151" s="203">
        <v>2.4461768273283997E-7</v>
      </c>
      <c r="AN151" s="9">
        <v>0.39367400000000002</v>
      </c>
      <c r="AO151" s="9">
        <v>4.3052699999999999E-4</v>
      </c>
      <c r="AP151" s="10">
        <f>AA151+AB151+AC151</f>
        <v>393.67376300000001</v>
      </c>
      <c r="AQ151" s="17">
        <f>SQRT((AP151/2)*(AP151/2-AA151)*(AP151/2-AB151)*(AP151/2-AC151))/1000000</f>
        <v>6.4635179413191713E-3</v>
      </c>
      <c r="AR151" s="267">
        <v>6.4635199999999994E-5</v>
      </c>
      <c r="AS151" s="189">
        <v>6.4635200000000002E-7</v>
      </c>
      <c r="AT151" s="190">
        <v>6.46352E-9</v>
      </c>
      <c r="AU151" s="36">
        <v>1.00184760369521E-5</v>
      </c>
      <c r="AV151" s="206">
        <v>6.9572750256611599E-8</v>
      </c>
      <c r="AW151" s="191">
        <v>6.4635200000000004E-11</v>
      </c>
      <c r="AX151" s="192">
        <v>6.4635200000000001E-13</v>
      </c>
      <c r="AY151" s="268">
        <v>1.5971705752206499E-12</v>
      </c>
      <c r="AZ151" s="271" t="s">
        <v>20</v>
      </c>
      <c r="BA151" s="218">
        <f t="shared" si="58"/>
        <v>-2.7562006599611507E-5</v>
      </c>
      <c r="BB151" s="97">
        <f t="shared" si="59"/>
        <v>1.1578279429013758E-4</v>
      </c>
      <c r="BC151" s="231">
        <f t="shared" si="62"/>
        <v>-1.9895196601282805E-13</v>
      </c>
      <c r="BD151" s="275" t="s">
        <v>32</v>
      </c>
      <c r="BE151" s="135">
        <f t="shared" si="41"/>
        <v>0</v>
      </c>
      <c r="BF151" s="98">
        <f t="shared" si="42"/>
        <v>0</v>
      </c>
      <c r="BG151" s="98">
        <f t="shared" si="43"/>
        <v>0</v>
      </c>
      <c r="BH151" s="98">
        <f t="shared" si="44"/>
        <v>0</v>
      </c>
      <c r="BI151" s="98">
        <f t="shared" si="45"/>
        <v>-2.8590993591397755E-5</v>
      </c>
      <c r="BJ151" s="98">
        <f t="shared" si="61"/>
        <v>0</v>
      </c>
      <c r="BK151" s="99">
        <f t="shared" si="47"/>
        <v>0</v>
      </c>
      <c r="BL151" s="102">
        <f t="shared" si="48"/>
        <v>6.020213238596414E-5</v>
      </c>
      <c r="BM151" s="140">
        <f t="shared" si="49"/>
        <v>3.1850779216487004E-5</v>
      </c>
      <c r="BN151" s="100">
        <f t="shared" si="50"/>
        <v>5.637004698009154E-5</v>
      </c>
      <c r="BO151" s="99">
        <f t="shared" si="51"/>
        <v>5.6370046964365743E-5</v>
      </c>
      <c r="BP151" s="100">
        <f t="shared" si="52"/>
        <v>5.6370046972556261E-5</v>
      </c>
      <c r="BQ151" s="100">
        <f t="shared" si="53"/>
        <v>5.6370046490118772E-5</v>
      </c>
      <c r="BR151" s="101">
        <f t="shared" si="54"/>
        <v>5.6370046978378358E-5</v>
      </c>
      <c r="BS151" s="100">
        <f t="shared" si="55"/>
        <v>5.6370046960558432E-5</v>
      </c>
      <c r="BT151" s="100">
        <f t="shared" si="56"/>
        <v>5.6370046969306852E-5</v>
      </c>
      <c r="BU151" s="102">
        <f t="shared" si="57"/>
        <v>5.6370047388078573E-5</v>
      </c>
    </row>
    <row r="152" spans="1:73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146"/>
      <c r="K152" s="3"/>
      <c r="L152" s="147"/>
      <c r="M152" s="148"/>
      <c r="N152" s="149"/>
      <c r="O152" s="146"/>
      <c r="P152" s="3"/>
      <c r="Q152" s="150"/>
      <c r="R152" s="151"/>
      <c r="S152" s="152"/>
      <c r="T152" s="153"/>
      <c r="U152" s="151"/>
      <c r="V152" s="152"/>
      <c r="W152" s="154"/>
      <c r="X152" s="155"/>
      <c r="Y152" s="156"/>
      <c r="Z152" s="157"/>
      <c r="AA152" s="3"/>
      <c r="AB152" s="3"/>
      <c r="AC152" s="3"/>
      <c r="AD152" s="3"/>
      <c r="AE152" s="3"/>
      <c r="AF152" s="3"/>
      <c r="AG152" s="3"/>
      <c r="AH152" s="3"/>
      <c r="AI152" s="3"/>
      <c r="AJ152" s="146"/>
      <c r="AK152" s="3"/>
      <c r="AL152" s="158"/>
      <c r="AM152" s="148"/>
      <c r="AN152" s="3"/>
      <c r="AO152" s="146"/>
      <c r="AP152" s="3"/>
      <c r="AQ152" s="3"/>
      <c r="AR152" s="159"/>
      <c r="AS152" s="159"/>
      <c r="AT152" s="159"/>
      <c r="AU152" s="160"/>
      <c r="AV152" s="160"/>
      <c r="AW152" s="159"/>
      <c r="AX152" s="159"/>
      <c r="AY152" s="160"/>
      <c r="AZ152" s="3"/>
      <c r="BA152" s="150"/>
      <c r="BB152" s="150"/>
      <c r="BC152" s="150"/>
      <c r="BD152" s="3"/>
      <c r="BE152" s="161"/>
      <c r="BF152" s="161"/>
      <c r="BG152" s="161"/>
      <c r="BH152" s="161"/>
      <c r="BI152" s="161"/>
      <c r="BJ152" s="161"/>
      <c r="BK152" s="162"/>
      <c r="BL152" s="146"/>
      <c r="BM152" s="146"/>
      <c r="BN152" s="146"/>
      <c r="BO152" s="162"/>
      <c r="BP152" s="146"/>
      <c r="BQ152" s="146"/>
      <c r="BR152" s="153"/>
      <c r="BS152" s="146"/>
      <c r="BT152" s="146"/>
      <c r="BU152" s="146"/>
    </row>
    <row r="153" spans="1:73" x14ac:dyDescent="0.25">
      <c r="A153" s="625"/>
      <c r="B153" s="625"/>
      <c r="C153" s="625"/>
      <c r="D153" s="625"/>
      <c r="E153" s="625"/>
      <c r="F153" s="625"/>
      <c r="G153" s="625"/>
      <c r="H153" s="625"/>
      <c r="I153" s="625"/>
      <c r="J153" s="625"/>
      <c r="K153" s="625"/>
      <c r="L153" s="625"/>
      <c r="M153" s="625"/>
      <c r="N153" s="625"/>
      <c r="O153" s="625"/>
      <c r="P153" s="625"/>
      <c r="Q153" s="625"/>
      <c r="R153" s="625"/>
      <c r="S153" s="625"/>
      <c r="T153" s="625"/>
      <c r="U153" s="625"/>
      <c r="V153" s="625"/>
      <c r="W153" s="625"/>
      <c r="X153" s="625"/>
      <c r="Y153" s="625"/>
      <c r="Z153" s="625"/>
      <c r="AA153" s="625"/>
      <c r="AB153" s="625"/>
      <c r="AC153" s="625"/>
      <c r="AD153" s="625"/>
      <c r="AE153" s="625"/>
      <c r="AF153" s="625"/>
      <c r="AG153" s="625"/>
      <c r="AH153" s="625"/>
      <c r="AI153" s="625"/>
      <c r="AJ153" s="625"/>
      <c r="AK153" s="625"/>
    </row>
    <row r="154" spans="1:73" ht="18.75" x14ac:dyDescent="0.3">
      <c r="A154" s="625"/>
      <c r="B154" s="625"/>
      <c r="C154" s="625"/>
      <c r="D154" s="633">
        <v>1</v>
      </c>
      <c r="E154" s="625"/>
      <c r="F154" s="625"/>
      <c r="G154" s="625"/>
      <c r="H154" s="635">
        <v>2</v>
      </c>
      <c r="I154" s="625"/>
      <c r="J154" s="625"/>
      <c r="K154" s="625"/>
      <c r="L154" s="633">
        <v>3</v>
      </c>
      <c r="M154" s="632"/>
      <c r="N154" s="625"/>
      <c r="O154" s="625"/>
      <c r="P154" s="625"/>
      <c r="Q154" s="633">
        <v>4</v>
      </c>
      <c r="R154" s="632"/>
      <c r="S154" s="625"/>
      <c r="T154" s="625"/>
      <c r="U154" s="633">
        <v>5</v>
      </c>
      <c r="V154" s="632"/>
      <c r="W154" s="625"/>
      <c r="X154" s="633">
        <v>6</v>
      </c>
      <c r="Y154" s="632"/>
      <c r="Z154" s="625"/>
      <c r="AA154" s="625"/>
      <c r="AB154" s="652">
        <v>7</v>
      </c>
      <c r="AC154" s="625"/>
      <c r="AD154" s="625"/>
      <c r="AE154" s="632"/>
      <c r="AF154" s="625"/>
      <c r="AG154" s="625"/>
      <c r="AH154" s="651">
        <v>8</v>
      </c>
      <c r="AI154" s="625"/>
      <c r="AJ154" s="625"/>
      <c r="AK154" s="625"/>
      <c r="AL154" s="5"/>
    </row>
    <row r="155" spans="1:73" x14ac:dyDescent="0.25">
      <c r="A155" s="625"/>
      <c r="B155" s="625"/>
      <c r="C155" s="625"/>
      <c r="D155" s="625"/>
      <c r="E155" s="625"/>
      <c r="F155" s="625"/>
      <c r="G155" s="625"/>
      <c r="H155" s="625"/>
      <c r="I155" s="625"/>
      <c r="J155" s="625"/>
      <c r="K155" s="625"/>
      <c r="L155" s="625"/>
      <c r="M155" s="625"/>
      <c r="N155" s="625"/>
      <c r="O155" s="625"/>
      <c r="P155" s="625"/>
      <c r="Q155" s="625"/>
      <c r="R155" s="625"/>
      <c r="S155" s="625"/>
      <c r="T155" s="625"/>
      <c r="U155" s="625"/>
      <c r="V155" s="625"/>
      <c r="W155" s="625"/>
      <c r="X155" s="625"/>
      <c r="Y155" s="625"/>
      <c r="Z155" s="625"/>
      <c r="AA155" s="625"/>
      <c r="AB155" s="625"/>
      <c r="AC155" s="625"/>
      <c r="AD155" s="625"/>
      <c r="AE155" s="625"/>
      <c r="AF155" s="625"/>
      <c r="AG155" s="625"/>
      <c r="AH155" s="625"/>
      <c r="AI155" s="625"/>
      <c r="AJ155" s="625"/>
      <c r="AK155" s="625"/>
    </row>
    <row r="156" spans="1:73" x14ac:dyDescent="0.25">
      <c r="A156" s="625"/>
      <c r="B156" s="625"/>
      <c r="C156" s="625"/>
      <c r="D156" s="625"/>
      <c r="E156" s="625"/>
      <c r="F156" s="625"/>
      <c r="G156" s="625"/>
      <c r="H156" s="625"/>
      <c r="I156" s="625"/>
      <c r="J156" s="625"/>
      <c r="K156" s="625"/>
      <c r="L156" s="625"/>
      <c r="M156" s="625"/>
      <c r="N156" s="625"/>
      <c r="O156" s="625"/>
      <c r="P156" s="625"/>
      <c r="Q156" s="625"/>
      <c r="R156" s="625"/>
      <c r="S156" s="625"/>
      <c r="T156" s="625"/>
      <c r="U156" s="625"/>
      <c r="V156" s="625"/>
      <c r="W156" s="625"/>
      <c r="X156" s="625"/>
      <c r="Y156" s="625"/>
      <c r="Z156" s="625"/>
      <c r="AA156" s="625"/>
      <c r="AB156" s="625"/>
      <c r="AC156" s="625"/>
      <c r="AD156" s="625"/>
      <c r="AE156" s="625"/>
      <c r="AF156" s="625"/>
      <c r="AG156" s="625"/>
      <c r="AH156" s="625"/>
      <c r="AI156" s="625"/>
      <c r="AJ156" s="625"/>
      <c r="AK156" s="625"/>
    </row>
    <row r="157" spans="1:73" x14ac:dyDescent="0.25">
      <c r="A157" s="625"/>
      <c r="B157" s="625"/>
      <c r="C157" s="625"/>
      <c r="D157" s="625"/>
      <c r="E157" s="625"/>
      <c r="F157" s="625"/>
      <c r="G157" s="625"/>
      <c r="H157" s="625"/>
      <c r="I157" s="625"/>
      <c r="J157" s="625"/>
      <c r="K157" s="625"/>
      <c r="L157" s="625"/>
      <c r="M157" s="625"/>
      <c r="N157" s="625"/>
      <c r="O157" s="625"/>
      <c r="P157" s="625"/>
      <c r="Q157" s="625"/>
      <c r="R157" s="625"/>
      <c r="S157" s="625"/>
      <c r="T157" s="625"/>
      <c r="U157" s="625"/>
      <c r="V157" s="625"/>
      <c r="W157" s="625"/>
      <c r="X157" s="625"/>
      <c r="Y157" s="625"/>
      <c r="Z157" s="625"/>
      <c r="AA157" s="625"/>
      <c r="AB157" s="625"/>
      <c r="AC157" s="625"/>
      <c r="AD157" s="625"/>
      <c r="AE157" s="625"/>
      <c r="AF157" s="625"/>
      <c r="AG157" s="625"/>
      <c r="AH157" s="625"/>
      <c r="AI157" s="625"/>
      <c r="AJ157" s="625"/>
      <c r="AK157" s="625"/>
    </row>
    <row r="158" spans="1:73" x14ac:dyDescent="0.25">
      <c r="A158" s="625"/>
      <c r="B158" s="625"/>
      <c r="C158" s="625"/>
      <c r="D158" s="625"/>
      <c r="E158" s="625"/>
      <c r="F158" s="625"/>
      <c r="G158" s="625"/>
      <c r="H158" s="625"/>
      <c r="I158" s="625"/>
      <c r="J158" s="625"/>
      <c r="K158" s="625"/>
      <c r="L158" s="625"/>
      <c r="M158" s="625"/>
      <c r="N158" s="625"/>
      <c r="O158" s="625"/>
      <c r="P158" s="625"/>
      <c r="Q158" s="625"/>
      <c r="R158" s="625"/>
      <c r="S158" s="625"/>
      <c r="T158" s="625"/>
      <c r="U158" s="625"/>
      <c r="V158" s="625"/>
      <c r="W158" s="625"/>
      <c r="X158" s="625"/>
      <c r="Y158" s="625"/>
      <c r="Z158" s="625"/>
      <c r="AA158" s="625"/>
      <c r="AB158" s="625"/>
      <c r="AC158" s="625"/>
      <c r="AD158" s="625"/>
      <c r="AE158" s="625"/>
      <c r="AF158" s="625"/>
      <c r="AG158" s="625"/>
      <c r="AH158" s="625"/>
      <c r="AI158" s="625"/>
      <c r="AJ158" s="625"/>
      <c r="AK158" s="625"/>
    </row>
    <row r="159" spans="1:73" x14ac:dyDescent="0.25">
      <c r="A159" s="625"/>
      <c r="B159" s="625"/>
      <c r="C159" s="625"/>
      <c r="D159" s="625"/>
      <c r="E159" s="625"/>
      <c r="F159" s="625"/>
      <c r="G159" s="625"/>
      <c r="H159" s="625"/>
      <c r="I159" s="625"/>
      <c r="J159" s="625"/>
      <c r="K159" s="625"/>
      <c r="L159" s="625"/>
      <c r="M159" s="625"/>
      <c r="N159" s="625"/>
      <c r="O159" s="625"/>
      <c r="P159" s="625"/>
      <c r="Q159" s="625"/>
      <c r="R159" s="625"/>
      <c r="S159" s="625"/>
      <c r="T159" s="625"/>
      <c r="U159" s="625"/>
      <c r="V159" s="625"/>
      <c r="W159" s="625"/>
      <c r="X159" s="625"/>
      <c r="Y159" s="625"/>
      <c r="Z159" s="625"/>
      <c r="AA159" s="625"/>
      <c r="AB159" s="625"/>
      <c r="AC159" s="625"/>
      <c r="AD159" s="625"/>
      <c r="AE159" s="625"/>
      <c r="AF159" s="625"/>
      <c r="AG159" s="625"/>
      <c r="AH159" s="625"/>
      <c r="AI159" s="625"/>
      <c r="AJ159" s="625"/>
      <c r="AK159" s="625"/>
    </row>
    <row r="160" spans="1:73" x14ac:dyDescent="0.25">
      <c r="A160" s="625"/>
      <c r="B160" s="625"/>
      <c r="C160" s="625"/>
      <c r="D160" s="625"/>
      <c r="E160" s="625"/>
      <c r="F160" s="625"/>
      <c r="G160" s="625"/>
      <c r="H160" s="625"/>
      <c r="I160" s="625"/>
      <c r="J160" s="625"/>
      <c r="K160" s="625"/>
      <c r="L160" s="625"/>
      <c r="M160" s="625"/>
      <c r="N160" s="625"/>
      <c r="O160" s="625"/>
      <c r="P160" s="625"/>
      <c r="Q160" s="625"/>
      <c r="R160" s="625"/>
      <c r="S160" s="625"/>
      <c r="T160" s="625"/>
      <c r="U160" s="625"/>
      <c r="V160" s="625"/>
      <c r="W160" s="625"/>
      <c r="X160" s="625"/>
      <c r="Y160" s="625"/>
      <c r="Z160" s="625"/>
      <c r="AA160" s="625"/>
      <c r="AB160" s="625"/>
      <c r="AC160" s="625"/>
      <c r="AD160" s="625"/>
      <c r="AE160" s="625"/>
      <c r="AF160" s="625"/>
      <c r="AG160" s="625"/>
      <c r="AH160" s="625"/>
      <c r="AI160" s="625"/>
      <c r="AJ160" s="625"/>
      <c r="AK160" s="625"/>
    </row>
    <row r="161" spans="1:73" x14ac:dyDescent="0.25">
      <c r="A161" s="625"/>
      <c r="B161" s="625"/>
      <c r="C161" s="625"/>
      <c r="D161" s="625"/>
      <c r="E161" s="625"/>
      <c r="F161" s="625"/>
      <c r="G161" s="625"/>
      <c r="H161" s="625"/>
      <c r="I161" s="625"/>
      <c r="J161" s="625"/>
      <c r="K161" s="625"/>
      <c r="L161" s="625"/>
      <c r="M161" s="625"/>
      <c r="N161" s="625"/>
      <c r="O161" s="625"/>
      <c r="P161" s="625"/>
      <c r="Q161" s="625"/>
      <c r="R161" s="625"/>
      <c r="S161" s="625"/>
      <c r="T161" s="625"/>
      <c r="U161" s="625"/>
      <c r="V161" s="625"/>
      <c r="W161" s="625"/>
      <c r="X161" s="625"/>
      <c r="Y161" s="625"/>
      <c r="Z161" s="625"/>
      <c r="AA161" s="625"/>
      <c r="AB161" s="625"/>
      <c r="AC161" s="625"/>
      <c r="AD161" s="625"/>
      <c r="AE161" s="625"/>
      <c r="AF161" s="625"/>
      <c r="AG161" s="625"/>
      <c r="AH161" s="625"/>
      <c r="AI161" s="625"/>
      <c r="AJ161" s="625"/>
      <c r="AK161" s="625"/>
    </row>
    <row r="162" spans="1:73" x14ac:dyDescent="0.25">
      <c r="A162" s="625"/>
      <c r="B162" s="625"/>
      <c r="C162" s="625"/>
      <c r="D162" s="625"/>
      <c r="E162" s="625"/>
      <c r="F162" s="625"/>
      <c r="G162" s="625"/>
      <c r="H162" s="625"/>
      <c r="I162" s="625"/>
      <c r="J162" s="625"/>
      <c r="K162" s="625"/>
      <c r="L162" s="625"/>
      <c r="M162" s="625"/>
      <c r="N162" s="625"/>
      <c r="O162" s="625"/>
      <c r="P162" s="625"/>
      <c r="Q162" s="625"/>
      <c r="R162" s="625"/>
      <c r="S162" s="625"/>
      <c r="T162" s="625"/>
      <c r="U162" s="625"/>
      <c r="V162" s="625"/>
      <c r="W162" s="625"/>
      <c r="X162" s="625"/>
      <c r="Y162" s="625"/>
      <c r="Z162" s="625"/>
      <c r="AA162" s="625"/>
      <c r="AB162" s="625"/>
      <c r="AC162" s="625"/>
      <c r="AD162" s="625"/>
      <c r="AE162" s="625"/>
      <c r="AF162" s="625"/>
      <c r="AG162" s="625"/>
      <c r="AH162" s="625"/>
      <c r="AI162" s="625"/>
      <c r="AJ162" s="625"/>
      <c r="AK162" s="625"/>
    </row>
    <row r="163" spans="1:73" x14ac:dyDescent="0.25">
      <c r="A163" s="625"/>
      <c r="B163" s="625"/>
      <c r="C163" s="625"/>
      <c r="D163" s="625"/>
      <c r="E163" s="625"/>
      <c r="F163" s="625"/>
      <c r="G163" s="625"/>
      <c r="H163" s="625"/>
      <c r="I163" s="625"/>
      <c r="J163" s="625"/>
      <c r="K163" s="625"/>
      <c r="L163" s="625"/>
      <c r="M163" s="625"/>
      <c r="N163" s="625"/>
      <c r="O163" s="625"/>
      <c r="P163" s="625"/>
      <c r="Q163" s="625"/>
      <c r="R163" s="625"/>
      <c r="S163" s="625"/>
      <c r="T163" s="625"/>
      <c r="U163" s="625"/>
      <c r="V163" s="625"/>
      <c r="W163" s="625"/>
      <c r="X163" s="625"/>
      <c r="Y163" s="625"/>
      <c r="Z163" s="625"/>
      <c r="AA163" s="625"/>
      <c r="AB163" s="625"/>
      <c r="AC163" s="625"/>
      <c r="AD163" s="625"/>
      <c r="AE163" s="625"/>
      <c r="AF163" s="625"/>
      <c r="AG163" s="625"/>
      <c r="AH163" s="625"/>
      <c r="AI163" s="625"/>
      <c r="AJ163" s="625"/>
      <c r="AK163" s="625"/>
    </row>
    <row r="164" spans="1:73" x14ac:dyDescent="0.25">
      <c r="A164" s="625"/>
      <c r="B164" s="625"/>
      <c r="C164" s="625"/>
      <c r="D164" s="625"/>
      <c r="E164" s="625"/>
      <c r="F164" s="625"/>
      <c r="G164" s="625"/>
      <c r="H164" s="625"/>
      <c r="I164" s="625"/>
      <c r="J164" s="625"/>
      <c r="K164" s="625"/>
      <c r="L164" s="625"/>
      <c r="M164" s="625"/>
      <c r="N164" s="625"/>
      <c r="O164" s="625"/>
      <c r="P164" s="625"/>
      <c r="Q164" s="625"/>
      <c r="R164" s="625"/>
      <c r="S164" s="625"/>
      <c r="T164" s="625"/>
      <c r="U164" s="625"/>
      <c r="V164" s="625"/>
      <c r="W164" s="625"/>
      <c r="X164" s="625"/>
      <c r="Y164" s="625"/>
      <c r="Z164" s="625"/>
      <c r="AA164" s="625"/>
      <c r="AB164" s="625"/>
      <c r="AC164" s="625"/>
      <c r="AD164" s="625"/>
      <c r="AE164" s="625"/>
      <c r="AF164" s="625"/>
      <c r="AG164" s="625"/>
      <c r="AH164" s="625"/>
      <c r="AI164" s="625"/>
      <c r="AJ164" s="625"/>
      <c r="AK164" s="625"/>
    </row>
    <row r="165" spans="1:73" x14ac:dyDescent="0.25">
      <c r="A165" s="625"/>
      <c r="B165" s="625"/>
      <c r="C165" s="625"/>
      <c r="D165" s="625"/>
      <c r="E165" s="625"/>
      <c r="F165" s="625"/>
      <c r="G165" s="625"/>
      <c r="H165" s="625"/>
      <c r="I165" s="625"/>
      <c r="J165" s="625"/>
      <c r="K165" s="625"/>
      <c r="L165" s="625"/>
      <c r="M165" s="625"/>
      <c r="N165" s="625"/>
      <c r="O165" s="625"/>
      <c r="P165" s="625"/>
      <c r="Q165" s="625"/>
      <c r="R165" s="625"/>
      <c r="S165" s="625"/>
      <c r="T165" s="625"/>
      <c r="U165" s="625"/>
      <c r="V165" s="625"/>
      <c r="W165" s="625"/>
      <c r="X165" s="625"/>
      <c r="Y165" s="625"/>
      <c r="Z165" s="625"/>
      <c r="AA165" s="625"/>
      <c r="AB165" s="625"/>
      <c r="AC165" s="625"/>
      <c r="AD165" s="625"/>
      <c r="AE165" s="625"/>
      <c r="AF165" s="625"/>
      <c r="AG165" s="625"/>
      <c r="AH165" s="625"/>
      <c r="AI165" s="625"/>
      <c r="AJ165" s="625"/>
      <c r="AK165" s="625"/>
    </row>
    <row r="166" spans="1:73" x14ac:dyDescent="0.25">
      <c r="A166" s="625"/>
      <c r="B166" s="625"/>
      <c r="C166" s="625"/>
      <c r="D166" s="625"/>
      <c r="E166" s="625"/>
      <c r="F166" s="625"/>
      <c r="G166" s="625"/>
      <c r="H166" s="625"/>
      <c r="I166" s="625"/>
      <c r="J166" s="625"/>
      <c r="K166" s="625"/>
      <c r="L166" s="625"/>
      <c r="M166" s="625"/>
      <c r="N166" s="625"/>
      <c r="O166" s="625"/>
      <c r="P166" s="625"/>
      <c r="Q166" s="625"/>
      <c r="R166" s="625"/>
      <c r="S166" s="625"/>
      <c r="T166" s="625"/>
      <c r="U166" s="625"/>
      <c r="V166" s="625"/>
      <c r="W166" s="625"/>
      <c r="X166" s="625"/>
      <c r="Y166" s="625"/>
      <c r="Z166" s="625"/>
      <c r="AA166" s="625"/>
      <c r="AB166" s="625"/>
      <c r="AC166" s="625"/>
      <c r="AD166" s="625"/>
      <c r="AE166" s="625"/>
      <c r="AF166" s="625"/>
      <c r="AG166" s="625"/>
      <c r="AH166" s="625"/>
      <c r="AI166" s="625"/>
      <c r="AJ166" s="625"/>
      <c r="AK166" s="625"/>
    </row>
    <row r="167" spans="1:73" x14ac:dyDescent="0.25">
      <c r="A167" s="625"/>
      <c r="B167" s="625"/>
      <c r="C167" s="625"/>
      <c r="D167" s="625"/>
      <c r="E167" s="625"/>
      <c r="F167" s="625"/>
      <c r="G167" s="625"/>
      <c r="H167" s="625"/>
      <c r="I167" s="625"/>
      <c r="J167" s="625"/>
      <c r="K167" s="625"/>
      <c r="L167" s="625"/>
      <c r="M167" s="625"/>
      <c r="N167" s="625"/>
      <c r="O167" s="625"/>
      <c r="P167" s="625"/>
      <c r="Q167" s="625"/>
      <c r="R167" s="625"/>
      <c r="S167" s="625"/>
      <c r="T167" s="625"/>
      <c r="U167" s="625"/>
      <c r="V167" s="625"/>
      <c r="W167" s="625"/>
      <c r="X167" s="625"/>
      <c r="Y167" s="625"/>
      <c r="Z167" s="625"/>
      <c r="AA167" s="625"/>
      <c r="AB167" s="625"/>
      <c r="AC167" s="625"/>
      <c r="AD167" s="625"/>
      <c r="AE167" s="625"/>
      <c r="AF167" s="625"/>
      <c r="AG167" s="625"/>
      <c r="AH167" s="625"/>
      <c r="AI167" s="625"/>
      <c r="AJ167" s="625"/>
      <c r="AK167" s="625"/>
    </row>
    <row r="168" spans="1:73" x14ac:dyDescent="0.25">
      <c r="A168" s="625"/>
      <c r="B168" s="625"/>
      <c r="C168" s="625"/>
      <c r="D168" s="625"/>
      <c r="E168" s="625"/>
      <c r="F168" s="625"/>
      <c r="G168" s="625"/>
      <c r="H168" s="625"/>
      <c r="I168" s="625"/>
      <c r="J168" s="625"/>
      <c r="K168" s="625"/>
      <c r="L168" s="625"/>
      <c r="M168" s="625"/>
      <c r="N168" s="625"/>
      <c r="O168" s="625"/>
      <c r="P168" s="625"/>
      <c r="Q168" s="625"/>
      <c r="R168" s="625"/>
      <c r="S168" s="625"/>
      <c r="T168" s="625"/>
      <c r="U168" s="625"/>
      <c r="V168" s="625"/>
      <c r="W168" s="625"/>
      <c r="X168" s="625"/>
      <c r="Y168" s="625"/>
      <c r="Z168" s="625"/>
      <c r="AA168" s="625"/>
      <c r="AB168" s="625"/>
      <c r="AC168" s="625"/>
      <c r="AD168" s="625"/>
      <c r="AE168" s="625"/>
      <c r="AF168" s="625"/>
      <c r="AG168" s="625"/>
      <c r="AH168" s="625"/>
      <c r="AI168" s="625"/>
      <c r="AJ168" s="625"/>
      <c r="AK168" s="625"/>
    </row>
    <row r="169" spans="1:73" x14ac:dyDescent="0.25">
      <c r="A169" s="625"/>
      <c r="B169" s="625"/>
      <c r="C169" s="625"/>
      <c r="D169" s="625"/>
      <c r="E169" s="625"/>
      <c r="F169" s="625"/>
      <c r="G169" s="625"/>
      <c r="H169" s="625"/>
      <c r="I169" s="625"/>
      <c r="J169" s="625"/>
      <c r="K169" s="625"/>
      <c r="L169" s="625"/>
      <c r="M169" s="625"/>
      <c r="N169" s="625"/>
      <c r="O169" s="625"/>
      <c r="P169" s="625"/>
      <c r="Q169" s="625"/>
      <c r="R169" s="625"/>
      <c r="S169" s="625"/>
      <c r="T169" s="625"/>
      <c r="U169" s="625"/>
      <c r="V169" s="625"/>
      <c r="W169" s="625"/>
      <c r="X169" s="625"/>
      <c r="Y169" s="625"/>
      <c r="Z169" s="625"/>
      <c r="AA169" s="625"/>
      <c r="AB169" s="625"/>
      <c r="AC169" s="625"/>
      <c r="AD169" s="625"/>
      <c r="AE169" s="625"/>
      <c r="AF169" s="625"/>
      <c r="AG169" s="625"/>
      <c r="AH169" s="625"/>
      <c r="AI169" s="625"/>
      <c r="AJ169" s="625"/>
      <c r="AK169" s="625"/>
    </row>
    <row r="170" spans="1:73" x14ac:dyDescent="0.25">
      <c r="A170" s="625"/>
      <c r="B170" s="625"/>
      <c r="C170" s="625"/>
      <c r="D170" s="625"/>
      <c r="E170" s="625"/>
      <c r="F170" s="625"/>
      <c r="G170" s="625"/>
      <c r="H170" s="625"/>
      <c r="I170" s="625"/>
      <c r="J170" s="625"/>
      <c r="K170" s="625"/>
      <c r="L170" s="625"/>
      <c r="M170" s="625"/>
      <c r="N170" s="625"/>
      <c r="O170" s="625"/>
      <c r="P170" s="625"/>
      <c r="Q170" s="625"/>
      <c r="R170" s="625"/>
      <c r="S170" s="625"/>
      <c r="T170" s="625"/>
      <c r="U170" s="625"/>
      <c r="V170" s="625"/>
      <c r="W170" s="625"/>
      <c r="X170" s="625"/>
      <c r="Y170" s="625"/>
      <c r="Z170" s="625"/>
      <c r="AA170" s="625"/>
      <c r="AB170" s="625"/>
      <c r="AC170" s="625"/>
      <c r="AD170" s="625"/>
      <c r="AE170" s="625"/>
      <c r="AF170" s="625"/>
      <c r="AG170" s="625"/>
      <c r="AH170" s="625"/>
      <c r="AI170" s="625"/>
      <c r="AJ170" s="625"/>
      <c r="AK170" s="625"/>
    </row>
    <row r="171" spans="1:73" x14ac:dyDescent="0.25">
      <c r="A171" s="625"/>
      <c r="B171" s="625"/>
      <c r="C171" s="625"/>
      <c r="D171" s="625"/>
      <c r="E171" s="625"/>
      <c r="F171" s="625"/>
      <c r="G171" s="625"/>
      <c r="H171" s="625"/>
      <c r="I171" s="625"/>
      <c r="J171" s="625"/>
      <c r="K171" s="625"/>
      <c r="L171" s="625"/>
      <c r="M171" s="625"/>
      <c r="N171" s="625"/>
      <c r="O171" s="625"/>
      <c r="P171" s="625"/>
      <c r="Q171" s="625"/>
      <c r="R171" s="625"/>
      <c r="S171" s="625"/>
      <c r="T171" s="625"/>
      <c r="U171" s="625"/>
      <c r="V171" s="625"/>
      <c r="W171" s="625"/>
      <c r="X171" s="625"/>
      <c r="Y171" s="625"/>
      <c r="Z171" s="625"/>
      <c r="AA171" s="625"/>
      <c r="AB171" s="625"/>
      <c r="AC171" s="625"/>
      <c r="AD171" s="625"/>
      <c r="AE171" s="625"/>
      <c r="AF171" s="625"/>
      <c r="AG171" s="625"/>
      <c r="AH171" s="625"/>
      <c r="AI171" s="625"/>
      <c r="AJ171" s="625"/>
      <c r="AK171" s="625"/>
    </row>
    <row r="172" spans="1:73" x14ac:dyDescent="0.25">
      <c r="A172" s="625"/>
      <c r="B172" s="625"/>
      <c r="C172" s="625"/>
      <c r="D172" s="625"/>
      <c r="E172" s="625"/>
      <c r="F172" s="625"/>
      <c r="G172" s="625"/>
      <c r="H172" s="625"/>
      <c r="I172" s="625"/>
      <c r="J172" s="625"/>
      <c r="K172" s="625"/>
      <c r="L172" s="625"/>
      <c r="M172" s="625"/>
      <c r="N172" s="625"/>
      <c r="O172" s="625"/>
      <c r="P172" s="625"/>
      <c r="Q172" s="625"/>
      <c r="R172" s="625"/>
      <c r="S172" s="625"/>
      <c r="T172" s="625"/>
      <c r="U172" s="625"/>
      <c r="V172" s="625"/>
      <c r="W172" s="625"/>
      <c r="X172" s="625"/>
      <c r="Y172" s="625"/>
      <c r="Z172" s="625"/>
      <c r="AA172" s="625"/>
      <c r="AB172" s="625"/>
      <c r="AC172" s="625"/>
      <c r="AD172" s="625"/>
      <c r="AE172" s="625"/>
      <c r="AF172" s="625"/>
      <c r="AG172" s="625"/>
      <c r="AH172" s="625"/>
      <c r="AI172" s="625"/>
      <c r="AJ172" s="625"/>
      <c r="AK172" s="625"/>
    </row>
    <row r="173" spans="1:73" ht="15.75" thickBot="1" x14ac:dyDescent="0.3"/>
    <row r="174" spans="1:73" ht="15.75" customHeight="1" thickBot="1" x14ac:dyDescent="0.3">
      <c r="A174" s="915" t="s">
        <v>45</v>
      </c>
      <c r="B174" s="916"/>
      <c r="C174" s="916"/>
      <c r="D174" s="916"/>
      <c r="E174" s="916"/>
      <c r="F174" s="916"/>
      <c r="G174" s="916"/>
      <c r="H174" s="931"/>
      <c r="I174" s="917" t="s">
        <v>1</v>
      </c>
      <c r="J174" s="902"/>
      <c r="K174" s="902"/>
      <c r="L174" s="902"/>
      <c r="M174" s="902"/>
      <c r="N174" s="902"/>
      <c r="O174" s="902"/>
      <c r="P174" s="903"/>
      <c r="Q174" s="917" t="s">
        <v>0</v>
      </c>
      <c r="R174" s="902"/>
      <c r="S174" s="902"/>
      <c r="T174" s="902"/>
      <c r="U174" s="902"/>
      <c r="V174" s="902"/>
      <c r="W174" s="902"/>
      <c r="X174" s="902"/>
      <c r="Y174" s="903"/>
      <c r="Z174" s="918"/>
      <c r="AA174" s="919"/>
      <c r="AB174" s="919"/>
      <c r="AC174" s="919"/>
      <c r="AD174" s="919"/>
      <c r="AE174" s="919"/>
      <c r="AF174" s="919"/>
      <c r="AG174" s="919"/>
      <c r="AH174" s="932"/>
      <c r="AI174" s="888" t="s">
        <v>42</v>
      </c>
      <c r="AJ174" s="889"/>
      <c r="AK174" s="889"/>
      <c r="AL174" s="889"/>
      <c r="AM174" s="889"/>
      <c r="AN174" s="889"/>
      <c r="AO174" s="889"/>
      <c r="AP174" s="890"/>
      <c r="AQ174" s="888" t="s">
        <v>43</v>
      </c>
      <c r="AR174" s="902"/>
      <c r="AS174" s="902"/>
      <c r="AT174" s="902"/>
      <c r="AU174" s="902"/>
      <c r="AV174" s="902"/>
      <c r="AW174" s="902"/>
      <c r="AX174" s="902"/>
      <c r="AY174" s="903"/>
      <c r="AZ174" s="900"/>
      <c r="BA174" s="900"/>
      <c r="BB174" s="900"/>
      <c r="BC174" s="900"/>
      <c r="BD174" s="928"/>
      <c r="BE174" s="901" t="s">
        <v>1</v>
      </c>
      <c r="BF174" s="902"/>
      <c r="BG174" s="902"/>
      <c r="BH174" s="902"/>
      <c r="BI174" s="902"/>
      <c r="BJ174" s="902"/>
      <c r="BK174" s="902"/>
      <c r="BL174" s="903"/>
      <c r="BM174" s="901" t="s">
        <v>0</v>
      </c>
      <c r="BN174" s="902"/>
      <c r="BO174" s="902"/>
      <c r="BP174" s="902"/>
      <c r="BQ174" s="902"/>
      <c r="BR174" s="902"/>
      <c r="BS174" s="902"/>
      <c r="BT174" s="902"/>
      <c r="BU174" s="903"/>
    </row>
    <row r="175" spans="1:73" ht="15.75" customHeight="1" thickBot="1" x14ac:dyDescent="0.3">
      <c r="A175" s="907" t="s">
        <v>12</v>
      </c>
      <c r="B175" s="909" t="s">
        <v>13</v>
      </c>
      <c r="C175" s="909" t="s">
        <v>14</v>
      </c>
      <c r="D175" s="911" t="s">
        <v>15</v>
      </c>
      <c r="E175" s="909" t="s">
        <v>16</v>
      </c>
      <c r="F175" s="909" t="s">
        <v>17</v>
      </c>
      <c r="G175" s="909" t="s">
        <v>18</v>
      </c>
      <c r="H175" s="929" t="s">
        <v>19</v>
      </c>
      <c r="I175" s="906"/>
      <c r="J175" s="904"/>
      <c r="K175" s="904"/>
      <c r="L175" s="904"/>
      <c r="M175" s="904"/>
      <c r="N175" s="904"/>
      <c r="O175" s="904"/>
      <c r="P175" s="905"/>
      <c r="Q175" s="906"/>
      <c r="R175" s="904"/>
      <c r="S175" s="904"/>
      <c r="T175" s="904"/>
      <c r="U175" s="904"/>
      <c r="V175" s="904"/>
      <c r="W175" s="904"/>
      <c r="X175" s="904"/>
      <c r="Y175" s="905"/>
      <c r="Z175" s="912" t="s">
        <v>40</v>
      </c>
      <c r="AA175" s="914" t="s">
        <v>12</v>
      </c>
      <c r="AB175" s="914" t="s">
        <v>13</v>
      </c>
      <c r="AC175" s="914" t="s">
        <v>14</v>
      </c>
      <c r="AD175" s="912" t="s">
        <v>41</v>
      </c>
      <c r="AE175" s="914" t="s">
        <v>16</v>
      </c>
      <c r="AF175" s="914" t="s">
        <v>17</v>
      </c>
      <c r="AG175" s="914" t="s">
        <v>18</v>
      </c>
      <c r="AH175" s="912" t="s">
        <v>19</v>
      </c>
      <c r="AI175" s="891"/>
      <c r="AJ175" s="892"/>
      <c r="AK175" s="892"/>
      <c r="AL175" s="892"/>
      <c r="AM175" s="892"/>
      <c r="AN175" s="892"/>
      <c r="AO175" s="892"/>
      <c r="AP175" s="893"/>
      <c r="AQ175" s="906"/>
      <c r="AR175" s="904"/>
      <c r="AS175" s="904"/>
      <c r="AT175" s="904"/>
      <c r="AU175" s="904"/>
      <c r="AV175" s="904"/>
      <c r="AW175" s="904"/>
      <c r="AX175" s="904"/>
      <c r="AY175" s="905"/>
      <c r="AZ175" s="897" t="s">
        <v>15</v>
      </c>
      <c r="BA175" s="899" t="s">
        <v>12</v>
      </c>
      <c r="BB175" s="899" t="s">
        <v>46</v>
      </c>
      <c r="BC175" s="899" t="s">
        <v>17</v>
      </c>
      <c r="BD175" s="897" t="s">
        <v>19</v>
      </c>
      <c r="BE175" s="904"/>
      <c r="BF175" s="904"/>
      <c r="BG175" s="904"/>
      <c r="BH175" s="904"/>
      <c r="BI175" s="904"/>
      <c r="BJ175" s="904"/>
      <c r="BK175" s="904"/>
      <c r="BL175" s="905"/>
      <c r="BM175" s="906"/>
      <c r="BN175" s="904"/>
      <c r="BO175" s="904"/>
      <c r="BP175" s="904"/>
      <c r="BQ175" s="904"/>
      <c r="BR175" s="904"/>
      <c r="BS175" s="904"/>
      <c r="BT175" s="904"/>
      <c r="BU175" s="905"/>
    </row>
    <row r="176" spans="1:73" ht="15.75" thickBot="1" x14ac:dyDescent="0.3">
      <c r="A176" s="908"/>
      <c r="B176" s="910"/>
      <c r="C176" s="910"/>
      <c r="D176" s="910"/>
      <c r="E176" s="910"/>
      <c r="F176" s="910"/>
      <c r="G176" s="910"/>
      <c r="H176" s="936"/>
      <c r="I176" s="103" t="s">
        <v>9</v>
      </c>
      <c r="J176" s="104" t="s">
        <v>5</v>
      </c>
      <c r="K176" s="104" t="s">
        <v>8</v>
      </c>
      <c r="L176" s="104" t="s">
        <v>4</v>
      </c>
      <c r="M176" s="104" t="s">
        <v>10</v>
      </c>
      <c r="N176" s="104" t="s">
        <v>6</v>
      </c>
      <c r="O176" s="104" t="s">
        <v>7</v>
      </c>
      <c r="P176" s="105" t="s">
        <v>20</v>
      </c>
      <c r="Q176" s="103" t="s">
        <v>22</v>
      </c>
      <c r="R176" s="104" t="s">
        <v>23</v>
      </c>
      <c r="S176" s="104" t="s">
        <v>24</v>
      </c>
      <c r="T176" s="104" t="s">
        <v>25</v>
      </c>
      <c r="U176" s="104" t="s">
        <v>26</v>
      </c>
      <c r="V176" s="104" t="s">
        <v>27</v>
      </c>
      <c r="W176" s="104" t="s">
        <v>28</v>
      </c>
      <c r="X176" s="104" t="s">
        <v>29</v>
      </c>
      <c r="Y176" s="105" t="s">
        <v>30</v>
      </c>
      <c r="Z176" s="913"/>
      <c r="AA176" s="913"/>
      <c r="AB176" s="913"/>
      <c r="AC176" s="913"/>
      <c r="AD176" s="913"/>
      <c r="AE176" s="913"/>
      <c r="AF176" s="913"/>
      <c r="AG176" s="913"/>
      <c r="AH176" s="913"/>
      <c r="AI176" s="109" t="s">
        <v>9</v>
      </c>
      <c r="AJ176" s="110" t="s">
        <v>5</v>
      </c>
      <c r="AK176" s="110" t="s">
        <v>8</v>
      </c>
      <c r="AL176" s="110" t="s">
        <v>4</v>
      </c>
      <c r="AM176" s="110" t="s">
        <v>10</v>
      </c>
      <c r="AN176" s="110" t="s">
        <v>6</v>
      </c>
      <c r="AO176" s="110" t="s">
        <v>7</v>
      </c>
      <c r="AP176" s="111" t="s">
        <v>20</v>
      </c>
      <c r="AQ176" s="106" t="s">
        <v>22</v>
      </c>
      <c r="AR176" s="107" t="s">
        <v>23</v>
      </c>
      <c r="AS176" s="107" t="s">
        <v>24</v>
      </c>
      <c r="AT176" s="107" t="s">
        <v>25</v>
      </c>
      <c r="AU176" s="107" t="s">
        <v>26</v>
      </c>
      <c r="AV176" s="107" t="s">
        <v>27</v>
      </c>
      <c r="AW176" s="107" t="s">
        <v>28</v>
      </c>
      <c r="AX176" s="107" t="s">
        <v>29</v>
      </c>
      <c r="AY176" s="108" t="s">
        <v>30</v>
      </c>
      <c r="AZ176" s="898"/>
      <c r="BA176" s="920"/>
      <c r="BB176" s="920"/>
      <c r="BC176" s="920"/>
      <c r="BD176" s="937"/>
      <c r="BE176" s="132" t="s">
        <v>9</v>
      </c>
      <c r="BF176" s="132" t="s">
        <v>5</v>
      </c>
      <c r="BG176" s="132" t="s">
        <v>8</v>
      </c>
      <c r="BH176" s="132" t="s">
        <v>4</v>
      </c>
      <c r="BI176" s="132" t="s">
        <v>10</v>
      </c>
      <c r="BJ176" s="132" t="s">
        <v>6</v>
      </c>
      <c r="BK176" s="132" t="s">
        <v>7</v>
      </c>
      <c r="BL176" s="132" t="s">
        <v>20</v>
      </c>
      <c r="BM176" s="131" t="s">
        <v>22</v>
      </c>
      <c r="BN176" s="131" t="s">
        <v>23</v>
      </c>
      <c r="BO176" s="131" t="s">
        <v>24</v>
      </c>
      <c r="BP176" s="131" t="s">
        <v>25</v>
      </c>
      <c r="BQ176" s="131" t="s">
        <v>26</v>
      </c>
      <c r="BR176" s="131" t="s">
        <v>27</v>
      </c>
      <c r="BS176" s="131" t="s">
        <v>28</v>
      </c>
      <c r="BT176" s="131" t="s">
        <v>29</v>
      </c>
      <c r="BU176" s="132" t="s">
        <v>30</v>
      </c>
    </row>
    <row r="177" spans="1:73" x14ac:dyDescent="0.25">
      <c r="A177" s="219">
        <v>84.5179143751742</v>
      </c>
      <c r="B177" s="115">
        <v>73.891970000000001</v>
      </c>
      <c r="C177" s="115">
        <v>125</v>
      </c>
      <c r="D177" s="115" t="s">
        <v>9</v>
      </c>
      <c r="E177" s="115">
        <v>40.999995437761498</v>
      </c>
      <c r="F177" s="169">
        <v>35.000004562238502</v>
      </c>
      <c r="G177" s="289">
        <v>104</v>
      </c>
      <c r="H177" s="210" t="s">
        <v>21</v>
      </c>
      <c r="I177" s="114">
        <v>283.41000000000003</v>
      </c>
      <c r="J177" s="115">
        <v>9.2982200000000006</v>
      </c>
      <c r="K177" s="115">
        <v>111.57899999999999</v>
      </c>
      <c r="L177" s="115">
        <v>2.8340999999999998</v>
      </c>
      <c r="M177" s="116">
        <v>1.76103E-3</v>
      </c>
      <c r="N177" s="115">
        <v>2834.1</v>
      </c>
      <c r="O177" s="115">
        <v>3.0994100000000002</v>
      </c>
      <c r="P177" s="223">
        <v>2834099</v>
      </c>
      <c r="Q177" s="114">
        <v>302984</v>
      </c>
      <c r="R177" s="115">
        <v>3029.84</v>
      </c>
      <c r="S177" s="115">
        <v>30.298400000000001</v>
      </c>
      <c r="T177" s="115">
        <v>0.30298399999999998</v>
      </c>
      <c r="U177" s="115">
        <v>469.62700000000001</v>
      </c>
      <c r="V177" s="115">
        <v>3.2612999999999999</v>
      </c>
      <c r="W177" s="123">
        <v>3.0298399999999998E-3</v>
      </c>
      <c r="X177" s="124">
        <v>3.0298431029930901E-5</v>
      </c>
      <c r="Y177" s="125">
        <v>7.4869053575076807E-5</v>
      </c>
      <c r="Z177" s="225">
        <v>1</v>
      </c>
      <c r="AA177" s="13">
        <v>84.517947000000007</v>
      </c>
      <c r="AB177" s="7">
        <v>73.891970000000001</v>
      </c>
      <c r="AC177" s="14">
        <v>125</v>
      </c>
      <c r="AD177" s="18" t="s">
        <v>9</v>
      </c>
      <c r="AE177" s="13">
        <v>41</v>
      </c>
      <c r="AF177" s="7">
        <v>35</v>
      </c>
      <c r="AG177" s="14">
        <v>104</v>
      </c>
      <c r="AH177" s="18" t="s">
        <v>21</v>
      </c>
      <c r="AI177" s="13">
        <f>AA177+AB177+AC177</f>
        <v>283.40991700000001</v>
      </c>
      <c r="AJ177" s="2">
        <v>9.2982300000000002</v>
      </c>
      <c r="AK177" s="2">
        <v>111.57899999999999</v>
      </c>
      <c r="AL177" s="2">
        <v>2.8340999999999998</v>
      </c>
      <c r="AM177" s="2">
        <v>1.76103E-3</v>
      </c>
      <c r="AN177" s="2">
        <v>2834.1</v>
      </c>
      <c r="AO177" s="2">
        <v>3.0994100000000002</v>
      </c>
      <c r="AP177" s="184">
        <v>2834100</v>
      </c>
      <c r="AQ177" s="8">
        <v>302984</v>
      </c>
      <c r="AR177" s="12">
        <f>SQRT((AI177/2)*(AI177/2-AA177)*(AI177/2-AB177)*(AI177/2-AC177))</f>
        <v>3029.8446889956308</v>
      </c>
      <c r="AS177" s="7">
        <v>30.298400000000001</v>
      </c>
      <c r="AT177" s="7">
        <v>0.30298399999999998</v>
      </c>
      <c r="AU177" s="2">
        <v>469.62599999999998</v>
      </c>
      <c r="AV177" s="2">
        <v>3.2612899999999998</v>
      </c>
      <c r="AW177" s="21">
        <v>3.0298399999999998E-3</v>
      </c>
      <c r="AX177" s="22">
        <v>3.0298400000000001E-5</v>
      </c>
      <c r="AY177" s="41">
        <v>7.4868976898447595E-5</v>
      </c>
      <c r="AZ177" s="237" t="s">
        <v>9</v>
      </c>
      <c r="BA177" s="216">
        <f>(100*(A177-AA177))/AA177</f>
        <v>-3.8601062808870428E-5</v>
      </c>
      <c r="BB177" s="90">
        <f>(100*(E177-AE177))/AE177</f>
        <v>-1.1127410979630751E-5</v>
      </c>
      <c r="BC177" s="229">
        <f>(100*(F177-AF177))/AF177</f>
        <v>1.303496714756745E-5</v>
      </c>
      <c r="BD177" s="237" t="s">
        <v>21</v>
      </c>
      <c r="BE177" s="213">
        <f t="shared" ref="BE177:BE200" si="63">(100*(I177-AI177))/AI177</f>
        <v>2.9286201730837391E-5</v>
      </c>
      <c r="BF177" s="91">
        <f t="shared" ref="BF177" si="64">(100*(J177-AJ177))/AJ177</f>
        <v>-1.0754735040563014E-4</v>
      </c>
      <c r="BG177" s="91">
        <f t="shared" ref="BG177:BG200" si="65">(100*(K177-AK177))/AK177</f>
        <v>0</v>
      </c>
      <c r="BH177" s="91">
        <f t="shared" ref="BH177:BH200" si="66">(100*(L177-AL177))/AL177</f>
        <v>0</v>
      </c>
      <c r="BI177" s="91">
        <f t="shared" ref="BI177:BI200" si="67">(100*(M177-AM177))/AM177</f>
        <v>0</v>
      </c>
      <c r="BJ177" s="91">
        <f t="shared" ref="BJ177:BJ179" si="68">(100*(N177-AN177))/AN177</f>
        <v>0</v>
      </c>
      <c r="BK177" s="92">
        <f t="shared" ref="BK177:BK200" si="69">(100*(O177-AO177))/AO177</f>
        <v>0</v>
      </c>
      <c r="BL177" s="294">
        <f t="shared" ref="BL177:BL200" si="70">(100*(P177-AP177))/AP177</f>
        <v>-3.5284570057513851E-5</v>
      </c>
      <c r="BM177" s="138">
        <f t="shared" ref="BM177:BM200" si="71">(100*(Q177-AQ177))/AQ177</f>
        <v>0</v>
      </c>
      <c r="BN177" s="93">
        <f t="shared" ref="BN177:BN200" si="72">(100*(R177-AR177))/AR177</f>
        <v>-1.5476026370886273E-4</v>
      </c>
      <c r="BO177" s="92">
        <f t="shared" ref="BO177:BO200" si="73">(100*(S177-AS177))/AS177</f>
        <v>0</v>
      </c>
      <c r="BP177" s="93">
        <f t="shared" ref="BP177:BP200" si="74">(100*(T177-AT177))/AT177</f>
        <v>0</v>
      </c>
      <c r="BQ177" s="93">
        <f t="shared" ref="BQ177:BQ200" si="75">(100*(U177-AU177))/AU177</f>
        <v>2.1293539966552036E-4</v>
      </c>
      <c r="BR177" s="94">
        <f t="shared" ref="BR177:BR200" si="76">(100*(V177-AV177))/AV177</f>
        <v>3.0662713221042942E-4</v>
      </c>
      <c r="BS177" s="93">
        <f t="shared" ref="BS177:BS200" si="77">(100*(W177-AW177))/AW177</f>
        <v>0</v>
      </c>
      <c r="BT177" s="93">
        <f t="shared" ref="BT177:BT200" si="78">(100*(X177-AX177))/AX177</f>
        <v>1.0241442089356765E-4</v>
      </c>
      <c r="BU177" s="95">
        <f t="shared" ref="BU177:BU200" si="79">(100*(Y177-AY177))/AY177</f>
        <v>1.024144210165237E-4</v>
      </c>
    </row>
    <row r="178" spans="1:73" x14ac:dyDescent="0.25">
      <c r="A178" s="171">
        <v>140.015290187674</v>
      </c>
      <c r="B178" s="57">
        <v>90</v>
      </c>
      <c r="C178" s="57">
        <v>107.257935</v>
      </c>
      <c r="D178" s="1" t="s">
        <v>5</v>
      </c>
      <c r="E178" s="57">
        <v>90.000050052936103</v>
      </c>
      <c r="F178" s="60">
        <v>39.999949947063897</v>
      </c>
      <c r="G178" s="244">
        <v>50</v>
      </c>
      <c r="H178" s="211" t="s">
        <v>21</v>
      </c>
      <c r="I178" s="118">
        <v>10280.1</v>
      </c>
      <c r="J178" s="1">
        <v>337.27300000000002</v>
      </c>
      <c r="K178" s="1">
        <v>4047.28</v>
      </c>
      <c r="L178" s="1">
        <v>102.801</v>
      </c>
      <c r="M178" s="1">
        <v>6.3877500000000004E-2</v>
      </c>
      <c r="N178" s="1">
        <v>102801</v>
      </c>
      <c r="O178" s="1">
        <v>112.42400000000001</v>
      </c>
      <c r="P178" s="6">
        <v>102800879</v>
      </c>
      <c r="Q178" s="118">
        <v>448406470</v>
      </c>
      <c r="R178" s="1">
        <v>4484065</v>
      </c>
      <c r="S178" s="1">
        <v>44840.6</v>
      </c>
      <c r="T178" s="1">
        <v>448.40600000000001</v>
      </c>
      <c r="U178" s="1">
        <v>695031</v>
      </c>
      <c r="V178" s="1">
        <v>4826.6099999999997</v>
      </c>
      <c r="W178" s="1">
        <v>4.4840600000000004</v>
      </c>
      <c r="X178" s="52">
        <v>4.4840600000000001E-2</v>
      </c>
      <c r="Y178" s="119">
        <v>0.110804</v>
      </c>
      <c r="Z178" s="226">
        <v>2</v>
      </c>
      <c r="AA178" s="15">
        <v>140.01526200000001</v>
      </c>
      <c r="AB178" s="34">
        <v>90</v>
      </c>
      <c r="AC178" s="16">
        <v>107.257935</v>
      </c>
      <c r="AD178" s="19" t="s">
        <v>5</v>
      </c>
      <c r="AE178" s="15">
        <v>90</v>
      </c>
      <c r="AF178" s="34">
        <v>40</v>
      </c>
      <c r="AG178" s="2">
        <v>50</v>
      </c>
      <c r="AH178" s="19" t="s">
        <v>21</v>
      </c>
      <c r="AI178" s="13">
        <v>10280.1</v>
      </c>
      <c r="AJ178" s="2">
        <f>AA178+AB178+AC178</f>
        <v>337.27319699999998</v>
      </c>
      <c r="AK178" s="2">
        <v>4047.28</v>
      </c>
      <c r="AL178" s="2">
        <v>102.801</v>
      </c>
      <c r="AM178" s="2">
        <v>6.3877500000000004E-2</v>
      </c>
      <c r="AN178" s="2">
        <v>102801</v>
      </c>
      <c r="AO178" s="2">
        <v>112.42400000000001</v>
      </c>
      <c r="AP178" s="16">
        <v>102800810</v>
      </c>
      <c r="AQ178" s="15">
        <v>448406742</v>
      </c>
      <c r="AR178" s="12">
        <v>4484067</v>
      </c>
      <c r="AS178" s="2">
        <v>44840.7</v>
      </c>
      <c r="AT178" s="2">
        <v>448.40699999999998</v>
      </c>
      <c r="AU178" s="2">
        <v>695032</v>
      </c>
      <c r="AV178" s="2">
        <f>SQRT((AJ178/2)*(AJ178/2-AA178)*(AJ178/2-AB178)*(AJ178/2-AC178))</f>
        <v>4826.607074999476</v>
      </c>
      <c r="AW178" s="2">
        <v>4.48407</v>
      </c>
      <c r="AX178" s="23">
        <v>4.4840699999999997E-2</v>
      </c>
      <c r="AY178" s="42">
        <v>0.110804</v>
      </c>
      <c r="AZ178" s="238" t="s">
        <v>5</v>
      </c>
      <c r="BA178" s="217">
        <f t="shared" ref="BA178:BA200" si="80">(100*(A178-AA178))/AA178</f>
        <v>2.0131858190207423E-5</v>
      </c>
      <c r="BB178" s="73">
        <f t="shared" ref="BB178:BB200" si="81">(100*(E178-AE178))/AE178</f>
        <v>5.5614373448204584E-5</v>
      </c>
      <c r="BC178" s="230">
        <f t="shared" ref="BC178:BC200" si="82">(100*(F178-AF178))/AF178</f>
        <v>-1.2513234025846032E-4</v>
      </c>
      <c r="BD178" s="238" t="s">
        <v>21</v>
      </c>
      <c r="BE178" s="214">
        <f t="shared" si="63"/>
        <v>0</v>
      </c>
      <c r="BF178" s="82">
        <f>(100*(J178-AJ178))/AJ178</f>
        <v>-5.8409622143016062E-5</v>
      </c>
      <c r="BG178" s="82">
        <f t="shared" si="65"/>
        <v>0</v>
      </c>
      <c r="BH178" s="82">
        <f t="shared" si="66"/>
        <v>0</v>
      </c>
      <c r="BI178" s="82">
        <f t="shared" si="67"/>
        <v>0</v>
      </c>
      <c r="BJ178" s="82">
        <f t="shared" si="68"/>
        <v>0</v>
      </c>
      <c r="BK178" s="83">
        <f t="shared" si="69"/>
        <v>0</v>
      </c>
      <c r="BL178" s="295">
        <f t="shared" si="70"/>
        <v>6.7120093703541828E-5</v>
      </c>
      <c r="BM178" s="139">
        <f t="shared" si="71"/>
        <v>-6.0659212835831983E-5</v>
      </c>
      <c r="BN178" s="80">
        <f t="shared" si="72"/>
        <v>-4.4602366556967143E-5</v>
      </c>
      <c r="BO178" s="83">
        <f t="shared" si="73"/>
        <v>-2.2301168357885765E-4</v>
      </c>
      <c r="BP178" s="80">
        <f t="shared" si="74"/>
        <v>-2.2301168357682935E-4</v>
      </c>
      <c r="BQ178" s="80">
        <f t="shared" si="75"/>
        <v>-1.4387826747545436E-4</v>
      </c>
      <c r="BR178" s="81">
        <f t="shared" si="76"/>
        <v>6.0601587786107938E-5</v>
      </c>
      <c r="BS178" s="80">
        <f t="shared" si="77"/>
        <v>-2.2301168357366014E-4</v>
      </c>
      <c r="BT178" s="80">
        <f t="shared" si="78"/>
        <v>-2.2301168357304117E-4</v>
      </c>
      <c r="BU178" s="96">
        <f t="shared" si="79"/>
        <v>0</v>
      </c>
    </row>
    <row r="179" spans="1:73" x14ac:dyDescent="0.25">
      <c r="A179" s="173">
        <v>171</v>
      </c>
      <c r="B179" s="57">
        <v>171</v>
      </c>
      <c r="C179" s="57">
        <v>171</v>
      </c>
      <c r="D179" s="1" t="s">
        <v>8</v>
      </c>
      <c r="E179" s="57">
        <v>60</v>
      </c>
      <c r="F179" s="60">
        <v>60</v>
      </c>
      <c r="G179" s="290">
        <v>60</v>
      </c>
      <c r="H179" s="211" t="s">
        <v>21</v>
      </c>
      <c r="I179" s="118">
        <v>1303.02</v>
      </c>
      <c r="J179" s="1">
        <v>42.75</v>
      </c>
      <c r="K179" s="1">
        <v>513</v>
      </c>
      <c r="L179" s="1">
        <v>13.030200000000001</v>
      </c>
      <c r="M179" s="49">
        <v>8.0965900000000007E-3</v>
      </c>
      <c r="N179" s="1">
        <v>13030.2</v>
      </c>
      <c r="O179" s="1">
        <v>14.25</v>
      </c>
      <c r="P179" s="6">
        <v>13030200</v>
      </c>
      <c r="Q179" s="118">
        <v>8168838</v>
      </c>
      <c r="R179" s="1">
        <v>81688.399999999994</v>
      </c>
      <c r="S179" s="1">
        <v>816.88400000000001</v>
      </c>
      <c r="T179" s="1">
        <v>8.1688399999999994</v>
      </c>
      <c r="U179" s="1">
        <v>12661.7</v>
      </c>
      <c r="V179" s="1">
        <v>87.928600000000003</v>
      </c>
      <c r="W179" s="50">
        <v>8.1688399999999994E-2</v>
      </c>
      <c r="X179" s="51">
        <v>8.1688400000000003E-4</v>
      </c>
      <c r="Y179" s="126">
        <v>2.01856E-3</v>
      </c>
      <c r="Z179" s="226">
        <v>3</v>
      </c>
      <c r="AA179" s="15">
        <v>170.99994000000001</v>
      </c>
      <c r="AB179" s="2">
        <v>171</v>
      </c>
      <c r="AC179" s="16">
        <v>171</v>
      </c>
      <c r="AD179" s="19" t="s">
        <v>8</v>
      </c>
      <c r="AE179" s="15">
        <v>60</v>
      </c>
      <c r="AF179" s="2">
        <v>60</v>
      </c>
      <c r="AG179" s="16">
        <v>60</v>
      </c>
      <c r="AH179" s="19" t="s">
        <v>21</v>
      </c>
      <c r="AI179" s="13">
        <v>1303.02</v>
      </c>
      <c r="AJ179" s="2">
        <v>42.749899999999997</v>
      </c>
      <c r="AK179" s="2">
        <f>AA179+AB179+AC179</f>
        <v>512.99994000000004</v>
      </c>
      <c r="AL179" s="2">
        <v>13.030200000000001</v>
      </c>
      <c r="AM179" s="2">
        <v>8.0965800000000008E-3</v>
      </c>
      <c r="AN179" s="2">
        <v>13030.2</v>
      </c>
      <c r="AO179" s="2">
        <v>14.25</v>
      </c>
      <c r="AP179" s="16">
        <v>13030175</v>
      </c>
      <c r="AQ179" s="27">
        <v>8168822</v>
      </c>
      <c r="AR179" s="12">
        <v>81688.2</v>
      </c>
      <c r="AS179" s="2">
        <v>816.88199999999995</v>
      </c>
      <c r="AT179" s="2">
        <v>8.1688200000000002</v>
      </c>
      <c r="AU179" s="2">
        <f>SQRT((AK179/2)*(AK179/2-AA179)*(AK179/2-AB179)*(AK179/2-AC179))</f>
        <v>12661.721454222643</v>
      </c>
      <c r="AV179" s="2">
        <v>87.9285</v>
      </c>
      <c r="AW179" s="24">
        <v>8.1688200000000002E-2</v>
      </c>
      <c r="AX179" s="25">
        <v>8.16882E-4</v>
      </c>
      <c r="AY179" s="188">
        <v>2.01856E-3</v>
      </c>
      <c r="AZ179" s="238" t="s">
        <v>8</v>
      </c>
      <c r="BA179" s="217">
        <f t="shared" si="80"/>
        <v>3.5087731604246821E-5</v>
      </c>
      <c r="BB179" s="73">
        <f t="shared" si="81"/>
        <v>0</v>
      </c>
      <c r="BC179" s="230">
        <f t="shared" si="82"/>
        <v>0</v>
      </c>
      <c r="BD179" s="238" t="s">
        <v>21</v>
      </c>
      <c r="BE179" s="214">
        <f t="shared" si="63"/>
        <v>0</v>
      </c>
      <c r="BF179" s="82">
        <f t="shared" ref="BF179" si="83">(100*(J179-AJ179))/AJ179</f>
        <v>2.3391867584092517E-4</v>
      </c>
      <c r="BG179" s="82">
        <f t="shared" si="65"/>
        <v>1.169590779332282E-5</v>
      </c>
      <c r="BH179" s="82">
        <f t="shared" si="66"/>
        <v>0</v>
      </c>
      <c r="BI179" s="82">
        <f t="shared" si="67"/>
        <v>1.235089383411343E-4</v>
      </c>
      <c r="BJ179" s="82">
        <f t="shared" si="68"/>
        <v>0</v>
      </c>
      <c r="BK179" s="83">
        <f t="shared" si="69"/>
        <v>0</v>
      </c>
      <c r="BL179" s="295">
        <f t="shared" si="70"/>
        <v>1.918623502754184E-4</v>
      </c>
      <c r="BM179" s="139">
        <f t="shared" si="71"/>
        <v>1.958666745339781E-4</v>
      </c>
      <c r="BN179" s="80">
        <f t="shared" si="72"/>
        <v>2.4483340310729046E-4</v>
      </c>
      <c r="BO179" s="83">
        <f t="shared" si="73"/>
        <v>2.4483340311898087E-4</v>
      </c>
      <c r="BP179" s="80">
        <f t="shared" si="74"/>
        <v>2.4483340310158436E-4</v>
      </c>
      <c r="BQ179" s="80">
        <f t="shared" si="75"/>
        <v>-1.6944159386045023E-4</v>
      </c>
      <c r="BR179" s="81">
        <f t="shared" si="76"/>
        <v>1.1372876826435076E-4</v>
      </c>
      <c r="BS179" s="80">
        <f t="shared" si="77"/>
        <v>2.4483340310090483E-4</v>
      </c>
      <c r="BT179" s="80">
        <f t="shared" si="78"/>
        <v>2.4483340311470819E-4</v>
      </c>
      <c r="BU179" s="96">
        <f t="shared" si="79"/>
        <v>0</v>
      </c>
    </row>
    <row r="180" spans="1:73" x14ac:dyDescent="0.25">
      <c r="A180" s="171" t="s">
        <v>75</v>
      </c>
      <c r="B180" s="57">
        <v>190.55958000000001</v>
      </c>
      <c r="C180" s="57">
        <v>140</v>
      </c>
      <c r="D180" s="1" t="s">
        <v>4</v>
      </c>
      <c r="E180" s="54" t="s">
        <v>75</v>
      </c>
      <c r="F180" s="54" t="s">
        <v>75</v>
      </c>
      <c r="G180" s="208">
        <v>37</v>
      </c>
      <c r="H180" s="211" t="s">
        <v>21</v>
      </c>
      <c r="I180" s="118"/>
      <c r="J180" s="1"/>
      <c r="K180" s="1"/>
      <c r="L180" s="1"/>
      <c r="M180" s="1"/>
      <c r="N180" s="1"/>
      <c r="O180" s="1"/>
      <c r="P180" s="6"/>
      <c r="Q180" s="118"/>
      <c r="R180" s="1"/>
      <c r="S180" s="1"/>
      <c r="T180" s="1"/>
      <c r="U180" s="1"/>
      <c r="V180" s="1"/>
      <c r="W180" s="1"/>
      <c r="X180" s="1"/>
      <c r="Y180" s="119"/>
      <c r="Z180" s="226">
        <v>4</v>
      </c>
      <c r="AA180" s="2">
        <v>71.886874000000006</v>
      </c>
      <c r="AB180" s="2">
        <v>190.55958000000001</v>
      </c>
      <c r="AC180" s="35">
        <v>140</v>
      </c>
      <c r="AD180" s="19" t="s">
        <v>4</v>
      </c>
      <c r="AE180" s="15">
        <v>18</v>
      </c>
      <c r="AF180" s="2">
        <v>125</v>
      </c>
      <c r="AG180" s="16">
        <v>37</v>
      </c>
      <c r="AH180" s="19" t="s">
        <v>21</v>
      </c>
      <c r="AI180" s="13">
        <v>40244.6</v>
      </c>
      <c r="AJ180" s="2">
        <v>1320.36</v>
      </c>
      <c r="AK180" s="2">
        <v>15844.3</v>
      </c>
      <c r="AL180" s="2">
        <f>AA180+AB180+AC180</f>
        <v>402.44645400000002</v>
      </c>
      <c r="AM180" s="2">
        <v>0.25006800000000001</v>
      </c>
      <c r="AN180" s="2">
        <v>402446</v>
      </c>
      <c r="AO180" s="2">
        <v>440.12</v>
      </c>
      <c r="AP180" s="16">
        <v>402446000</v>
      </c>
      <c r="AQ180" s="15">
        <v>4122020000</v>
      </c>
      <c r="AR180" s="12">
        <v>41220200</v>
      </c>
      <c r="AS180" s="2">
        <v>412202</v>
      </c>
      <c r="AT180" s="2">
        <f>SQRT((AL180/2)*(AL180/2-AA180)*(AL180/2-AB180)*(AL180/2-AC180))</f>
        <v>4122.0224105335228</v>
      </c>
      <c r="AU180" s="2">
        <v>6389144</v>
      </c>
      <c r="AV180" s="2">
        <v>44369.1</v>
      </c>
      <c r="AW180" s="2">
        <v>41.220199999999998</v>
      </c>
      <c r="AX180" s="2">
        <v>0.41220200000000001</v>
      </c>
      <c r="AY180" s="42">
        <v>1.01857</v>
      </c>
      <c r="AZ180" s="238" t="s">
        <v>4</v>
      </c>
      <c r="BA180" s="293" t="s">
        <v>75</v>
      </c>
      <c r="BB180" s="293" t="s">
        <v>75</v>
      </c>
      <c r="BC180" s="293" t="s">
        <v>75</v>
      </c>
      <c r="BD180" s="238" t="s">
        <v>21</v>
      </c>
      <c r="BE180" s="293" t="s">
        <v>75</v>
      </c>
      <c r="BF180" s="293" t="s">
        <v>75</v>
      </c>
      <c r="BG180" s="293" t="s">
        <v>75</v>
      </c>
      <c r="BH180" s="293" t="s">
        <v>75</v>
      </c>
      <c r="BI180" s="293" t="s">
        <v>75</v>
      </c>
      <c r="BJ180" s="293" t="s">
        <v>75</v>
      </c>
      <c r="BK180" s="293" t="s">
        <v>75</v>
      </c>
      <c r="BL180" s="296" t="s">
        <v>75</v>
      </c>
      <c r="BM180" s="298" t="s">
        <v>75</v>
      </c>
      <c r="BN180" s="293" t="s">
        <v>75</v>
      </c>
      <c r="BO180" s="293" t="s">
        <v>75</v>
      </c>
      <c r="BP180" s="293" t="s">
        <v>75</v>
      </c>
      <c r="BQ180" s="293" t="s">
        <v>75</v>
      </c>
      <c r="BR180" s="293" t="s">
        <v>75</v>
      </c>
      <c r="BS180" s="293" t="s">
        <v>75</v>
      </c>
      <c r="BT180" s="293" t="s">
        <v>75</v>
      </c>
      <c r="BU180" s="299" t="s">
        <v>75</v>
      </c>
    </row>
    <row r="181" spans="1:73" x14ac:dyDescent="0.25">
      <c r="A181" s="171">
        <v>95.539930604104995</v>
      </c>
      <c r="B181" s="57">
        <v>95.539917000000003</v>
      </c>
      <c r="C181" s="57">
        <v>142</v>
      </c>
      <c r="D181" s="56" t="s">
        <v>10</v>
      </c>
      <c r="E181" s="57">
        <v>42.000003672951202</v>
      </c>
      <c r="F181" s="60">
        <v>41.999996327048798</v>
      </c>
      <c r="G181" s="290">
        <v>96</v>
      </c>
      <c r="H181" s="211" t="s">
        <v>21</v>
      </c>
      <c r="I181" s="120">
        <v>53604005</v>
      </c>
      <c r="J181" s="1">
        <v>1758662</v>
      </c>
      <c r="K181" s="1">
        <v>21103939</v>
      </c>
      <c r="L181" s="1">
        <v>536040</v>
      </c>
      <c r="M181" s="1">
        <v>333.08</v>
      </c>
      <c r="N181" s="1">
        <v>536040054</v>
      </c>
      <c r="O181" s="1">
        <v>586221</v>
      </c>
      <c r="P181" s="224">
        <v>536040054263</v>
      </c>
      <c r="Q181" s="120">
        <v>1.17557923126876E+16</v>
      </c>
      <c r="R181" s="59">
        <v>117557923126876</v>
      </c>
      <c r="S181" s="59">
        <v>1175579231269</v>
      </c>
      <c r="T181" s="1">
        <v>11755792313</v>
      </c>
      <c r="U181" s="59">
        <v>18221514527695</v>
      </c>
      <c r="V181" s="59">
        <v>126538295331</v>
      </c>
      <c r="W181" s="1">
        <v>117557923</v>
      </c>
      <c r="X181" s="1">
        <v>1175579</v>
      </c>
      <c r="Y181" s="119">
        <v>2904920</v>
      </c>
      <c r="Z181" s="226">
        <v>5</v>
      </c>
      <c r="AA181" s="15">
        <v>95.539917000000003</v>
      </c>
      <c r="AB181" s="2">
        <v>95.539917000000003</v>
      </c>
      <c r="AC181" s="16">
        <v>142</v>
      </c>
      <c r="AD181" s="19" t="s">
        <v>10</v>
      </c>
      <c r="AE181" s="15">
        <v>42</v>
      </c>
      <c r="AF181" s="2">
        <v>42</v>
      </c>
      <c r="AG181" s="16">
        <v>96</v>
      </c>
      <c r="AH181" s="19" t="s">
        <v>21</v>
      </c>
      <c r="AI181" s="13">
        <v>53603869</v>
      </c>
      <c r="AJ181" s="2">
        <v>1758657</v>
      </c>
      <c r="AK181" s="2">
        <v>21103885</v>
      </c>
      <c r="AL181" s="2">
        <v>536039</v>
      </c>
      <c r="AM181" s="2">
        <f>AA181+AB181+AC181</f>
        <v>333.07983400000001</v>
      </c>
      <c r="AN181" s="2">
        <v>536038690</v>
      </c>
      <c r="AO181" s="2">
        <v>586219</v>
      </c>
      <c r="AP181" s="185">
        <v>536038690176</v>
      </c>
      <c r="AQ181" s="28">
        <v>1.1755649191E+16</v>
      </c>
      <c r="AR181" s="204">
        <v>117556491910000</v>
      </c>
      <c r="AS181" s="29">
        <v>1175564919100</v>
      </c>
      <c r="AT181" s="2">
        <f>SQRT((AL181/2)*(AL181/2-AA181*63360*2.54/100)*(AL181/2-AB181*63360*2.54/100)*(AL181/2-AC181*63360*2.54/100))</f>
        <v>11755649191.119104</v>
      </c>
      <c r="AU181" s="29">
        <v>18221292688635</v>
      </c>
      <c r="AV181" s="29">
        <v>126536754782</v>
      </c>
      <c r="AW181" s="2">
        <v>117556492</v>
      </c>
      <c r="AX181" s="2">
        <v>1175565</v>
      </c>
      <c r="AY181" s="42">
        <v>2904884</v>
      </c>
      <c r="AZ181" s="238" t="s">
        <v>10</v>
      </c>
      <c r="BA181" s="217">
        <f t="shared" si="80"/>
        <v>1.4239184437157425E-5</v>
      </c>
      <c r="BB181" s="73">
        <f t="shared" si="81"/>
        <v>8.7451219091657814E-6</v>
      </c>
      <c r="BC181" s="230">
        <f t="shared" si="82"/>
        <v>-8.7451219091657814E-6</v>
      </c>
      <c r="BD181" s="238" t="s">
        <v>21</v>
      </c>
      <c r="BE181" s="214">
        <f t="shared" si="63"/>
        <v>2.537130295576239E-4</v>
      </c>
      <c r="BF181" s="82">
        <f t="shared" ref="BF181:BF200" si="84">(100*(J181-AJ181))/AJ181</f>
        <v>2.843078553691823E-4</v>
      </c>
      <c r="BG181" s="82">
        <f t="shared" si="65"/>
        <v>2.5587705770762113E-4</v>
      </c>
      <c r="BH181" s="82">
        <f t="shared" si="66"/>
        <v>1.8655359031712244E-4</v>
      </c>
      <c r="BI181" s="82">
        <f t="shared" si="67"/>
        <v>4.9837901618143058E-5</v>
      </c>
      <c r="BJ181" s="82">
        <f>(100*(N181-AN181))/AN181</f>
        <v>2.5445924435044045E-4</v>
      </c>
      <c r="BK181" s="83">
        <f t="shared" si="69"/>
        <v>3.4116942644301875E-4</v>
      </c>
      <c r="BL181" s="295">
        <f t="shared" si="70"/>
        <v>2.5447547443863111E-4</v>
      </c>
      <c r="BM181" s="139">
        <f t="shared" si="71"/>
        <v>1.2174715770658794E-3</v>
      </c>
      <c r="BN181" s="80">
        <f t="shared" si="72"/>
        <v>1.2174715770658794E-3</v>
      </c>
      <c r="BO181" s="83">
        <f t="shared" si="73"/>
        <v>1.2174715974815958E-3</v>
      </c>
      <c r="BP181" s="80">
        <f t="shared" si="74"/>
        <v>1.2174732213320653E-3</v>
      </c>
      <c r="BQ181" s="80">
        <f t="shared" si="75"/>
        <v>1.2174715800397941E-3</v>
      </c>
      <c r="BR181" s="81">
        <f t="shared" si="76"/>
        <v>1.2174715580892588E-3</v>
      </c>
      <c r="BS181" s="80">
        <f t="shared" si="77"/>
        <v>1.2172870895126745E-3</v>
      </c>
      <c r="BT181" s="80">
        <f t="shared" si="78"/>
        <v>1.1909167081360877E-3</v>
      </c>
      <c r="BU181" s="96">
        <f t="shared" si="79"/>
        <v>1.2392921713913533E-3</v>
      </c>
    </row>
    <row r="182" spans="1:73" x14ac:dyDescent="0.25">
      <c r="A182" s="54" t="s">
        <v>75</v>
      </c>
      <c r="B182" s="60">
        <v>85.183256</v>
      </c>
      <c r="C182" s="57">
        <v>72</v>
      </c>
      <c r="D182" s="56" t="s">
        <v>6</v>
      </c>
      <c r="E182" s="54" t="s">
        <v>75</v>
      </c>
      <c r="F182" s="54" t="s">
        <v>75</v>
      </c>
      <c r="G182" s="241" t="s">
        <v>75</v>
      </c>
      <c r="H182" s="211" t="s">
        <v>21</v>
      </c>
      <c r="I182" s="118"/>
      <c r="J182" s="1"/>
      <c r="K182" s="1"/>
      <c r="L182" s="1"/>
      <c r="M182" s="49"/>
      <c r="N182" s="1"/>
      <c r="O182" s="1"/>
      <c r="P182" s="6"/>
      <c r="Q182" s="127"/>
      <c r="R182" s="78"/>
      <c r="S182" s="78"/>
      <c r="T182" s="50"/>
      <c r="U182" s="78"/>
      <c r="V182" s="49"/>
      <c r="W182" s="51"/>
      <c r="X182" s="79"/>
      <c r="Y182" s="128"/>
      <c r="Z182" s="226">
        <v>6</v>
      </c>
      <c r="AA182" s="74">
        <v>85.183233000000001</v>
      </c>
      <c r="AB182" s="186">
        <v>85.183256</v>
      </c>
      <c r="AC182" s="185">
        <v>72</v>
      </c>
      <c r="AD182" s="19" t="s">
        <v>6</v>
      </c>
      <c r="AE182" s="15">
        <v>65</v>
      </c>
      <c r="AF182" s="2">
        <v>65</v>
      </c>
      <c r="AG182" s="16">
        <v>50</v>
      </c>
      <c r="AH182" s="19" t="s">
        <v>21</v>
      </c>
      <c r="AI182" s="187">
        <v>24.236599999999999</v>
      </c>
      <c r="AJ182" s="2">
        <v>0.79516399999999998</v>
      </c>
      <c r="AK182" s="2">
        <v>9.5419699999999992</v>
      </c>
      <c r="AL182" s="2">
        <v>0.242366</v>
      </c>
      <c r="AM182" s="2">
        <v>1.5059900000000001E-4</v>
      </c>
      <c r="AN182" s="2">
        <f>AA182+AB182+AC182</f>
        <v>242.366489</v>
      </c>
      <c r="AO182" s="2">
        <v>0.26505499999999999</v>
      </c>
      <c r="AP182" s="16">
        <v>242366</v>
      </c>
      <c r="AQ182" s="15">
        <f>SQRT((AN182/2)*(AN182/2-AA182)*(AN182/2-AB182)*(AN182/2-AC182))</f>
        <v>2779.2804727187645</v>
      </c>
      <c r="AR182" s="12">
        <v>27.7928</v>
      </c>
      <c r="AS182" s="2">
        <v>0.27792800000000001</v>
      </c>
      <c r="AT182" s="23">
        <v>2.7792799999999999E-3</v>
      </c>
      <c r="AU182" s="2">
        <v>4.3078900000000004</v>
      </c>
      <c r="AV182" s="2">
        <v>2.9915899999999999E-2</v>
      </c>
      <c r="AW182" s="31">
        <v>2.7792799999999999E-5</v>
      </c>
      <c r="AX182" s="32">
        <v>2.77928E-7</v>
      </c>
      <c r="AY182" s="44">
        <v>6.8677504460406296E-7</v>
      </c>
      <c r="AZ182" s="238" t="s">
        <v>6</v>
      </c>
      <c r="BA182" s="293" t="s">
        <v>75</v>
      </c>
      <c r="BB182" s="293" t="s">
        <v>75</v>
      </c>
      <c r="BC182" s="293" t="s">
        <v>75</v>
      </c>
      <c r="BD182" s="238" t="s">
        <v>21</v>
      </c>
      <c r="BE182" s="293" t="s">
        <v>75</v>
      </c>
      <c r="BF182" s="293" t="s">
        <v>75</v>
      </c>
      <c r="BG182" s="293" t="s">
        <v>75</v>
      </c>
      <c r="BH182" s="293" t="s">
        <v>75</v>
      </c>
      <c r="BI182" s="293" t="s">
        <v>75</v>
      </c>
      <c r="BJ182" s="293" t="s">
        <v>75</v>
      </c>
      <c r="BK182" s="293" t="s">
        <v>75</v>
      </c>
      <c r="BL182" s="296" t="s">
        <v>75</v>
      </c>
      <c r="BM182" s="298" t="s">
        <v>75</v>
      </c>
      <c r="BN182" s="293" t="s">
        <v>75</v>
      </c>
      <c r="BO182" s="293" t="s">
        <v>75</v>
      </c>
      <c r="BP182" s="293" t="s">
        <v>75</v>
      </c>
      <c r="BQ182" s="293" t="s">
        <v>75</v>
      </c>
      <c r="BR182" s="293" t="s">
        <v>75</v>
      </c>
      <c r="BS182" s="293" t="s">
        <v>75</v>
      </c>
      <c r="BT182" s="293" t="s">
        <v>75</v>
      </c>
      <c r="BU182" s="299" t="s">
        <v>75</v>
      </c>
    </row>
    <row r="183" spans="1:73" x14ac:dyDescent="0.25">
      <c r="A183" s="171">
        <v>128.64739148171401</v>
      </c>
      <c r="B183" s="57">
        <v>68.451842999999997</v>
      </c>
      <c r="C183" s="57">
        <v>88</v>
      </c>
      <c r="D183" s="56" t="s">
        <v>7</v>
      </c>
      <c r="E183" s="57">
        <v>110</v>
      </c>
      <c r="F183" s="60">
        <v>29.999997399186999</v>
      </c>
      <c r="G183" s="290">
        <v>40</v>
      </c>
      <c r="H183" s="211" t="s">
        <v>21</v>
      </c>
      <c r="I183" s="118">
        <v>26069.5</v>
      </c>
      <c r="J183" s="1">
        <v>855.298</v>
      </c>
      <c r="K183" s="1">
        <v>10263.6</v>
      </c>
      <c r="L183" s="1">
        <v>260.69499999999999</v>
      </c>
      <c r="M183" s="1">
        <v>0.16198799999999999</v>
      </c>
      <c r="N183" s="1">
        <v>260695</v>
      </c>
      <c r="O183" s="1">
        <v>285.09899999999999</v>
      </c>
      <c r="P183" s="6">
        <v>260694740</v>
      </c>
      <c r="Q183" s="118">
        <v>2366443098</v>
      </c>
      <c r="R183" s="1">
        <v>23664431</v>
      </c>
      <c r="S183" s="1">
        <v>236644</v>
      </c>
      <c r="T183" s="1">
        <v>2366.44</v>
      </c>
      <c r="U183" s="1">
        <v>3667994</v>
      </c>
      <c r="V183" s="1">
        <v>25472.2</v>
      </c>
      <c r="W183" s="1">
        <v>23.664400000000001</v>
      </c>
      <c r="X183" s="1">
        <v>0.23664399999999999</v>
      </c>
      <c r="Y183" s="119">
        <v>0.58476099999999998</v>
      </c>
      <c r="Z183" s="226">
        <v>7</v>
      </c>
      <c r="AA183" s="15">
        <v>128.647457</v>
      </c>
      <c r="AB183" s="2">
        <v>68.451842999999997</v>
      </c>
      <c r="AC183" s="16">
        <v>88</v>
      </c>
      <c r="AD183" s="19" t="s">
        <v>7</v>
      </c>
      <c r="AE183" s="15">
        <v>110</v>
      </c>
      <c r="AF183" s="2">
        <v>30</v>
      </c>
      <c r="AG183" s="16">
        <v>40</v>
      </c>
      <c r="AH183" s="19" t="s">
        <v>21</v>
      </c>
      <c r="AI183" s="13">
        <v>26069.5</v>
      </c>
      <c r="AJ183" s="2">
        <v>855.29700000000003</v>
      </c>
      <c r="AK183" s="2">
        <v>10263.6</v>
      </c>
      <c r="AL183" s="2">
        <v>260.69499999999999</v>
      </c>
      <c r="AM183" s="2">
        <v>0.16198799999999999</v>
      </c>
      <c r="AN183" s="2">
        <v>260695</v>
      </c>
      <c r="AO183" s="2">
        <v>285.09899999999999</v>
      </c>
      <c r="AP183" s="16">
        <v>260694526</v>
      </c>
      <c r="AQ183" s="15">
        <v>2366420000</v>
      </c>
      <c r="AR183" s="12">
        <v>23664200</v>
      </c>
      <c r="AS183" s="2">
        <v>236642</v>
      </c>
      <c r="AT183" s="2">
        <f>SQRT((AO183/2)*(AO183/2-AA183)*(AO183/2-AB183)*(AO183/2-AC183))*0.9144*0.9144</f>
        <v>2366.4221547533411</v>
      </c>
      <c r="AU183" s="2">
        <v>3667958</v>
      </c>
      <c r="AV183" s="2">
        <v>25471.9</v>
      </c>
      <c r="AW183" s="2">
        <v>23.664200000000001</v>
      </c>
      <c r="AX183" s="2">
        <v>0.23664199999999999</v>
      </c>
      <c r="AY183" s="42">
        <v>0.58475500000000002</v>
      </c>
      <c r="AZ183" s="238" t="s">
        <v>7</v>
      </c>
      <c r="BA183" s="217">
        <f t="shared" si="80"/>
        <v>-5.092855119008975E-5</v>
      </c>
      <c r="BB183" s="73">
        <f t="shared" si="81"/>
        <v>0</v>
      </c>
      <c r="BC183" s="230">
        <f t="shared" si="82"/>
        <v>-8.6693766713589558E-6</v>
      </c>
      <c r="BD183" s="238" t="s">
        <v>21</v>
      </c>
      <c r="BE183" s="214">
        <f t="shared" si="63"/>
        <v>0</v>
      </c>
      <c r="BF183" s="82">
        <f t="shared" si="84"/>
        <v>1.1691845054716118E-4</v>
      </c>
      <c r="BG183" s="82">
        <f t="shared" si="65"/>
        <v>0</v>
      </c>
      <c r="BH183" s="82">
        <f t="shared" si="66"/>
        <v>0</v>
      </c>
      <c r="BI183" s="82">
        <f t="shared" si="67"/>
        <v>0</v>
      </c>
      <c r="BJ183" s="82">
        <f t="shared" ref="BJ183:BJ200" si="85">(100*(N183-AN183))/AN183</f>
        <v>0</v>
      </c>
      <c r="BK183" s="83">
        <f t="shared" si="69"/>
        <v>0</v>
      </c>
      <c r="BL183" s="295">
        <f t="shared" si="70"/>
        <v>8.2088413317892218E-5</v>
      </c>
      <c r="BM183" s="139">
        <f t="shared" si="71"/>
        <v>9.7607356259666505E-4</v>
      </c>
      <c r="BN183" s="80">
        <f t="shared" si="72"/>
        <v>9.7615807844761285E-4</v>
      </c>
      <c r="BO183" s="83">
        <f t="shared" si="73"/>
        <v>8.4515850947845263E-4</v>
      </c>
      <c r="BP183" s="80">
        <f t="shared" si="74"/>
        <v>7.5410241672487703E-4</v>
      </c>
      <c r="BQ183" s="80">
        <f t="shared" si="75"/>
        <v>9.8147252503981777E-4</v>
      </c>
      <c r="BR183" s="81">
        <f t="shared" si="76"/>
        <v>1.1777684428694851E-3</v>
      </c>
      <c r="BS183" s="80">
        <f t="shared" si="77"/>
        <v>8.4515850947648296E-4</v>
      </c>
      <c r="BT183" s="80">
        <f t="shared" si="78"/>
        <v>8.4515850947929798E-4</v>
      </c>
      <c r="BU183" s="96">
        <f t="shared" si="79"/>
        <v>1.0260707475695785E-3</v>
      </c>
    </row>
    <row r="184" spans="1:73" ht="15.75" thickBot="1" x14ac:dyDescent="0.3">
      <c r="A184" s="176">
        <v>64.278774449646406</v>
      </c>
      <c r="B184" s="177">
        <v>76.604433</v>
      </c>
      <c r="C184" s="177">
        <v>100</v>
      </c>
      <c r="D184" s="61" t="s">
        <v>20</v>
      </c>
      <c r="E184" s="177">
        <v>40.000010083018502</v>
      </c>
      <c r="F184" s="178">
        <v>49.999989916981498</v>
      </c>
      <c r="G184" s="291">
        <v>90</v>
      </c>
      <c r="H184" s="212" t="s">
        <v>21</v>
      </c>
      <c r="I184" s="121">
        <v>2.40883E-2</v>
      </c>
      <c r="J184" s="64">
        <v>7.9029899999999995E-4</v>
      </c>
      <c r="K184" s="55">
        <v>9.4835900000000001E-3</v>
      </c>
      <c r="L184" s="62">
        <v>2.40883E-4</v>
      </c>
      <c r="M184" s="65">
        <v>1.4967788580293999E-7</v>
      </c>
      <c r="N184" s="66">
        <v>0.24088300000000001</v>
      </c>
      <c r="O184" s="64">
        <v>2.6343299999999998E-4</v>
      </c>
      <c r="P184" s="113">
        <v>240.88300000000001</v>
      </c>
      <c r="Q184" s="129">
        <v>2.4620200000000001E-3</v>
      </c>
      <c r="R184" s="67">
        <v>2.46201953532502E-5</v>
      </c>
      <c r="S184" s="68">
        <v>2.4620195353250199E-7</v>
      </c>
      <c r="T184" s="69">
        <v>2.4620195353250202E-9</v>
      </c>
      <c r="U184" s="67">
        <v>3.8161379120296098E-6</v>
      </c>
      <c r="V184" s="68">
        <v>2.65009577224278E-8</v>
      </c>
      <c r="W184" s="70">
        <v>2.4620195353250199E-11</v>
      </c>
      <c r="X184" s="71">
        <v>2.4620195353250198E-13</v>
      </c>
      <c r="Y184" s="72">
        <v>6.0837827645610303E-13</v>
      </c>
      <c r="Z184" s="227">
        <v>8</v>
      </c>
      <c r="AA184" s="17">
        <v>64.278809999999993</v>
      </c>
      <c r="AB184" s="9">
        <v>76.604433</v>
      </c>
      <c r="AC184" s="10">
        <v>100</v>
      </c>
      <c r="AD184" s="20" t="s">
        <v>20</v>
      </c>
      <c r="AE184" s="17">
        <v>40</v>
      </c>
      <c r="AF184" s="9">
        <v>50</v>
      </c>
      <c r="AG184" s="10">
        <v>90</v>
      </c>
      <c r="AH184" s="20" t="s">
        <v>21</v>
      </c>
      <c r="AI184" s="17">
        <v>2.40883E-2</v>
      </c>
      <c r="AJ184" s="9">
        <v>7.9029899999999995E-4</v>
      </c>
      <c r="AK184" s="9">
        <v>9.4835800000000001E-3</v>
      </c>
      <c r="AL184" s="9">
        <v>2.40883E-4</v>
      </c>
      <c r="AM184" s="203">
        <v>1.49677756899706E-7</v>
      </c>
      <c r="AN184" s="9">
        <v>0.24088300000000001</v>
      </c>
      <c r="AO184" s="9">
        <v>2.6343299999999998E-4</v>
      </c>
      <c r="AP184" s="10">
        <f>AA184+AB184+AC184</f>
        <v>240.88324299999999</v>
      </c>
      <c r="AQ184" s="17">
        <f>SQRT((AP184/2)*(AP184/2-AA184)*(AP184/2-AB184)*(AP184/2-AC184))/1000000</f>
        <v>2.4620208969820998E-3</v>
      </c>
      <c r="AR184" s="205">
        <v>2.4620199999999998E-5</v>
      </c>
      <c r="AS184" s="189">
        <v>2.4620200000000002E-7</v>
      </c>
      <c r="AT184" s="190">
        <v>2.4620200000000001E-9</v>
      </c>
      <c r="AU184" s="36">
        <v>3.8161386322772603E-6</v>
      </c>
      <c r="AV184" s="206">
        <v>2.6500962724147702E-8</v>
      </c>
      <c r="AW184" s="191">
        <v>2.46202E-11</v>
      </c>
      <c r="AX184" s="192">
        <v>2.4620199999999999E-13</v>
      </c>
      <c r="AY184" s="193">
        <v>6.0837839127978995E-13</v>
      </c>
      <c r="AZ184" s="239" t="s">
        <v>20</v>
      </c>
      <c r="BA184" s="218">
        <f t="shared" si="80"/>
        <v>-5.5306489941482833E-5</v>
      </c>
      <c r="BB184" s="97">
        <f t="shared" si="81"/>
        <v>2.5207546254790714E-5</v>
      </c>
      <c r="BC184" s="231">
        <f t="shared" si="82"/>
        <v>-2.0166037003832571E-5</v>
      </c>
      <c r="BD184" s="238" t="s">
        <v>21</v>
      </c>
      <c r="BE184" s="215">
        <f t="shared" si="63"/>
        <v>0</v>
      </c>
      <c r="BF184" s="98">
        <f t="shared" si="84"/>
        <v>0</v>
      </c>
      <c r="BG184" s="98">
        <f t="shared" si="65"/>
        <v>1.0544541196405379E-4</v>
      </c>
      <c r="BH184" s="98">
        <f t="shared" si="66"/>
        <v>0</v>
      </c>
      <c r="BI184" s="98">
        <f t="shared" si="67"/>
        <v>8.6120500911206172E-5</v>
      </c>
      <c r="BJ184" s="98">
        <f t="shared" si="85"/>
        <v>0</v>
      </c>
      <c r="BK184" s="99">
        <f t="shared" si="69"/>
        <v>0</v>
      </c>
      <c r="BL184" s="297">
        <f t="shared" si="70"/>
        <v>-1.0087874812584614E-4</v>
      </c>
      <c r="BM184" s="140">
        <f t="shared" si="71"/>
        <v>-3.6432757366391505E-5</v>
      </c>
      <c r="BN184" s="100">
        <f t="shared" si="72"/>
        <v>-1.8873728884296402E-5</v>
      </c>
      <c r="BO184" s="99">
        <f t="shared" si="73"/>
        <v>-1.8873728902358488E-5</v>
      </c>
      <c r="BP184" s="100">
        <f t="shared" si="74"/>
        <v>-1.8873728887575527E-5</v>
      </c>
      <c r="BQ184" s="100">
        <f t="shared" si="75"/>
        <v>-1.8873728653086518E-5</v>
      </c>
      <c r="BR184" s="101">
        <f t="shared" si="76"/>
        <v>-1.8873729056777565E-5</v>
      </c>
      <c r="BS184" s="100">
        <f t="shared" si="77"/>
        <v>-1.887372889597494E-5</v>
      </c>
      <c r="BT184" s="100">
        <f t="shared" si="78"/>
        <v>-1.8873728893514177E-5</v>
      </c>
      <c r="BU184" s="102">
        <f t="shared" si="79"/>
        <v>-1.8873728680792315E-5</v>
      </c>
    </row>
    <row r="185" spans="1:73" x14ac:dyDescent="0.25">
      <c r="A185" s="219">
        <v>84.5179143751742</v>
      </c>
      <c r="B185" s="115">
        <v>73.891970000000001</v>
      </c>
      <c r="C185" s="115">
        <v>125</v>
      </c>
      <c r="D185" s="115" t="s">
        <v>9</v>
      </c>
      <c r="E185" s="115">
        <v>0.71558491369160004</v>
      </c>
      <c r="F185" s="169">
        <v>0.61086531782410003</v>
      </c>
      <c r="G185" s="292">
        <v>1.8151424220740999</v>
      </c>
      <c r="H185" s="245" t="s">
        <v>31</v>
      </c>
      <c r="I185" s="114">
        <v>283.41000000000003</v>
      </c>
      <c r="J185" s="115">
        <v>9.2982200000000006</v>
      </c>
      <c r="K185" s="115">
        <v>111.57899999999999</v>
      </c>
      <c r="L185" s="115">
        <v>2.8340999999999998</v>
      </c>
      <c r="M185" s="116">
        <v>1.76103E-3</v>
      </c>
      <c r="N185" s="115">
        <v>2834.1</v>
      </c>
      <c r="O185" s="115">
        <v>3.0994100000000002</v>
      </c>
      <c r="P185" s="223">
        <v>2834099</v>
      </c>
      <c r="Q185" s="114">
        <v>302984</v>
      </c>
      <c r="R185" s="115">
        <v>3029.84</v>
      </c>
      <c r="S185" s="115">
        <v>30.298400000000001</v>
      </c>
      <c r="T185" s="115">
        <v>0.30298399999999998</v>
      </c>
      <c r="U185" s="115">
        <v>469.62700000000001</v>
      </c>
      <c r="V185" s="115">
        <v>3.2612999999999999</v>
      </c>
      <c r="W185" s="123">
        <v>3.0298399999999998E-3</v>
      </c>
      <c r="X185" s="124">
        <v>3.0298431029930901E-5</v>
      </c>
      <c r="Y185" s="125">
        <v>7.4869053575076807E-5</v>
      </c>
      <c r="Z185" s="142">
        <v>1</v>
      </c>
      <c r="AA185" s="13">
        <v>84.517947000000007</v>
      </c>
      <c r="AB185" s="7">
        <v>73.891970000000001</v>
      </c>
      <c r="AC185" s="14">
        <v>125</v>
      </c>
      <c r="AD185" s="18" t="s">
        <v>9</v>
      </c>
      <c r="AE185" s="194">
        <v>0.71558500000000003</v>
      </c>
      <c r="AF185" s="194">
        <v>0.61086499999999999</v>
      </c>
      <c r="AG185" s="195">
        <v>1.815142</v>
      </c>
      <c r="AH185" s="18" t="s">
        <v>31</v>
      </c>
      <c r="AI185" s="13">
        <f>AA185+AB185+AC185</f>
        <v>283.40991700000001</v>
      </c>
      <c r="AJ185" s="2">
        <v>9.2982300000000002</v>
      </c>
      <c r="AK185" s="2">
        <v>111.57899999999999</v>
      </c>
      <c r="AL185" s="2">
        <v>2.8340999999999998</v>
      </c>
      <c r="AM185" s="2">
        <v>1.76103E-3</v>
      </c>
      <c r="AN185" s="2">
        <v>2834.1</v>
      </c>
      <c r="AO185" s="2">
        <v>3.0994100000000002</v>
      </c>
      <c r="AP185" s="184">
        <v>2834100</v>
      </c>
      <c r="AQ185" s="8">
        <v>302984</v>
      </c>
      <c r="AR185" s="12">
        <f>SQRT((AI185/2)*(AI185/2-AA185)*(AI185/2-AB185)*(AI185/2-AC185))</f>
        <v>3029.8446889956308</v>
      </c>
      <c r="AS185" s="7">
        <v>30.298400000000001</v>
      </c>
      <c r="AT185" s="7">
        <v>0.30298399999999998</v>
      </c>
      <c r="AU185" s="2">
        <v>469.62599999999998</v>
      </c>
      <c r="AV185" s="2">
        <v>3.2612899999999998</v>
      </c>
      <c r="AW185" s="21">
        <v>3.0298399999999998E-3</v>
      </c>
      <c r="AX185" s="22">
        <v>3.0298400000000001E-5</v>
      </c>
      <c r="AY185" s="41">
        <v>7.4868976898447595E-5</v>
      </c>
      <c r="AZ185" s="237" t="s">
        <v>9</v>
      </c>
      <c r="BA185" s="216">
        <f t="shared" si="80"/>
        <v>-3.8601062808870428E-5</v>
      </c>
      <c r="BB185" s="90">
        <f t="shared" si="81"/>
        <v>-1.2061236608155701E-5</v>
      </c>
      <c r="BC185" s="229">
        <f t="shared" si="82"/>
        <v>5.2028533315526178E-5</v>
      </c>
      <c r="BD185" s="238" t="s">
        <v>31</v>
      </c>
      <c r="BE185" s="213">
        <f t="shared" si="63"/>
        <v>2.9286201730837391E-5</v>
      </c>
      <c r="BF185" s="91">
        <f t="shared" si="84"/>
        <v>-1.0754735040563014E-4</v>
      </c>
      <c r="BG185" s="91">
        <f t="shared" si="65"/>
        <v>0</v>
      </c>
      <c r="BH185" s="91">
        <f t="shared" si="66"/>
        <v>0</v>
      </c>
      <c r="BI185" s="91">
        <f t="shared" si="67"/>
        <v>0</v>
      </c>
      <c r="BJ185" s="91">
        <f t="shared" si="85"/>
        <v>0</v>
      </c>
      <c r="BK185" s="92">
        <f t="shared" si="69"/>
        <v>0</v>
      </c>
      <c r="BL185" s="95">
        <f t="shared" si="70"/>
        <v>-3.5284570057513851E-5</v>
      </c>
      <c r="BM185" s="138">
        <f t="shared" si="71"/>
        <v>0</v>
      </c>
      <c r="BN185" s="93">
        <f t="shared" si="72"/>
        <v>-1.5476026370886273E-4</v>
      </c>
      <c r="BO185" s="92">
        <f t="shared" si="73"/>
        <v>0</v>
      </c>
      <c r="BP185" s="93">
        <f t="shared" si="74"/>
        <v>0</v>
      </c>
      <c r="BQ185" s="93">
        <f t="shared" si="75"/>
        <v>2.1293539966552036E-4</v>
      </c>
      <c r="BR185" s="94">
        <f t="shared" si="76"/>
        <v>3.0662713221042942E-4</v>
      </c>
      <c r="BS185" s="93">
        <f t="shared" si="77"/>
        <v>0</v>
      </c>
      <c r="BT185" s="93">
        <f t="shared" si="78"/>
        <v>1.0241442089356765E-4</v>
      </c>
      <c r="BU185" s="95">
        <f t="shared" si="79"/>
        <v>1.024144210165237E-4</v>
      </c>
    </row>
    <row r="186" spans="1:73" x14ac:dyDescent="0.25">
      <c r="A186" s="171">
        <v>140.015290187674</v>
      </c>
      <c r="B186" s="57">
        <v>90</v>
      </c>
      <c r="C186" s="57">
        <v>107.257935</v>
      </c>
      <c r="D186" s="1" t="s">
        <v>5</v>
      </c>
      <c r="E186" s="57">
        <v>1.5707972003834001</v>
      </c>
      <c r="F186" s="60">
        <v>0.69813082720919994</v>
      </c>
      <c r="G186" s="244">
        <v>0.87266462599719996</v>
      </c>
      <c r="H186" s="211" t="s">
        <v>31</v>
      </c>
      <c r="I186" s="118">
        <v>10280.1</v>
      </c>
      <c r="J186" s="1">
        <v>337.27300000000002</v>
      </c>
      <c r="K186" s="1">
        <v>4047.28</v>
      </c>
      <c r="L186" s="1">
        <v>102.801</v>
      </c>
      <c r="M186" s="1">
        <v>6.3877500000000004E-2</v>
      </c>
      <c r="N186" s="1">
        <v>102801</v>
      </c>
      <c r="O186" s="1">
        <v>112.42400000000001</v>
      </c>
      <c r="P186" s="6">
        <v>102800879</v>
      </c>
      <c r="Q186" s="118">
        <v>448406470</v>
      </c>
      <c r="R186" s="1">
        <v>4484065</v>
      </c>
      <c r="S186" s="1">
        <v>44840.6</v>
      </c>
      <c r="T186" s="1">
        <v>448.40600000000001</v>
      </c>
      <c r="U186" s="1">
        <v>695031</v>
      </c>
      <c r="V186" s="1">
        <v>4826.6099999999997</v>
      </c>
      <c r="W186" s="1">
        <v>4.4840600000000004</v>
      </c>
      <c r="X186" s="52">
        <v>4.4840600000000001E-2</v>
      </c>
      <c r="Y186" s="119">
        <v>0.110804</v>
      </c>
      <c r="Z186" s="143">
        <v>2</v>
      </c>
      <c r="AA186" s="15">
        <v>140.01526200000001</v>
      </c>
      <c r="AB186" s="34">
        <v>90</v>
      </c>
      <c r="AC186" s="16">
        <v>107.257935</v>
      </c>
      <c r="AD186" s="19" t="s">
        <v>5</v>
      </c>
      <c r="AE186" s="22">
        <v>1.5707960000000001</v>
      </c>
      <c r="AF186" s="22">
        <v>0.69813199999999997</v>
      </c>
      <c r="AG186" s="196">
        <v>0.87266500000000002</v>
      </c>
      <c r="AH186" s="19" t="s">
        <v>31</v>
      </c>
      <c r="AI186" s="13">
        <v>10280.1</v>
      </c>
      <c r="AJ186" s="2">
        <f>AA186+AB186+AC186</f>
        <v>337.27319699999998</v>
      </c>
      <c r="AK186" s="2">
        <v>4047.28</v>
      </c>
      <c r="AL186" s="2">
        <v>102.801</v>
      </c>
      <c r="AM186" s="2">
        <v>6.3877500000000004E-2</v>
      </c>
      <c r="AN186" s="2">
        <v>102801</v>
      </c>
      <c r="AO186" s="2">
        <v>112.42400000000001</v>
      </c>
      <c r="AP186" s="16">
        <v>102800810</v>
      </c>
      <c r="AQ186" s="15">
        <v>448406742</v>
      </c>
      <c r="AR186" s="12">
        <v>4484067</v>
      </c>
      <c r="AS186" s="2">
        <v>44840.7</v>
      </c>
      <c r="AT186" s="2">
        <v>448.40699999999998</v>
      </c>
      <c r="AU186" s="2">
        <v>695032</v>
      </c>
      <c r="AV186" s="2">
        <f>SQRT((AJ186/2)*(AJ186/2-AA186)*(AJ186/2-AB186)*(AJ186/2-AC186))</f>
        <v>4826.607074999476</v>
      </c>
      <c r="AW186" s="2">
        <v>4.48407</v>
      </c>
      <c r="AX186" s="23">
        <v>4.4840699999999997E-2</v>
      </c>
      <c r="AY186" s="42">
        <v>0.110804</v>
      </c>
      <c r="AZ186" s="238" t="s">
        <v>5</v>
      </c>
      <c r="BA186" s="217">
        <f t="shared" si="80"/>
        <v>2.0131858190207423E-5</v>
      </c>
      <c r="BB186" s="73">
        <f t="shared" si="81"/>
        <v>7.6418796585485236E-5</v>
      </c>
      <c r="BC186" s="230">
        <f t="shared" si="82"/>
        <v>-1.6798983573741054E-4</v>
      </c>
      <c r="BD186" s="238" t="s">
        <v>31</v>
      </c>
      <c r="BE186" s="214">
        <f t="shared" si="63"/>
        <v>0</v>
      </c>
      <c r="BF186" s="82">
        <f t="shared" si="84"/>
        <v>-5.8409622143016062E-5</v>
      </c>
      <c r="BG186" s="82">
        <f t="shared" si="65"/>
        <v>0</v>
      </c>
      <c r="BH186" s="82">
        <f t="shared" si="66"/>
        <v>0</v>
      </c>
      <c r="BI186" s="82">
        <f t="shared" si="67"/>
        <v>0</v>
      </c>
      <c r="BJ186" s="82">
        <f t="shared" si="85"/>
        <v>0</v>
      </c>
      <c r="BK186" s="83">
        <f t="shared" si="69"/>
        <v>0</v>
      </c>
      <c r="BL186" s="96">
        <f t="shared" si="70"/>
        <v>6.7120093703541828E-5</v>
      </c>
      <c r="BM186" s="139">
        <f t="shared" si="71"/>
        <v>-6.0659212835831983E-5</v>
      </c>
      <c r="BN186" s="80">
        <f t="shared" si="72"/>
        <v>-4.4602366556967143E-5</v>
      </c>
      <c r="BO186" s="83">
        <f t="shared" si="73"/>
        <v>-2.2301168357885765E-4</v>
      </c>
      <c r="BP186" s="80">
        <f t="shared" si="74"/>
        <v>-2.2301168357682935E-4</v>
      </c>
      <c r="BQ186" s="80">
        <f t="shared" si="75"/>
        <v>-1.4387826747545436E-4</v>
      </c>
      <c r="BR186" s="81">
        <f t="shared" si="76"/>
        <v>6.0601587786107938E-5</v>
      </c>
      <c r="BS186" s="80">
        <f t="shared" si="77"/>
        <v>-2.2301168357366014E-4</v>
      </c>
      <c r="BT186" s="80">
        <f t="shared" si="78"/>
        <v>-2.2301168357304117E-4</v>
      </c>
      <c r="BU186" s="96">
        <f t="shared" si="79"/>
        <v>0</v>
      </c>
    </row>
    <row r="187" spans="1:73" x14ac:dyDescent="0.25">
      <c r="A187" s="173">
        <v>171</v>
      </c>
      <c r="B187" s="57">
        <v>171</v>
      </c>
      <c r="C187" s="57">
        <v>171</v>
      </c>
      <c r="D187" s="1" t="s">
        <v>8</v>
      </c>
      <c r="E187" s="57">
        <v>1.0471975511966001</v>
      </c>
      <c r="F187" s="60">
        <v>1.0471975511966001</v>
      </c>
      <c r="G187" s="244">
        <v>1.0471975511966001</v>
      </c>
      <c r="H187" s="211" t="s">
        <v>31</v>
      </c>
      <c r="I187" s="118">
        <v>1303.02</v>
      </c>
      <c r="J187" s="1">
        <v>42.75</v>
      </c>
      <c r="K187" s="1">
        <v>513</v>
      </c>
      <c r="L187" s="1">
        <v>13.030200000000001</v>
      </c>
      <c r="M187" s="49">
        <v>8.0965900000000007E-3</v>
      </c>
      <c r="N187" s="1">
        <v>13030.2</v>
      </c>
      <c r="O187" s="1">
        <v>14.25</v>
      </c>
      <c r="P187" s="6">
        <v>13030200</v>
      </c>
      <c r="Q187" s="118">
        <v>8168838</v>
      </c>
      <c r="R187" s="1">
        <v>81688.399999999994</v>
      </c>
      <c r="S187" s="1">
        <v>816.88400000000001</v>
      </c>
      <c r="T187" s="1">
        <v>8.1688399999999994</v>
      </c>
      <c r="U187" s="1">
        <v>12661.7</v>
      </c>
      <c r="V187" s="1">
        <v>87.928600000000003</v>
      </c>
      <c r="W187" s="50">
        <v>8.1688399999999994E-2</v>
      </c>
      <c r="X187" s="51">
        <v>8.1688400000000003E-4</v>
      </c>
      <c r="Y187" s="126">
        <v>2.01856E-3</v>
      </c>
      <c r="Z187" s="143">
        <v>3</v>
      </c>
      <c r="AA187" s="15">
        <v>170.99994000000001</v>
      </c>
      <c r="AB187" s="2">
        <v>171</v>
      </c>
      <c r="AC187" s="16">
        <v>171</v>
      </c>
      <c r="AD187" s="19" t="s">
        <v>8</v>
      </c>
      <c r="AE187" s="22">
        <v>1.0471980000000001</v>
      </c>
      <c r="AF187" s="22">
        <v>1.0471969999999999</v>
      </c>
      <c r="AG187" s="196">
        <v>1.0471980000000001</v>
      </c>
      <c r="AH187" s="19" t="s">
        <v>31</v>
      </c>
      <c r="AI187" s="13">
        <v>1303.02</v>
      </c>
      <c r="AJ187" s="2">
        <v>42.749899999999997</v>
      </c>
      <c r="AK187" s="2">
        <f>AA187+AB187+AC187</f>
        <v>512.99994000000004</v>
      </c>
      <c r="AL187" s="2">
        <v>13.030200000000001</v>
      </c>
      <c r="AM187" s="2">
        <v>8.0965800000000008E-3</v>
      </c>
      <c r="AN187" s="2">
        <v>13030.2</v>
      </c>
      <c r="AO187" s="2">
        <v>14.25</v>
      </c>
      <c r="AP187" s="16">
        <v>13030175</v>
      </c>
      <c r="AQ187" s="27">
        <v>8168822</v>
      </c>
      <c r="AR187" s="12">
        <v>81688.2</v>
      </c>
      <c r="AS187" s="2">
        <v>816.88199999999995</v>
      </c>
      <c r="AT187" s="2">
        <v>8.1688200000000002</v>
      </c>
      <c r="AU187" s="2">
        <f>SQRT((AK187/2)*(AK187/2-AA187)*(AK187/2-AB187)*(AK187/2-AC187))</f>
        <v>12661.721454222643</v>
      </c>
      <c r="AV187" s="2">
        <v>87.9285</v>
      </c>
      <c r="AW187" s="24">
        <v>8.1688200000000002E-2</v>
      </c>
      <c r="AX187" s="25">
        <v>8.16882E-4</v>
      </c>
      <c r="AY187" s="188">
        <v>2.01856E-3</v>
      </c>
      <c r="AZ187" s="238" t="s">
        <v>8</v>
      </c>
      <c r="BA187" s="217">
        <f t="shared" si="80"/>
        <v>3.5087731604246821E-5</v>
      </c>
      <c r="BB187" s="73">
        <f t="shared" si="81"/>
        <v>-4.2857549384110747E-5</v>
      </c>
      <c r="BC187" s="230">
        <f t="shared" si="82"/>
        <v>5.2635425821536723E-5</v>
      </c>
      <c r="BD187" s="238" t="s">
        <v>31</v>
      </c>
      <c r="BE187" s="214">
        <f t="shared" si="63"/>
        <v>0</v>
      </c>
      <c r="BF187" s="82">
        <f t="shared" si="84"/>
        <v>2.3391867584092517E-4</v>
      </c>
      <c r="BG187" s="82">
        <f t="shared" si="65"/>
        <v>1.169590779332282E-5</v>
      </c>
      <c r="BH187" s="82">
        <f t="shared" si="66"/>
        <v>0</v>
      </c>
      <c r="BI187" s="82">
        <f t="shared" si="67"/>
        <v>1.235089383411343E-4</v>
      </c>
      <c r="BJ187" s="82">
        <f t="shared" si="85"/>
        <v>0</v>
      </c>
      <c r="BK187" s="83">
        <f t="shared" si="69"/>
        <v>0</v>
      </c>
      <c r="BL187" s="96">
        <f t="shared" si="70"/>
        <v>1.918623502754184E-4</v>
      </c>
      <c r="BM187" s="139">
        <f t="shared" si="71"/>
        <v>1.958666745339781E-4</v>
      </c>
      <c r="BN187" s="80">
        <f t="shared" si="72"/>
        <v>2.4483340310729046E-4</v>
      </c>
      <c r="BO187" s="83">
        <f t="shared" si="73"/>
        <v>2.4483340311898087E-4</v>
      </c>
      <c r="BP187" s="80">
        <f t="shared" si="74"/>
        <v>2.4483340310158436E-4</v>
      </c>
      <c r="BQ187" s="80">
        <f t="shared" si="75"/>
        <v>-1.6944159386045023E-4</v>
      </c>
      <c r="BR187" s="81">
        <f t="shared" si="76"/>
        <v>1.1372876826435076E-4</v>
      </c>
      <c r="BS187" s="80">
        <f t="shared" si="77"/>
        <v>2.4483340310090483E-4</v>
      </c>
      <c r="BT187" s="80">
        <f t="shared" si="78"/>
        <v>2.4483340311470819E-4</v>
      </c>
      <c r="BU187" s="96">
        <f t="shared" si="79"/>
        <v>0</v>
      </c>
    </row>
    <row r="188" spans="1:73" x14ac:dyDescent="0.25">
      <c r="A188" s="54" t="s">
        <v>75</v>
      </c>
      <c r="B188" s="57">
        <v>190.55958000000001</v>
      </c>
      <c r="C188" s="57">
        <v>140</v>
      </c>
      <c r="D188" s="1" t="s">
        <v>4</v>
      </c>
      <c r="E188" s="54" t="s">
        <v>75</v>
      </c>
      <c r="F188" s="54" t="s">
        <v>75</v>
      </c>
      <c r="G188" s="241" t="s">
        <v>75</v>
      </c>
      <c r="H188" s="211" t="s">
        <v>31</v>
      </c>
      <c r="I188" s="118"/>
      <c r="J188" s="1"/>
      <c r="K188" s="1"/>
      <c r="L188" s="1"/>
      <c r="M188" s="1"/>
      <c r="N188" s="1"/>
      <c r="O188" s="1"/>
      <c r="P188" s="6"/>
      <c r="Q188" s="118"/>
      <c r="R188" s="1"/>
      <c r="S188" s="1"/>
      <c r="T188" s="1"/>
      <c r="U188" s="1"/>
      <c r="V188" s="1"/>
      <c r="W188" s="1"/>
      <c r="X188" s="1"/>
      <c r="Y188" s="119"/>
      <c r="Z188" s="143">
        <v>4</v>
      </c>
      <c r="AA188" s="2">
        <v>71.886874000000006</v>
      </c>
      <c r="AB188" s="2">
        <v>190.55958000000001</v>
      </c>
      <c r="AC188" s="35">
        <v>140</v>
      </c>
      <c r="AD188" s="19" t="s">
        <v>4</v>
      </c>
      <c r="AE188" s="22">
        <v>0.31415900000000002</v>
      </c>
      <c r="AF188" s="22">
        <v>2.1816620000000002</v>
      </c>
      <c r="AG188" s="196">
        <v>0.64577200000000001</v>
      </c>
      <c r="AH188" s="19" t="s">
        <v>31</v>
      </c>
      <c r="AI188" s="13">
        <v>40244.6</v>
      </c>
      <c r="AJ188" s="2">
        <v>1320.36</v>
      </c>
      <c r="AK188" s="2">
        <v>15844.3</v>
      </c>
      <c r="AL188" s="2">
        <f>AA188+AB188+AC188</f>
        <v>402.44645400000002</v>
      </c>
      <c r="AM188" s="2">
        <v>0.25006800000000001</v>
      </c>
      <c r="AN188" s="2">
        <v>402446</v>
      </c>
      <c r="AO188" s="2">
        <v>440.12</v>
      </c>
      <c r="AP188" s="16">
        <v>402446000</v>
      </c>
      <c r="AQ188" s="15">
        <v>4122020000</v>
      </c>
      <c r="AR188" s="12">
        <v>41220200</v>
      </c>
      <c r="AS188" s="2">
        <v>412202</v>
      </c>
      <c r="AT188" s="2">
        <f>SQRT((AL188/2)*(AL188/2-AA188)*(AL188/2-AB188)*(AL188/2-AC188))</f>
        <v>4122.0224105335228</v>
      </c>
      <c r="AU188" s="2">
        <v>6389144</v>
      </c>
      <c r="AV188" s="2">
        <v>44369.1</v>
      </c>
      <c r="AW188" s="2">
        <v>41.220199999999998</v>
      </c>
      <c r="AX188" s="2">
        <v>0.41220200000000001</v>
      </c>
      <c r="AY188" s="42">
        <v>1.01857</v>
      </c>
      <c r="AZ188" s="238" t="s">
        <v>4</v>
      </c>
      <c r="BA188" s="293" t="s">
        <v>75</v>
      </c>
      <c r="BB188" s="293" t="s">
        <v>75</v>
      </c>
      <c r="BC188" s="293" t="s">
        <v>75</v>
      </c>
      <c r="BD188" s="238" t="s">
        <v>31</v>
      </c>
      <c r="BE188" s="293" t="s">
        <v>75</v>
      </c>
      <c r="BF188" s="293" t="s">
        <v>75</v>
      </c>
      <c r="BG188" s="293" t="s">
        <v>75</v>
      </c>
      <c r="BH188" s="293" t="s">
        <v>75</v>
      </c>
      <c r="BI188" s="293" t="s">
        <v>75</v>
      </c>
      <c r="BJ188" s="293" t="s">
        <v>75</v>
      </c>
      <c r="BK188" s="293" t="s">
        <v>75</v>
      </c>
      <c r="BL188" s="296" t="s">
        <v>75</v>
      </c>
      <c r="BM188" s="298" t="s">
        <v>75</v>
      </c>
      <c r="BN188" s="293" t="s">
        <v>75</v>
      </c>
      <c r="BO188" s="293" t="s">
        <v>75</v>
      </c>
      <c r="BP188" s="293" t="s">
        <v>75</v>
      </c>
      <c r="BQ188" s="293" t="s">
        <v>75</v>
      </c>
      <c r="BR188" s="293" t="s">
        <v>75</v>
      </c>
      <c r="BS188" s="293" t="s">
        <v>75</v>
      </c>
      <c r="BT188" s="293" t="s">
        <v>75</v>
      </c>
      <c r="BU188" s="299" t="s">
        <v>75</v>
      </c>
    </row>
    <row r="189" spans="1:73" x14ac:dyDescent="0.25">
      <c r="A189" s="171">
        <v>95.539930604104995</v>
      </c>
      <c r="B189" s="57">
        <v>95.539917000000003</v>
      </c>
      <c r="C189" s="57">
        <v>142</v>
      </c>
      <c r="D189" s="1" t="s">
        <v>10</v>
      </c>
      <c r="E189" s="57">
        <v>0.73303834994270001</v>
      </c>
      <c r="F189" s="60">
        <v>0.73303822173249999</v>
      </c>
      <c r="G189" s="244">
        <v>1.6755160819146</v>
      </c>
      <c r="H189" s="211" t="s">
        <v>31</v>
      </c>
      <c r="I189" s="120">
        <v>53604005</v>
      </c>
      <c r="J189" s="1">
        <v>1758662</v>
      </c>
      <c r="K189" s="1">
        <v>21103939</v>
      </c>
      <c r="L189" s="1">
        <v>536040</v>
      </c>
      <c r="M189" s="1">
        <v>333.08</v>
      </c>
      <c r="N189" s="1">
        <v>536040054</v>
      </c>
      <c r="O189" s="1">
        <v>586221</v>
      </c>
      <c r="P189" s="224">
        <v>536040054263</v>
      </c>
      <c r="Q189" s="120">
        <v>1.17557923126876E+16</v>
      </c>
      <c r="R189" s="59">
        <v>117557923126876</v>
      </c>
      <c r="S189" s="59">
        <v>1175579231269</v>
      </c>
      <c r="T189" s="1">
        <v>11755792313</v>
      </c>
      <c r="U189" s="59">
        <v>18221514527695</v>
      </c>
      <c r="V189" s="59">
        <v>126538295331</v>
      </c>
      <c r="W189" s="1">
        <v>117557923</v>
      </c>
      <c r="X189" s="1">
        <v>1175579</v>
      </c>
      <c r="Y189" s="119">
        <v>2904920</v>
      </c>
      <c r="Z189" s="143">
        <v>5</v>
      </c>
      <c r="AA189" s="15">
        <v>95.539917000000003</v>
      </c>
      <c r="AB189" s="2">
        <v>95.539917000000003</v>
      </c>
      <c r="AC189" s="16">
        <v>142</v>
      </c>
      <c r="AD189" s="19" t="s">
        <v>10</v>
      </c>
      <c r="AE189" s="22">
        <v>0.73303799999999997</v>
      </c>
      <c r="AF189" s="22">
        <v>0.73303799999999997</v>
      </c>
      <c r="AG189" s="196">
        <v>1.675516</v>
      </c>
      <c r="AH189" s="19" t="s">
        <v>31</v>
      </c>
      <c r="AI189" s="13">
        <v>53603869</v>
      </c>
      <c r="AJ189" s="2">
        <v>1758657</v>
      </c>
      <c r="AK189" s="2">
        <v>21103885</v>
      </c>
      <c r="AL189" s="2">
        <v>536039</v>
      </c>
      <c r="AM189" s="2">
        <f>AA189+AB189+AC189</f>
        <v>333.07983400000001</v>
      </c>
      <c r="AN189" s="2">
        <v>536038690</v>
      </c>
      <c r="AO189" s="2">
        <v>586219</v>
      </c>
      <c r="AP189" s="185">
        <v>536038690176</v>
      </c>
      <c r="AQ189" s="28">
        <v>1.1755649191E+16</v>
      </c>
      <c r="AR189" s="204">
        <v>117556491910000</v>
      </c>
      <c r="AS189" s="29">
        <v>1175564919100</v>
      </c>
      <c r="AT189" s="2">
        <f>SQRT((AL189/2)*(AL189/2-AA189*63360*2.54/100)*(AL189/2-AB189*63360*2.54/100)*(AL189/2-AC189*63360*2.54/100))</f>
        <v>11755649191.119104</v>
      </c>
      <c r="AU189" s="29">
        <v>18221292688635</v>
      </c>
      <c r="AV189" s="29">
        <v>126536754782</v>
      </c>
      <c r="AW189" s="2">
        <v>117556492</v>
      </c>
      <c r="AX189" s="2">
        <v>1175565</v>
      </c>
      <c r="AY189" s="42">
        <v>2904884</v>
      </c>
      <c r="AZ189" s="238" t="s">
        <v>10</v>
      </c>
      <c r="BA189" s="217">
        <f t="shared" si="80"/>
        <v>1.4239184437157425E-5</v>
      </c>
      <c r="BB189" s="73">
        <f t="shared" si="81"/>
        <v>4.7738684766647895E-5</v>
      </c>
      <c r="BC189" s="230">
        <f t="shared" si="82"/>
        <v>3.0248431872228919E-5</v>
      </c>
      <c r="BD189" s="238" t="s">
        <v>31</v>
      </c>
      <c r="BE189" s="214">
        <f t="shared" si="63"/>
        <v>2.537130295576239E-4</v>
      </c>
      <c r="BF189" s="82">
        <f t="shared" si="84"/>
        <v>2.843078553691823E-4</v>
      </c>
      <c r="BG189" s="82">
        <f t="shared" si="65"/>
        <v>2.5587705770762113E-4</v>
      </c>
      <c r="BH189" s="82">
        <f t="shared" si="66"/>
        <v>1.8655359031712244E-4</v>
      </c>
      <c r="BI189" s="82">
        <f t="shared" si="67"/>
        <v>4.9837901618143058E-5</v>
      </c>
      <c r="BJ189" s="82">
        <f t="shared" si="85"/>
        <v>2.5445924435044045E-4</v>
      </c>
      <c r="BK189" s="83">
        <f t="shared" si="69"/>
        <v>3.4116942644301875E-4</v>
      </c>
      <c r="BL189" s="96">
        <f t="shared" si="70"/>
        <v>2.5447547443863111E-4</v>
      </c>
      <c r="BM189" s="139">
        <f t="shared" si="71"/>
        <v>1.2174715770658794E-3</v>
      </c>
      <c r="BN189" s="80">
        <f t="shared" si="72"/>
        <v>1.2174715770658794E-3</v>
      </c>
      <c r="BO189" s="83">
        <f t="shared" si="73"/>
        <v>1.2174715974815958E-3</v>
      </c>
      <c r="BP189" s="80">
        <f t="shared" si="74"/>
        <v>1.2174732213320653E-3</v>
      </c>
      <c r="BQ189" s="80">
        <f t="shared" si="75"/>
        <v>1.2174715800397941E-3</v>
      </c>
      <c r="BR189" s="81">
        <f t="shared" si="76"/>
        <v>1.2174715580892588E-3</v>
      </c>
      <c r="BS189" s="80">
        <f t="shared" si="77"/>
        <v>1.2172870895126745E-3</v>
      </c>
      <c r="BT189" s="80">
        <f t="shared" si="78"/>
        <v>1.1909167081360877E-3</v>
      </c>
      <c r="BU189" s="96">
        <f t="shared" si="79"/>
        <v>1.2392921713913533E-3</v>
      </c>
    </row>
    <row r="190" spans="1:73" x14ac:dyDescent="0.25">
      <c r="A190" s="54" t="s">
        <v>75</v>
      </c>
      <c r="B190" s="60">
        <v>85.183256</v>
      </c>
      <c r="C190" s="57">
        <v>72</v>
      </c>
      <c r="D190" s="1" t="s">
        <v>6</v>
      </c>
      <c r="E190" s="54" t="s">
        <v>75</v>
      </c>
      <c r="F190" s="54" t="s">
        <v>75</v>
      </c>
      <c r="G190" s="241" t="s">
        <v>75</v>
      </c>
      <c r="H190" s="211" t="s">
        <v>31</v>
      </c>
      <c r="I190" s="118"/>
      <c r="J190" s="1"/>
      <c r="K190" s="1"/>
      <c r="L190" s="1"/>
      <c r="M190" s="49"/>
      <c r="N190" s="1"/>
      <c r="O190" s="1"/>
      <c r="P190" s="6"/>
      <c r="Q190" s="127"/>
      <c r="R190" s="78"/>
      <c r="S190" s="78"/>
      <c r="T190" s="50"/>
      <c r="U190" s="78"/>
      <c r="V190" s="49"/>
      <c r="W190" s="51"/>
      <c r="X190" s="79"/>
      <c r="Y190" s="128"/>
      <c r="Z190" s="143">
        <v>6</v>
      </c>
      <c r="AA190" s="74">
        <v>85.183233000000001</v>
      </c>
      <c r="AB190" s="186">
        <v>85.183256</v>
      </c>
      <c r="AC190" s="185">
        <v>72</v>
      </c>
      <c r="AD190" s="19" t="s">
        <v>6</v>
      </c>
      <c r="AE190" s="22">
        <v>1.1344639999999999</v>
      </c>
      <c r="AF190" s="22">
        <v>1.1344639999999999</v>
      </c>
      <c r="AG190" s="196">
        <v>0.87266500000000002</v>
      </c>
      <c r="AH190" s="19" t="s">
        <v>31</v>
      </c>
      <c r="AI190" s="187">
        <v>24.236599999999999</v>
      </c>
      <c r="AJ190" s="2">
        <v>0.79516399999999998</v>
      </c>
      <c r="AK190" s="2">
        <v>9.5419699999999992</v>
      </c>
      <c r="AL190" s="2">
        <v>0.242366</v>
      </c>
      <c r="AM190" s="2">
        <v>1.5059900000000001E-4</v>
      </c>
      <c r="AN190" s="2">
        <f>AA190+AB190+AC190</f>
        <v>242.366489</v>
      </c>
      <c r="AO190" s="2">
        <v>0.26505499999999999</v>
      </c>
      <c r="AP190" s="16">
        <v>242366</v>
      </c>
      <c r="AQ190" s="15">
        <f>SQRT((AN190/2)*(AN190/2-AA190)*(AN190/2-AB190)*(AN190/2-AC190))</f>
        <v>2779.2804727187645</v>
      </c>
      <c r="AR190" s="12">
        <v>27.7928</v>
      </c>
      <c r="AS190" s="2">
        <v>0.27792800000000001</v>
      </c>
      <c r="AT190" s="23">
        <v>2.7792799999999999E-3</v>
      </c>
      <c r="AU190" s="2">
        <v>4.3078900000000004</v>
      </c>
      <c r="AV190" s="2">
        <v>2.9915899999999999E-2</v>
      </c>
      <c r="AW190" s="31">
        <v>2.7792799999999999E-5</v>
      </c>
      <c r="AX190" s="32">
        <v>2.77928E-7</v>
      </c>
      <c r="AY190" s="44">
        <v>6.8677504460406296E-7</v>
      </c>
      <c r="AZ190" s="238" t="s">
        <v>6</v>
      </c>
      <c r="BA190" s="293" t="s">
        <v>75</v>
      </c>
      <c r="BB190" s="293" t="s">
        <v>75</v>
      </c>
      <c r="BC190" s="293" t="s">
        <v>75</v>
      </c>
      <c r="BD190" s="238" t="s">
        <v>31</v>
      </c>
      <c r="BE190" s="293" t="s">
        <v>75</v>
      </c>
      <c r="BF190" s="293" t="s">
        <v>75</v>
      </c>
      <c r="BG190" s="293" t="s">
        <v>75</v>
      </c>
      <c r="BH190" s="293" t="s">
        <v>75</v>
      </c>
      <c r="BI190" s="293" t="s">
        <v>75</v>
      </c>
      <c r="BJ190" s="293" t="s">
        <v>75</v>
      </c>
      <c r="BK190" s="293" t="s">
        <v>75</v>
      </c>
      <c r="BL190" s="296" t="s">
        <v>75</v>
      </c>
      <c r="BM190" s="298" t="s">
        <v>75</v>
      </c>
      <c r="BN190" s="293" t="s">
        <v>75</v>
      </c>
      <c r="BO190" s="293" t="s">
        <v>75</v>
      </c>
      <c r="BP190" s="293" t="s">
        <v>75</v>
      </c>
      <c r="BQ190" s="293" t="s">
        <v>75</v>
      </c>
      <c r="BR190" s="293" t="s">
        <v>75</v>
      </c>
      <c r="BS190" s="293" t="s">
        <v>75</v>
      </c>
      <c r="BT190" s="293" t="s">
        <v>75</v>
      </c>
      <c r="BU190" s="299" t="s">
        <v>75</v>
      </c>
    </row>
    <row r="191" spans="1:73" x14ac:dyDescent="0.25">
      <c r="A191" s="171">
        <v>128.64739148171401</v>
      </c>
      <c r="B191" s="57">
        <v>68.451842999999997</v>
      </c>
      <c r="C191" s="57">
        <v>88</v>
      </c>
      <c r="D191" s="1" t="s">
        <v>7</v>
      </c>
      <c r="E191" s="57">
        <v>1.9198622225866</v>
      </c>
      <c r="F191" s="60">
        <v>0.52359873020549996</v>
      </c>
      <c r="G191" s="244">
        <v>0.69813170079770004</v>
      </c>
      <c r="H191" s="211" t="s">
        <v>31</v>
      </c>
      <c r="I191" s="118">
        <v>26069.5</v>
      </c>
      <c r="J191" s="1">
        <v>855.298</v>
      </c>
      <c r="K191" s="1">
        <v>10263.6</v>
      </c>
      <c r="L191" s="1">
        <v>260.69499999999999</v>
      </c>
      <c r="M191" s="1">
        <v>0.16198799999999999</v>
      </c>
      <c r="N191" s="1">
        <v>260695</v>
      </c>
      <c r="O191" s="1">
        <v>285.09899999999999</v>
      </c>
      <c r="P191" s="6">
        <v>260694740</v>
      </c>
      <c r="Q191" s="118">
        <v>2366443098</v>
      </c>
      <c r="R191" s="1">
        <v>23664431</v>
      </c>
      <c r="S191" s="1">
        <v>236644</v>
      </c>
      <c r="T191" s="1">
        <v>2366.44</v>
      </c>
      <c r="U191" s="1">
        <v>3667994</v>
      </c>
      <c r="V191" s="1">
        <v>25472.2</v>
      </c>
      <c r="W191" s="1">
        <v>23.664400000000001</v>
      </c>
      <c r="X191" s="1">
        <v>0.23664399999999999</v>
      </c>
      <c r="Y191" s="119">
        <v>0.58476099999999998</v>
      </c>
      <c r="Z191" s="143">
        <v>7</v>
      </c>
      <c r="AA191" s="15">
        <v>128.647457</v>
      </c>
      <c r="AB191" s="2">
        <v>68.451842999999997</v>
      </c>
      <c r="AC191" s="16">
        <v>88</v>
      </c>
      <c r="AD191" s="19" t="s">
        <v>7</v>
      </c>
      <c r="AE191" s="22">
        <v>1.9198599999999999</v>
      </c>
      <c r="AF191" s="22">
        <v>0.52359999999999995</v>
      </c>
      <c r="AG191" s="196">
        <v>0.69813000000000003</v>
      </c>
      <c r="AH191" s="19" t="s">
        <v>31</v>
      </c>
      <c r="AI191" s="13">
        <v>26069.5</v>
      </c>
      <c r="AJ191" s="2">
        <v>855.29700000000003</v>
      </c>
      <c r="AK191" s="2">
        <v>10263.6</v>
      </c>
      <c r="AL191" s="2">
        <v>260.69499999999999</v>
      </c>
      <c r="AM191" s="2">
        <v>0.16198799999999999</v>
      </c>
      <c r="AN191" s="2">
        <v>260695</v>
      </c>
      <c r="AO191" s="2">
        <v>285.09899999999999</v>
      </c>
      <c r="AP191" s="16">
        <v>260694526</v>
      </c>
      <c r="AQ191" s="15">
        <v>2366420000</v>
      </c>
      <c r="AR191" s="12">
        <v>23664200</v>
      </c>
      <c r="AS191" s="2">
        <v>236642</v>
      </c>
      <c r="AT191" s="2">
        <f>SQRT((AO191/2)*(AO191/2-AA191)*(AO191/2-AB191)*(AO191/2-AC191))*0.9144*0.9144</f>
        <v>2366.4221547533411</v>
      </c>
      <c r="AU191" s="2">
        <v>3667958</v>
      </c>
      <c r="AV191" s="2">
        <v>25471.9</v>
      </c>
      <c r="AW191" s="2">
        <v>23.664200000000001</v>
      </c>
      <c r="AX191" s="2">
        <v>0.23664199999999999</v>
      </c>
      <c r="AY191" s="42">
        <v>0.58475500000000002</v>
      </c>
      <c r="AZ191" s="238" t="s">
        <v>7</v>
      </c>
      <c r="BA191" s="217">
        <f t="shared" si="80"/>
        <v>-5.092855119008975E-5</v>
      </c>
      <c r="BB191" s="73">
        <f t="shared" si="81"/>
        <v>1.1576816018345077E-4</v>
      </c>
      <c r="BC191" s="230">
        <f t="shared" si="82"/>
        <v>-2.4251231856221563E-4</v>
      </c>
      <c r="BD191" s="238" t="s">
        <v>31</v>
      </c>
      <c r="BE191" s="214">
        <f t="shared" si="63"/>
        <v>0</v>
      </c>
      <c r="BF191" s="82">
        <f t="shared" si="84"/>
        <v>1.1691845054716118E-4</v>
      </c>
      <c r="BG191" s="82">
        <f t="shared" si="65"/>
        <v>0</v>
      </c>
      <c r="BH191" s="82">
        <f t="shared" si="66"/>
        <v>0</v>
      </c>
      <c r="BI191" s="82">
        <f t="shared" si="67"/>
        <v>0</v>
      </c>
      <c r="BJ191" s="82">
        <f t="shared" si="85"/>
        <v>0</v>
      </c>
      <c r="BK191" s="83">
        <f t="shared" si="69"/>
        <v>0</v>
      </c>
      <c r="BL191" s="96">
        <f t="shared" si="70"/>
        <v>8.2088413317892218E-5</v>
      </c>
      <c r="BM191" s="139">
        <f t="shared" si="71"/>
        <v>9.7607356259666505E-4</v>
      </c>
      <c r="BN191" s="80">
        <f t="shared" si="72"/>
        <v>9.7615807844761285E-4</v>
      </c>
      <c r="BO191" s="83">
        <f t="shared" si="73"/>
        <v>8.4515850947845263E-4</v>
      </c>
      <c r="BP191" s="80">
        <f t="shared" si="74"/>
        <v>7.5410241672487703E-4</v>
      </c>
      <c r="BQ191" s="80">
        <f t="shared" si="75"/>
        <v>9.8147252503981777E-4</v>
      </c>
      <c r="BR191" s="81">
        <f t="shared" si="76"/>
        <v>1.1777684428694851E-3</v>
      </c>
      <c r="BS191" s="80">
        <f t="shared" si="77"/>
        <v>8.4515850947648296E-4</v>
      </c>
      <c r="BT191" s="80">
        <f t="shared" si="78"/>
        <v>8.4515850947929798E-4</v>
      </c>
      <c r="BU191" s="96">
        <f t="shared" si="79"/>
        <v>1.0260707475695785E-3</v>
      </c>
    </row>
    <row r="192" spans="1:73" ht="15.75" thickBot="1" x14ac:dyDescent="0.3">
      <c r="A192" s="176">
        <v>64.278774449646406</v>
      </c>
      <c r="B192" s="177">
        <v>76.604433</v>
      </c>
      <c r="C192" s="177">
        <v>100</v>
      </c>
      <c r="D192" s="55" t="s">
        <v>20</v>
      </c>
      <c r="E192" s="177">
        <v>0.69813187677959998</v>
      </c>
      <c r="F192" s="178">
        <v>0.87266445001530002</v>
      </c>
      <c r="G192" s="209">
        <v>1.5707963267949001</v>
      </c>
      <c r="H192" s="212" t="s">
        <v>31</v>
      </c>
      <c r="I192" s="121">
        <v>2.40883E-2</v>
      </c>
      <c r="J192" s="64">
        <v>7.9029899999999995E-4</v>
      </c>
      <c r="K192" s="55">
        <v>9.4835900000000001E-3</v>
      </c>
      <c r="L192" s="62">
        <v>2.40883E-4</v>
      </c>
      <c r="M192" s="65">
        <v>1.4967788580293999E-7</v>
      </c>
      <c r="N192" s="66">
        <v>0.24088300000000001</v>
      </c>
      <c r="O192" s="64">
        <v>2.6343299999999998E-4</v>
      </c>
      <c r="P192" s="113">
        <v>240.88300000000001</v>
      </c>
      <c r="Q192" s="129">
        <v>2.4620200000000001E-3</v>
      </c>
      <c r="R192" s="67">
        <v>2.46201953532502E-5</v>
      </c>
      <c r="S192" s="68">
        <v>2.4620195353250199E-7</v>
      </c>
      <c r="T192" s="69">
        <v>2.4620195353250202E-9</v>
      </c>
      <c r="U192" s="67">
        <v>3.8161379120296098E-6</v>
      </c>
      <c r="V192" s="68">
        <v>2.65009577224278E-8</v>
      </c>
      <c r="W192" s="70">
        <v>2.4620195353250199E-11</v>
      </c>
      <c r="X192" s="71">
        <v>2.4620195353250198E-13</v>
      </c>
      <c r="Y192" s="72">
        <v>6.0837827645610303E-13</v>
      </c>
      <c r="Z192" s="144">
        <v>8</v>
      </c>
      <c r="AA192" s="17">
        <v>64.278809999999993</v>
      </c>
      <c r="AB192" s="9">
        <v>76.604433</v>
      </c>
      <c r="AC192" s="10">
        <v>100</v>
      </c>
      <c r="AD192" s="20" t="s">
        <v>20</v>
      </c>
      <c r="AE192" s="197">
        <v>0.69813199999999997</v>
      </c>
      <c r="AF192" s="197">
        <v>0.87266500000000002</v>
      </c>
      <c r="AG192" s="198">
        <v>1.5707960000000001</v>
      </c>
      <c r="AH192" s="20" t="s">
        <v>31</v>
      </c>
      <c r="AI192" s="17">
        <v>2.40883E-2</v>
      </c>
      <c r="AJ192" s="9">
        <v>7.9029899999999995E-4</v>
      </c>
      <c r="AK192" s="9">
        <v>9.4835800000000001E-3</v>
      </c>
      <c r="AL192" s="9">
        <v>2.40883E-4</v>
      </c>
      <c r="AM192" s="203">
        <v>1.49677756899706E-7</v>
      </c>
      <c r="AN192" s="9">
        <v>0.24088300000000001</v>
      </c>
      <c r="AO192" s="9">
        <v>2.6343299999999998E-4</v>
      </c>
      <c r="AP192" s="10">
        <f>AA192+AB192+AC192</f>
        <v>240.88324299999999</v>
      </c>
      <c r="AQ192" s="17">
        <f>SQRT((AP192/2)*(AP192/2-AA192)*(AP192/2-AB192)*(AP192/2-AC192))/1000000</f>
        <v>2.4620208969820998E-3</v>
      </c>
      <c r="AR192" s="205">
        <v>2.4620199999999998E-5</v>
      </c>
      <c r="AS192" s="189">
        <v>2.4620200000000002E-7</v>
      </c>
      <c r="AT192" s="190">
        <v>2.4620200000000001E-9</v>
      </c>
      <c r="AU192" s="36">
        <v>3.8161386322772603E-6</v>
      </c>
      <c r="AV192" s="206">
        <v>2.6500962724147702E-8</v>
      </c>
      <c r="AW192" s="191">
        <v>2.46202E-11</v>
      </c>
      <c r="AX192" s="192">
        <v>2.4620199999999999E-13</v>
      </c>
      <c r="AY192" s="193">
        <v>6.0837839127978995E-13</v>
      </c>
      <c r="AZ192" s="239" t="s">
        <v>20</v>
      </c>
      <c r="BA192" s="218">
        <f t="shared" si="80"/>
        <v>-5.5306489941482833E-5</v>
      </c>
      <c r="BB192" s="97">
        <f t="shared" si="81"/>
        <v>-1.7650014609640079E-5</v>
      </c>
      <c r="BC192" s="231">
        <f t="shared" si="82"/>
        <v>-6.3023577203687281E-5</v>
      </c>
      <c r="BD192" s="238" t="s">
        <v>31</v>
      </c>
      <c r="BE192" s="215">
        <f t="shared" si="63"/>
        <v>0</v>
      </c>
      <c r="BF192" s="98">
        <f t="shared" si="84"/>
        <v>0</v>
      </c>
      <c r="BG192" s="98">
        <f t="shared" si="65"/>
        <v>1.0544541196405379E-4</v>
      </c>
      <c r="BH192" s="98">
        <f t="shared" si="66"/>
        <v>0</v>
      </c>
      <c r="BI192" s="98">
        <f t="shared" si="67"/>
        <v>8.6120500911206172E-5</v>
      </c>
      <c r="BJ192" s="98">
        <f t="shared" si="85"/>
        <v>0</v>
      </c>
      <c r="BK192" s="99">
        <f t="shared" si="69"/>
        <v>0</v>
      </c>
      <c r="BL192" s="102">
        <f t="shared" si="70"/>
        <v>-1.0087874812584614E-4</v>
      </c>
      <c r="BM192" s="140">
        <f t="shared" si="71"/>
        <v>-3.6432757366391505E-5</v>
      </c>
      <c r="BN192" s="100">
        <f t="shared" si="72"/>
        <v>-1.8873728884296402E-5</v>
      </c>
      <c r="BO192" s="99">
        <f t="shared" si="73"/>
        <v>-1.8873728902358488E-5</v>
      </c>
      <c r="BP192" s="100">
        <f t="shared" si="74"/>
        <v>-1.8873728887575527E-5</v>
      </c>
      <c r="BQ192" s="100">
        <f t="shared" si="75"/>
        <v>-1.8873728653086518E-5</v>
      </c>
      <c r="BR192" s="101">
        <f t="shared" si="76"/>
        <v>-1.8873729056777565E-5</v>
      </c>
      <c r="BS192" s="100">
        <f t="shared" si="77"/>
        <v>-1.887372889597494E-5</v>
      </c>
      <c r="BT192" s="100">
        <f t="shared" si="78"/>
        <v>-1.8873728893514177E-5</v>
      </c>
      <c r="BU192" s="102">
        <f t="shared" si="79"/>
        <v>-1.8873728680792315E-5</v>
      </c>
    </row>
    <row r="193" spans="1:73" x14ac:dyDescent="0.25">
      <c r="A193" s="219">
        <v>84.5179143751742</v>
      </c>
      <c r="B193" s="115">
        <v>73.891970000000001</v>
      </c>
      <c r="C193" s="115">
        <v>125</v>
      </c>
      <c r="D193" s="115" t="s">
        <v>9</v>
      </c>
      <c r="E193" s="169">
        <v>45.555550486402197</v>
      </c>
      <c r="F193" s="169">
        <v>38.8888939580428</v>
      </c>
      <c r="G193" s="207">
        <v>115.555555555555</v>
      </c>
      <c r="H193" s="210" t="s">
        <v>32</v>
      </c>
      <c r="I193" s="114">
        <v>283.41000000000003</v>
      </c>
      <c r="J193" s="115">
        <v>9.2982200000000006</v>
      </c>
      <c r="K193" s="115">
        <v>111.57899999999999</v>
      </c>
      <c r="L193" s="115">
        <v>2.8340999999999998</v>
      </c>
      <c r="M193" s="116">
        <v>1.76103E-3</v>
      </c>
      <c r="N193" s="115">
        <v>2834.1</v>
      </c>
      <c r="O193" s="115">
        <v>3.0994100000000002</v>
      </c>
      <c r="P193" s="223">
        <v>2834099</v>
      </c>
      <c r="Q193" s="114">
        <v>302984</v>
      </c>
      <c r="R193" s="115">
        <v>3029.84</v>
      </c>
      <c r="S193" s="115">
        <v>30.298400000000001</v>
      </c>
      <c r="T193" s="115">
        <v>0.30298399999999998</v>
      </c>
      <c r="U193" s="115">
        <v>469.62700000000001</v>
      </c>
      <c r="V193" s="115">
        <v>3.2612999999999999</v>
      </c>
      <c r="W193" s="123">
        <v>3.0298399999999998E-3</v>
      </c>
      <c r="X193" s="124">
        <v>3.0298431029930901E-5</v>
      </c>
      <c r="Y193" s="125">
        <v>7.4869053575076807E-5</v>
      </c>
      <c r="Z193" s="142">
        <v>1</v>
      </c>
      <c r="AA193" s="13">
        <v>84.517947000000007</v>
      </c>
      <c r="AB193" s="7">
        <v>73.891970000000001</v>
      </c>
      <c r="AC193" s="14">
        <v>125</v>
      </c>
      <c r="AD193" s="18" t="s">
        <v>9</v>
      </c>
      <c r="AE193" s="194">
        <v>45.555554999999998</v>
      </c>
      <c r="AF193" s="194">
        <v>38.888888999999999</v>
      </c>
      <c r="AG193" s="199">
        <v>115.555556</v>
      </c>
      <c r="AH193" s="18" t="s">
        <v>32</v>
      </c>
      <c r="AI193" s="13">
        <f>AA193+AB193+AC193</f>
        <v>283.40991700000001</v>
      </c>
      <c r="AJ193" s="2">
        <v>9.2982300000000002</v>
      </c>
      <c r="AK193" s="2">
        <v>111.57899999999999</v>
      </c>
      <c r="AL193" s="2">
        <v>2.8340999999999998</v>
      </c>
      <c r="AM193" s="2">
        <v>1.76103E-3</v>
      </c>
      <c r="AN193" s="2">
        <v>2834.1</v>
      </c>
      <c r="AO193" s="2">
        <v>3.0994100000000002</v>
      </c>
      <c r="AP193" s="184">
        <v>2834100</v>
      </c>
      <c r="AQ193" s="8">
        <v>302984</v>
      </c>
      <c r="AR193" s="12">
        <f>SQRT((AI193/2)*(AI193/2-AA193)*(AI193/2-AB193)*(AI193/2-AC193))</f>
        <v>3029.8446889956308</v>
      </c>
      <c r="AS193" s="7">
        <v>30.298400000000001</v>
      </c>
      <c r="AT193" s="7">
        <v>0.30298399999999998</v>
      </c>
      <c r="AU193" s="2">
        <v>469.62599999999998</v>
      </c>
      <c r="AV193" s="2">
        <v>3.2612899999999998</v>
      </c>
      <c r="AW193" s="21">
        <v>3.0298399999999998E-3</v>
      </c>
      <c r="AX193" s="22">
        <v>3.0298400000000001E-5</v>
      </c>
      <c r="AY193" s="41">
        <v>7.4868976898447595E-5</v>
      </c>
      <c r="AZ193" s="240" t="s">
        <v>9</v>
      </c>
      <c r="BA193" s="216">
        <f t="shared" si="80"/>
        <v>-3.8601062808870428E-5</v>
      </c>
      <c r="BB193" s="90">
        <f t="shared" si="81"/>
        <v>-9.907897733420732E-6</v>
      </c>
      <c r="BC193" s="229">
        <f t="shared" si="82"/>
        <v>1.2749252880961384E-5</v>
      </c>
      <c r="BD193" s="238" t="s">
        <v>32</v>
      </c>
      <c r="BE193" s="228">
        <f t="shared" si="63"/>
        <v>2.9286201730837391E-5</v>
      </c>
      <c r="BF193" s="86">
        <f t="shared" si="84"/>
        <v>-1.0754735040563014E-4</v>
      </c>
      <c r="BG193" s="86">
        <f t="shared" si="65"/>
        <v>0</v>
      </c>
      <c r="BH193" s="86">
        <f t="shared" si="66"/>
        <v>0</v>
      </c>
      <c r="BI193" s="86">
        <f t="shared" si="67"/>
        <v>0</v>
      </c>
      <c r="BJ193" s="86">
        <f t="shared" si="85"/>
        <v>0</v>
      </c>
      <c r="BK193" s="87">
        <f t="shared" si="69"/>
        <v>0</v>
      </c>
      <c r="BL193" s="137">
        <f t="shared" si="70"/>
        <v>-3.5284570057513851E-5</v>
      </c>
      <c r="BM193" s="141">
        <f t="shared" si="71"/>
        <v>0</v>
      </c>
      <c r="BN193" s="88">
        <f t="shared" si="72"/>
        <v>-1.5476026370886273E-4</v>
      </c>
      <c r="BO193" s="87">
        <f t="shared" si="73"/>
        <v>0</v>
      </c>
      <c r="BP193" s="88">
        <f t="shared" si="74"/>
        <v>0</v>
      </c>
      <c r="BQ193" s="88">
        <f t="shared" si="75"/>
        <v>2.1293539966552036E-4</v>
      </c>
      <c r="BR193" s="89">
        <f t="shared" si="76"/>
        <v>3.0662713221042942E-4</v>
      </c>
      <c r="BS193" s="88">
        <f t="shared" si="77"/>
        <v>0</v>
      </c>
      <c r="BT193" s="88">
        <f t="shared" si="78"/>
        <v>1.0241442089356765E-4</v>
      </c>
      <c r="BU193" s="137">
        <f t="shared" si="79"/>
        <v>1.024144210165237E-4</v>
      </c>
    </row>
    <row r="194" spans="1:73" x14ac:dyDescent="0.25">
      <c r="A194" s="171">
        <v>140.015290187674</v>
      </c>
      <c r="B194" s="57">
        <v>90</v>
      </c>
      <c r="C194" s="57">
        <v>107.257935</v>
      </c>
      <c r="D194" s="1" t="s">
        <v>5</v>
      </c>
      <c r="E194" s="57">
        <v>100.00005561437101</v>
      </c>
      <c r="F194" s="60">
        <v>44.444388830071198</v>
      </c>
      <c r="G194" s="208">
        <v>55.555555555557802</v>
      </c>
      <c r="H194" s="211" t="s">
        <v>32</v>
      </c>
      <c r="I194" s="118">
        <v>10280.1</v>
      </c>
      <c r="J194" s="1">
        <v>337.27300000000002</v>
      </c>
      <c r="K194" s="1">
        <v>4047.28</v>
      </c>
      <c r="L194" s="1">
        <v>102.801</v>
      </c>
      <c r="M194" s="1">
        <v>6.3877500000000004E-2</v>
      </c>
      <c r="N194" s="1">
        <v>102801</v>
      </c>
      <c r="O194" s="1">
        <v>112.42400000000001</v>
      </c>
      <c r="P194" s="6">
        <v>102800879</v>
      </c>
      <c r="Q194" s="118">
        <v>448406470</v>
      </c>
      <c r="R194" s="1">
        <v>4484065</v>
      </c>
      <c r="S194" s="1">
        <v>44840.6</v>
      </c>
      <c r="T194" s="1">
        <v>448.40600000000001</v>
      </c>
      <c r="U194" s="1">
        <v>695031</v>
      </c>
      <c r="V194" s="1">
        <v>4826.6099999999997</v>
      </c>
      <c r="W194" s="1">
        <v>4.4840600000000004</v>
      </c>
      <c r="X194" s="52">
        <v>4.4840600000000001E-2</v>
      </c>
      <c r="Y194" s="119">
        <v>0.110804</v>
      </c>
      <c r="Z194" s="143">
        <v>2</v>
      </c>
      <c r="AA194" s="15">
        <v>140.01526200000001</v>
      </c>
      <c r="AB194" s="34">
        <v>90</v>
      </c>
      <c r="AC194" s="16">
        <v>107.257935</v>
      </c>
      <c r="AD194" s="19" t="s">
        <v>5</v>
      </c>
      <c r="AE194" s="22">
        <v>100</v>
      </c>
      <c r="AF194" s="22">
        <v>44.444445999999999</v>
      </c>
      <c r="AG194" s="200">
        <v>55.555554000000001</v>
      </c>
      <c r="AH194" s="19" t="s">
        <v>32</v>
      </c>
      <c r="AI194" s="13">
        <v>10280.1</v>
      </c>
      <c r="AJ194" s="2">
        <f>AA194+AB194+AC194</f>
        <v>337.27319699999998</v>
      </c>
      <c r="AK194" s="2">
        <v>4047.28</v>
      </c>
      <c r="AL194" s="2">
        <v>102.801</v>
      </c>
      <c r="AM194" s="2">
        <v>6.3877500000000004E-2</v>
      </c>
      <c r="AN194" s="2">
        <v>102801</v>
      </c>
      <c r="AO194" s="2">
        <v>112.42400000000001</v>
      </c>
      <c r="AP194" s="16">
        <v>102800810</v>
      </c>
      <c r="AQ194" s="15">
        <v>448406742</v>
      </c>
      <c r="AR194" s="12">
        <v>4484067</v>
      </c>
      <c r="AS194" s="2">
        <v>44840.7</v>
      </c>
      <c r="AT194" s="2">
        <v>448.40699999999998</v>
      </c>
      <c r="AU194" s="2">
        <v>695032</v>
      </c>
      <c r="AV194" s="2">
        <f>SQRT((AJ194/2)*(AJ194/2-AA194)*(AJ194/2-AB194)*(AJ194/2-AC194))</f>
        <v>4826.607074999476</v>
      </c>
      <c r="AW194" s="2">
        <v>4.48407</v>
      </c>
      <c r="AX194" s="23">
        <v>4.4840699999999997E-2</v>
      </c>
      <c r="AY194" s="42">
        <v>0.110804</v>
      </c>
      <c r="AZ194" s="238" t="s">
        <v>5</v>
      </c>
      <c r="BA194" s="217">
        <f t="shared" si="80"/>
        <v>2.0131858190207423E-5</v>
      </c>
      <c r="BB194" s="73">
        <f t="shared" si="81"/>
        <v>5.5614371007095542E-5</v>
      </c>
      <c r="BC194" s="230">
        <f t="shared" si="82"/>
        <v>-1.2863233530162636E-4</v>
      </c>
      <c r="BD194" s="238" t="s">
        <v>32</v>
      </c>
      <c r="BE194" s="214">
        <f t="shared" si="63"/>
        <v>0</v>
      </c>
      <c r="BF194" s="82">
        <f t="shared" si="84"/>
        <v>-5.8409622143016062E-5</v>
      </c>
      <c r="BG194" s="82">
        <f t="shared" si="65"/>
        <v>0</v>
      </c>
      <c r="BH194" s="82">
        <f t="shared" si="66"/>
        <v>0</v>
      </c>
      <c r="BI194" s="82">
        <f t="shared" si="67"/>
        <v>0</v>
      </c>
      <c r="BJ194" s="82">
        <f t="shared" si="85"/>
        <v>0</v>
      </c>
      <c r="BK194" s="83">
        <f t="shared" si="69"/>
        <v>0</v>
      </c>
      <c r="BL194" s="96">
        <f t="shared" si="70"/>
        <v>6.7120093703541828E-5</v>
      </c>
      <c r="BM194" s="139">
        <f t="shared" si="71"/>
        <v>-6.0659212835831983E-5</v>
      </c>
      <c r="BN194" s="80">
        <f t="shared" si="72"/>
        <v>-4.4602366556967143E-5</v>
      </c>
      <c r="BO194" s="83">
        <f t="shared" si="73"/>
        <v>-2.2301168357885765E-4</v>
      </c>
      <c r="BP194" s="80">
        <f t="shared" si="74"/>
        <v>-2.2301168357682935E-4</v>
      </c>
      <c r="BQ194" s="80">
        <f t="shared" si="75"/>
        <v>-1.4387826747545436E-4</v>
      </c>
      <c r="BR194" s="81">
        <f t="shared" si="76"/>
        <v>6.0601587786107938E-5</v>
      </c>
      <c r="BS194" s="80">
        <f t="shared" si="77"/>
        <v>-2.2301168357366014E-4</v>
      </c>
      <c r="BT194" s="80">
        <f t="shared" si="78"/>
        <v>-2.2301168357304117E-4</v>
      </c>
      <c r="BU194" s="96">
        <f t="shared" si="79"/>
        <v>0</v>
      </c>
    </row>
    <row r="195" spans="1:73" x14ac:dyDescent="0.25">
      <c r="A195" s="173">
        <v>171</v>
      </c>
      <c r="B195" s="57">
        <v>171</v>
      </c>
      <c r="C195" s="57">
        <v>171</v>
      </c>
      <c r="D195" s="1" t="s">
        <v>8</v>
      </c>
      <c r="E195" s="57">
        <v>66.666666666666799</v>
      </c>
      <c r="F195" s="60">
        <v>66.666666666666401</v>
      </c>
      <c r="G195" s="208">
        <v>66.666666666666799</v>
      </c>
      <c r="H195" s="211" t="s">
        <v>32</v>
      </c>
      <c r="I195" s="118">
        <v>1303.02</v>
      </c>
      <c r="J195" s="1">
        <v>42.75</v>
      </c>
      <c r="K195" s="1">
        <v>513</v>
      </c>
      <c r="L195" s="1">
        <v>13.030200000000001</v>
      </c>
      <c r="M195" s="49">
        <v>8.0965900000000007E-3</v>
      </c>
      <c r="N195" s="1">
        <v>13030.2</v>
      </c>
      <c r="O195" s="1">
        <v>14.25</v>
      </c>
      <c r="P195" s="6">
        <v>13030200</v>
      </c>
      <c r="Q195" s="118">
        <v>8168838</v>
      </c>
      <c r="R195" s="1">
        <v>81688.399999999994</v>
      </c>
      <c r="S195" s="1">
        <v>816.88400000000001</v>
      </c>
      <c r="T195" s="1">
        <v>8.1688399999999994</v>
      </c>
      <c r="U195" s="1">
        <v>12661.7</v>
      </c>
      <c r="V195" s="1">
        <v>87.928600000000003</v>
      </c>
      <c r="W195" s="50">
        <v>8.1688399999999994E-2</v>
      </c>
      <c r="X195" s="51">
        <v>8.1688400000000003E-4</v>
      </c>
      <c r="Y195" s="126">
        <v>2.01856E-3</v>
      </c>
      <c r="Z195" s="143">
        <v>3</v>
      </c>
      <c r="AA195" s="15">
        <v>170.99994000000001</v>
      </c>
      <c r="AB195" s="2">
        <v>171</v>
      </c>
      <c r="AC195" s="16">
        <v>171</v>
      </c>
      <c r="AD195" s="19" t="s">
        <v>8</v>
      </c>
      <c r="AE195" s="22">
        <v>66.666666000000006</v>
      </c>
      <c r="AF195" s="22">
        <v>66.666657999999998</v>
      </c>
      <c r="AG195" s="200">
        <v>66.666675999999995</v>
      </c>
      <c r="AH195" s="19" t="s">
        <v>32</v>
      </c>
      <c r="AI195" s="13">
        <v>1303.02</v>
      </c>
      <c r="AJ195" s="2">
        <v>42.749899999999997</v>
      </c>
      <c r="AK195" s="2">
        <f>AA195+AB195+AC195</f>
        <v>512.99994000000004</v>
      </c>
      <c r="AL195" s="2">
        <v>13.030200000000001</v>
      </c>
      <c r="AM195" s="2">
        <v>8.0965800000000008E-3</v>
      </c>
      <c r="AN195" s="2">
        <v>13030.2</v>
      </c>
      <c r="AO195" s="2">
        <v>14.25</v>
      </c>
      <c r="AP195" s="16">
        <v>13030175</v>
      </c>
      <c r="AQ195" s="27">
        <v>8168822</v>
      </c>
      <c r="AR195" s="12">
        <v>81688.2</v>
      </c>
      <c r="AS195" s="2">
        <v>816.88199999999995</v>
      </c>
      <c r="AT195" s="2">
        <v>8.1688200000000002</v>
      </c>
      <c r="AU195" s="2">
        <f>SQRT((AK195/2)*(AK195/2-AA195)*(AK195/2-AB195)*(AK195/2-AC195))</f>
        <v>12661.721454222643</v>
      </c>
      <c r="AV195" s="2">
        <v>87.9285</v>
      </c>
      <c r="AW195" s="24">
        <v>8.1688200000000002E-2</v>
      </c>
      <c r="AX195" s="25">
        <v>8.16882E-4</v>
      </c>
      <c r="AY195" s="188">
        <v>2.01856E-3</v>
      </c>
      <c r="AZ195" s="238" t="s">
        <v>8</v>
      </c>
      <c r="BA195" s="217">
        <f t="shared" si="80"/>
        <v>3.5087731604246821E-5</v>
      </c>
      <c r="BB195" s="73">
        <f t="shared" si="81"/>
        <v>1.0000001993217833E-6</v>
      </c>
      <c r="BC195" s="230">
        <f t="shared" si="82"/>
        <v>1.3000001294801529E-5</v>
      </c>
      <c r="BD195" s="238" t="s">
        <v>32</v>
      </c>
      <c r="BE195" s="214">
        <f t="shared" si="63"/>
        <v>0</v>
      </c>
      <c r="BF195" s="82">
        <f t="shared" si="84"/>
        <v>2.3391867584092517E-4</v>
      </c>
      <c r="BG195" s="82">
        <f t="shared" si="65"/>
        <v>1.169590779332282E-5</v>
      </c>
      <c r="BH195" s="82">
        <f t="shared" si="66"/>
        <v>0</v>
      </c>
      <c r="BI195" s="82">
        <f t="shared" si="67"/>
        <v>1.235089383411343E-4</v>
      </c>
      <c r="BJ195" s="82">
        <f t="shared" si="85"/>
        <v>0</v>
      </c>
      <c r="BK195" s="83">
        <f t="shared" si="69"/>
        <v>0</v>
      </c>
      <c r="BL195" s="96">
        <f t="shared" si="70"/>
        <v>1.918623502754184E-4</v>
      </c>
      <c r="BM195" s="139">
        <f t="shared" si="71"/>
        <v>1.958666745339781E-4</v>
      </c>
      <c r="BN195" s="80">
        <f t="shared" si="72"/>
        <v>2.4483340310729046E-4</v>
      </c>
      <c r="BO195" s="83">
        <f t="shared" si="73"/>
        <v>2.4483340311898087E-4</v>
      </c>
      <c r="BP195" s="80">
        <f t="shared" si="74"/>
        <v>2.4483340310158436E-4</v>
      </c>
      <c r="BQ195" s="80">
        <f t="shared" si="75"/>
        <v>-1.6944159386045023E-4</v>
      </c>
      <c r="BR195" s="81">
        <f t="shared" si="76"/>
        <v>1.1372876826435076E-4</v>
      </c>
      <c r="BS195" s="80">
        <f t="shared" si="77"/>
        <v>2.4483340310090483E-4</v>
      </c>
      <c r="BT195" s="80">
        <f t="shared" si="78"/>
        <v>2.4483340311470819E-4</v>
      </c>
      <c r="BU195" s="96">
        <f t="shared" si="79"/>
        <v>0</v>
      </c>
    </row>
    <row r="196" spans="1:73" x14ac:dyDescent="0.25">
      <c r="A196" s="54" t="s">
        <v>75</v>
      </c>
      <c r="B196" s="57">
        <v>190.55958000000001</v>
      </c>
      <c r="C196" s="57">
        <v>140</v>
      </c>
      <c r="D196" s="1" t="s">
        <v>4</v>
      </c>
      <c r="E196" s="54" t="s">
        <v>75</v>
      </c>
      <c r="F196" s="54" t="s">
        <v>75</v>
      </c>
      <c r="G196" s="241" t="s">
        <v>75</v>
      </c>
      <c r="H196" s="211" t="s">
        <v>32</v>
      </c>
      <c r="I196" s="118"/>
      <c r="J196" s="1"/>
      <c r="K196" s="1"/>
      <c r="L196" s="1"/>
      <c r="M196" s="1"/>
      <c r="N196" s="1"/>
      <c r="O196" s="1"/>
      <c r="P196" s="6"/>
      <c r="Q196" s="118"/>
      <c r="R196" s="1"/>
      <c r="S196" s="1"/>
      <c r="T196" s="1"/>
      <c r="U196" s="1"/>
      <c r="V196" s="1"/>
      <c r="W196" s="1"/>
      <c r="X196" s="1"/>
      <c r="Y196" s="119"/>
      <c r="Z196" s="143">
        <v>4</v>
      </c>
      <c r="AA196" s="2">
        <v>71.886874000000006</v>
      </c>
      <c r="AB196" s="2">
        <v>190.55958000000001</v>
      </c>
      <c r="AC196" s="35">
        <v>140</v>
      </c>
      <c r="AD196" s="19" t="s">
        <v>4</v>
      </c>
      <c r="AE196" s="22">
        <v>20</v>
      </c>
      <c r="AF196" s="22">
        <v>138.88888900000001</v>
      </c>
      <c r="AG196" s="200">
        <v>41.111111000000001</v>
      </c>
      <c r="AH196" s="19" t="s">
        <v>32</v>
      </c>
      <c r="AI196" s="13">
        <v>40244.6</v>
      </c>
      <c r="AJ196" s="2">
        <v>1320.36</v>
      </c>
      <c r="AK196" s="2">
        <v>15844.3</v>
      </c>
      <c r="AL196" s="2">
        <f>AA196+AB196+AC196</f>
        <v>402.44645400000002</v>
      </c>
      <c r="AM196" s="2">
        <v>0.25006800000000001</v>
      </c>
      <c r="AN196" s="2">
        <v>402446</v>
      </c>
      <c r="AO196" s="2">
        <v>440.12</v>
      </c>
      <c r="AP196" s="16">
        <v>402446000</v>
      </c>
      <c r="AQ196" s="15">
        <v>4122020000</v>
      </c>
      <c r="AR196" s="12">
        <v>41220200</v>
      </c>
      <c r="AS196" s="2">
        <v>412202</v>
      </c>
      <c r="AT196" s="2">
        <f>SQRT((AL196/2)*(AL196/2-AA196)*(AL196/2-AB196)*(AL196/2-AC196))</f>
        <v>4122.0224105335228</v>
      </c>
      <c r="AU196" s="2">
        <v>6389144</v>
      </c>
      <c r="AV196" s="2">
        <v>44369.1</v>
      </c>
      <c r="AW196" s="2">
        <v>41.220199999999998</v>
      </c>
      <c r="AX196" s="2">
        <v>0.41220200000000001</v>
      </c>
      <c r="AY196" s="42">
        <v>1.01857</v>
      </c>
      <c r="AZ196" s="238" t="s">
        <v>4</v>
      </c>
      <c r="BA196" s="293" t="s">
        <v>75</v>
      </c>
      <c r="BB196" s="293" t="s">
        <v>75</v>
      </c>
      <c r="BC196" s="293" t="s">
        <v>75</v>
      </c>
      <c r="BD196" s="238" t="s">
        <v>32</v>
      </c>
      <c r="BE196" s="293" t="s">
        <v>75</v>
      </c>
      <c r="BF196" s="293" t="s">
        <v>75</v>
      </c>
      <c r="BG196" s="293" t="s">
        <v>75</v>
      </c>
      <c r="BH196" s="293" t="s">
        <v>75</v>
      </c>
      <c r="BI196" s="293" t="s">
        <v>75</v>
      </c>
      <c r="BJ196" s="293" t="s">
        <v>75</v>
      </c>
      <c r="BK196" s="293" t="s">
        <v>75</v>
      </c>
      <c r="BL196" s="296" t="s">
        <v>75</v>
      </c>
      <c r="BM196" s="298" t="s">
        <v>75</v>
      </c>
      <c r="BN196" s="293" t="s">
        <v>75</v>
      </c>
      <c r="BO196" s="293" t="s">
        <v>75</v>
      </c>
      <c r="BP196" s="293" t="s">
        <v>75</v>
      </c>
      <c r="BQ196" s="293" t="s">
        <v>75</v>
      </c>
      <c r="BR196" s="293" t="s">
        <v>75</v>
      </c>
      <c r="BS196" s="293" t="s">
        <v>75</v>
      </c>
      <c r="BT196" s="293" t="s">
        <v>75</v>
      </c>
      <c r="BU196" s="299" t="s">
        <v>75</v>
      </c>
    </row>
    <row r="197" spans="1:73" x14ac:dyDescent="0.25">
      <c r="A197" s="171">
        <v>95.539930604104995</v>
      </c>
      <c r="B197" s="57">
        <v>95.539917000000003</v>
      </c>
      <c r="C197" s="57">
        <v>142</v>
      </c>
      <c r="D197" s="1" t="s">
        <v>10</v>
      </c>
      <c r="E197" s="57">
        <v>46.666670747722897</v>
      </c>
      <c r="F197" s="60">
        <v>46.666662585608101</v>
      </c>
      <c r="G197" s="208">
        <v>106.666666666669</v>
      </c>
      <c r="H197" s="211" t="s">
        <v>32</v>
      </c>
      <c r="I197" s="120">
        <v>53604005</v>
      </c>
      <c r="J197" s="1">
        <v>1758662</v>
      </c>
      <c r="K197" s="1">
        <v>21103939</v>
      </c>
      <c r="L197" s="1">
        <v>536040</v>
      </c>
      <c r="M197" s="1">
        <v>333.08</v>
      </c>
      <c r="N197" s="1">
        <v>536040054</v>
      </c>
      <c r="O197" s="1">
        <v>586221</v>
      </c>
      <c r="P197" s="224">
        <v>536040054263</v>
      </c>
      <c r="Q197" s="120">
        <v>1.17557923126876E+16</v>
      </c>
      <c r="R197" s="59">
        <v>117557923126876</v>
      </c>
      <c r="S197" s="59">
        <v>1175579231269</v>
      </c>
      <c r="T197" s="1">
        <v>11755792313</v>
      </c>
      <c r="U197" s="59">
        <v>18221514527695</v>
      </c>
      <c r="V197" s="59">
        <v>126538295331</v>
      </c>
      <c r="W197" s="1">
        <v>117557923</v>
      </c>
      <c r="X197" s="1">
        <v>1175579</v>
      </c>
      <c r="Y197" s="119">
        <v>2904920</v>
      </c>
      <c r="Z197" s="143">
        <v>5</v>
      </c>
      <c r="AA197" s="15">
        <v>95.539917000000003</v>
      </c>
      <c r="AB197" s="2">
        <v>95.539917000000003</v>
      </c>
      <c r="AC197" s="16">
        <v>142</v>
      </c>
      <c r="AD197" s="19" t="s">
        <v>10</v>
      </c>
      <c r="AE197" s="22">
        <v>46.666668000000001</v>
      </c>
      <c r="AF197" s="22">
        <v>46.666668000000001</v>
      </c>
      <c r="AG197" s="200">
        <v>106.666664</v>
      </c>
      <c r="AH197" s="19" t="s">
        <v>32</v>
      </c>
      <c r="AI197" s="13">
        <v>53603869</v>
      </c>
      <c r="AJ197" s="2">
        <v>1758657</v>
      </c>
      <c r="AK197" s="2">
        <v>21103885</v>
      </c>
      <c r="AL197" s="2">
        <v>536039</v>
      </c>
      <c r="AM197" s="2">
        <f>AA197+AB197+AC197</f>
        <v>333.07983400000001</v>
      </c>
      <c r="AN197" s="2">
        <v>536038690</v>
      </c>
      <c r="AO197" s="2">
        <v>586219</v>
      </c>
      <c r="AP197" s="185">
        <v>536038690176</v>
      </c>
      <c r="AQ197" s="28">
        <v>1.1755649191E+16</v>
      </c>
      <c r="AR197" s="204">
        <v>117556491910000</v>
      </c>
      <c r="AS197" s="29">
        <v>1175564919100</v>
      </c>
      <c r="AT197" s="2">
        <f>SQRT((AL197/2)*(AL197/2-AA197*63360*2.54/100)*(AL197/2-AB197*63360*2.54/100)*(AL197/2-AC197*63360*2.54/100))</f>
        <v>11755649191.119104</v>
      </c>
      <c r="AU197" s="29">
        <v>18221292688635</v>
      </c>
      <c r="AV197" s="29">
        <v>126536754782</v>
      </c>
      <c r="AW197" s="2">
        <v>117556492</v>
      </c>
      <c r="AX197" s="2">
        <v>1175565</v>
      </c>
      <c r="AY197" s="42">
        <v>2904884</v>
      </c>
      <c r="AZ197" s="238" t="s">
        <v>10</v>
      </c>
      <c r="BA197" s="217">
        <f t="shared" si="80"/>
        <v>1.4239184437157425E-5</v>
      </c>
      <c r="BB197" s="73">
        <f t="shared" si="81"/>
        <v>5.8879774648478111E-6</v>
      </c>
      <c r="BC197" s="230">
        <f t="shared" si="82"/>
        <v>-1.16022680259931E-5</v>
      </c>
      <c r="BD197" s="238" t="s">
        <v>32</v>
      </c>
      <c r="BE197" s="214">
        <f t="shared" si="63"/>
        <v>2.537130295576239E-4</v>
      </c>
      <c r="BF197" s="82">
        <f t="shared" si="84"/>
        <v>2.843078553691823E-4</v>
      </c>
      <c r="BG197" s="82">
        <f t="shared" si="65"/>
        <v>2.5587705770762113E-4</v>
      </c>
      <c r="BH197" s="82">
        <f t="shared" si="66"/>
        <v>1.8655359031712244E-4</v>
      </c>
      <c r="BI197" s="82">
        <f t="shared" si="67"/>
        <v>4.9837901618143058E-5</v>
      </c>
      <c r="BJ197" s="82">
        <f t="shared" si="85"/>
        <v>2.5445924435044045E-4</v>
      </c>
      <c r="BK197" s="83">
        <f t="shared" si="69"/>
        <v>3.4116942644301875E-4</v>
      </c>
      <c r="BL197" s="96">
        <f t="shared" si="70"/>
        <v>2.5447547443863111E-4</v>
      </c>
      <c r="BM197" s="139">
        <f t="shared" si="71"/>
        <v>1.2174715770658794E-3</v>
      </c>
      <c r="BN197" s="80">
        <f t="shared" si="72"/>
        <v>1.2174715770658794E-3</v>
      </c>
      <c r="BO197" s="83">
        <f t="shared" si="73"/>
        <v>1.2174715974815958E-3</v>
      </c>
      <c r="BP197" s="80">
        <f t="shared" si="74"/>
        <v>1.2174732213320653E-3</v>
      </c>
      <c r="BQ197" s="80">
        <f t="shared" si="75"/>
        <v>1.2174715800397941E-3</v>
      </c>
      <c r="BR197" s="81">
        <f t="shared" si="76"/>
        <v>1.2174715580892588E-3</v>
      </c>
      <c r="BS197" s="80">
        <f t="shared" si="77"/>
        <v>1.2172870895126745E-3</v>
      </c>
      <c r="BT197" s="80">
        <f t="shared" si="78"/>
        <v>1.1909167081360877E-3</v>
      </c>
      <c r="BU197" s="96">
        <f t="shared" si="79"/>
        <v>1.2392921713913533E-3</v>
      </c>
    </row>
    <row r="198" spans="1:73" x14ac:dyDescent="0.25">
      <c r="A198" s="54" t="s">
        <v>75</v>
      </c>
      <c r="B198" s="60">
        <v>85.183256</v>
      </c>
      <c r="C198" s="57">
        <v>72</v>
      </c>
      <c r="D198" s="1" t="s">
        <v>6</v>
      </c>
      <c r="E198" s="54" t="s">
        <v>75</v>
      </c>
      <c r="F198" s="54" t="s">
        <v>75</v>
      </c>
      <c r="G198" s="241" t="s">
        <v>75</v>
      </c>
      <c r="H198" s="211" t="s">
        <v>32</v>
      </c>
      <c r="I198" s="118"/>
      <c r="J198" s="1"/>
      <c r="K198" s="1"/>
      <c r="L198" s="1"/>
      <c r="M198" s="49"/>
      <c r="N198" s="1"/>
      <c r="O198" s="1"/>
      <c r="P198" s="6"/>
      <c r="Q198" s="127"/>
      <c r="R198" s="78"/>
      <c r="S198" s="78"/>
      <c r="T198" s="50"/>
      <c r="U198" s="78"/>
      <c r="V198" s="49"/>
      <c r="W198" s="51"/>
      <c r="X198" s="79"/>
      <c r="Y198" s="128"/>
      <c r="Z198" s="143">
        <v>6</v>
      </c>
      <c r="AA198" s="74">
        <v>85.183233000000001</v>
      </c>
      <c r="AB198" s="186">
        <v>85.183256</v>
      </c>
      <c r="AC198" s="185">
        <v>72</v>
      </c>
      <c r="AD198" s="19" t="s">
        <v>6</v>
      </c>
      <c r="AE198" s="22">
        <v>72.222223</v>
      </c>
      <c r="AF198" s="22">
        <v>72.222223</v>
      </c>
      <c r="AG198" s="200">
        <v>55.555554999999998</v>
      </c>
      <c r="AH198" s="19" t="s">
        <v>32</v>
      </c>
      <c r="AI198" s="187">
        <v>24.236599999999999</v>
      </c>
      <c r="AJ198" s="2">
        <v>0.79516399999999998</v>
      </c>
      <c r="AK198" s="2">
        <v>9.5419699999999992</v>
      </c>
      <c r="AL198" s="2">
        <v>0.242366</v>
      </c>
      <c r="AM198" s="2">
        <v>1.5059900000000001E-4</v>
      </c>
      <c r="AN198" s="2">
        <f>AA198+AB198+AC198</f>
        <v>242.366489</v>
      </c>
      <c r="AO198" s="2">
        <v>0.26505499999999999</v>
      </c>
      <c r="AP198" s="16">
        <v>242366</v>
      </c>
      <c r="AQ198" s="15">
        <f>SQRT((AN198/2)*(AN198/2-AA198)*(AN198/2-AB198)*(AN198/2-AC198))</f>
        <v>2779.2804727187645</v>
      </c>
      <c r="AR198" s="12">
        <v>27.7928</v>
      </c>
      <c r="AS198" s="2">
        <v>0.27792800000000001</v>
      </c>
      <c r="AT198" s="23">
        <v>2.7792799999999999E-3</v>
      </c>
      <c r="AU198" s="2">
        <v>4.3078900000000004</v>
      </c>
      <c r="AV198" s="2">
        <v>2.9915899999999999E-2</v>
      </c>
      <c r="AW198" s="31">
        <v>2.7792799999999999E-5</v>
      </c>
      <c r="AX198" s="32">
        <v>2.77928E-7</v>
      </c>
      <c r="AY198" s="44">
        <v>6.8677504460406296E-7</v>
      </c>
      <c r="AZ198" s="238" t="s">
        <v>6</v>
      </c>
      <c r="BA198" s="293" t="s">
        <v>75</v>
      </c>
      <c r="BB198" s="293" t="s">
        <v>75</v>
      </c>
      <c r="BC198" s="293" t="s">
        <v>75</v>
      </c>
      <c r="BD198" s="238" t="s">
        <v>32</v>
      </c>
      <c r="BE198" s="293" t="s">
        <v>75</v>
      </c>
      <c r="BF198" s="293" t="s">
        <v>75</v>
      </c>
      <c r="BG198" s="293" t="s">
        <v>75</v>
      </c>
      <c r="BH198" s="293" t="s">
        <v>75</v>
      </c>
      <c r="BI198" s="293" t="s">
        <v>75</v>
      </c>
      <c r="BJ198" s="293" t="s">
        <v>75</v>
      </c>
      <c r="BK198" s="293" t="s">
        <v>75</v>
      </c>
      <c r="BL198" s="296" t="s">
        <v>75</v>
      </c>
      <c r="BM198" s="298" t="s">
        <v>75</v>
      </c>
      <c r="BN198" s="293" t="s">
        <v>75</v>
      </c>
      <c r="BO198" s="293" t="s">
        <v>75</v>
      </c>
      <c r="BP198" s="293" t="s">
        <v>75</v>
      </c>
      <c r="BQ198" s="293" t="s">
        <v>75</v>
      </c>
      <c r="BR198" s="293" t="s">
        <v>75</v>
      </c>
      <c r="BS198" s="293" t="s">
        <v>75</v>
      </c>
      <c r="BT198" s="293" t="s">
        <v>75</v>
      </c>
      <c r="BU198" s="299" t="s">
        <v>75</v>
      </c>
    </row>
    <row r="199" spans="1:73" x14ac:dyDescent="0.25">
      <c r="A199" s="171">
        <v>128.64739148171401</v>
      </c>
      <c r="B199" s="57">
        <v>68.451842999999997</v>
      </c>
      <c r="C199" s="57">
        <v>88</v>
      </c>
      <c r="D199" s="1" t="s">
        <v>7</v>
      </c>
      <c r="E199" s="57">
        <v>122.222225112017</v>
      </c>
      <c r="F199" s="60">
        <v>33.333330443540603</v>
      </c>
      <c r="G199" s="208">
        <v>44.444444444442397</v>
      </c>
      <c r="H199" s="211" t="s">
        <v>32</v>
      </c>
      <c r="I199" s="118">
        <v>26069.5</v>
      </c>
      <c r="J199" s="1">
        <v>855.298</v>
      </c>
      <c r="K199" s="1">
        <v>10263.6</v>
      </c>
      <c r="L199" s="1">
        <v>260.69499999999999</v>
      </c>
      <c r="M199" s="1">
        <v>0.16198799999999999</v>
      </c>
      <c r="N199" s="1">
        <v>260695</v>
      </c>
      <c r="O199" s="1">
        <v>285.09899999999999</v>
      </c>
      <c r="P199" s="6">
        <v>260694740</v>
      </c>
      <c r="Q199" s="118">
        <v>2366443098</v>
      </c>
      <c r="R199" s="1">
        <v>23664431</v>
      </c>
      <c r="S199" s="1">
        <v>236644</v>
      </c>
      <c r="T199" s="1">
        <v>2366.44</v>
      </c>
      <c r="U199" s="1">
        <v>3667994</v>
      </c>
      <c r="V199" s="1">
        <v>25472.2</v>
      </c>
      <c r="W199" s="1">
        <v>23.664400000000001</v>
      </c>
      <c r="X199" s="1">
        <v>0.23664399999999999</v>
      </c>
      <c r="Y199" s="119">
        <v>0.58476099999999998</v>
      </c>
      <c r="Z199" s="143">
        <v>7</v>
      </c>
      <c r="AA199" s="15">
        <v>128.647457</v>
      </c>
      <c r="AB199" s="2">
        <v>68.451842999999997</v>
      </c>
      <c r="AC199" s="16">
        <v>88</v>
      </c>
      <c r="AD199" s="19" t="s">
        <v>7</v>
      </c>
      <c r="AE199" s="359">
        <v>122.222222</v>
      </c>
      <c r="AF199" s="359">
        <v>33.333334000000001</v>
      </c>
      <c r="AG199" s="673">
        <v>44.444443</v>
      </c>
      <c r="AH199" s="19" t="s">
        <v>32</v>
      </c>
      <c r="AI199" s="13">
        <v>26069.5</v>
      </c>
      <c r="AJ199" s="2">
        <v>855.29700000000003</v>
      </c>
      <c r="AK199" s="2">
        <v>10263.6</v>
      </c>
      <c r="AL199" s="2">
        <v>260.69499999999999</v>
      </c>
      <c r="AM199" s="2">
        <v>0.16198799999999999</v>
      </c>
      <c r="AN199" s="2">
        <v>260695</v>
      </c>
      <c r="AO199" s="2">
        <v>285.09899999999999</v>
      </c>
      <c r="AP199" s="16">
        <v>260694526</v>
      </c>
      <c r="AQ199" s="15">
        <v>2366420000</v>
      </c>
      <c r="AR199" s="12">
        <v>23664200</v>
      </c>
      <c r="AS199" s="2">
        <v>236642</v>
      </c>
      <c r="AT199" s="2">
        <f>SQRT((AO199/2)*(AO199/2-AA199)*(AO199/2-AB199)*(AO199/2-AC199))*0.9144*0.9144</f>
        <v>2366.4221547533411</v>
      </c>
      <c r="AU199" s="2">
        <v>3667958</v>
      </c>
      <c r="AV199" s="2">
        <v>25471.9</v>
      </c>
      <c r="AW199" s="2">
        <v>23.664200000000001</v>
      </c>
      <c r="AX199" s="2">
        <v>0.23664199999999999</v>
      </c>
      <c r="AY199" s="42">
        <v>0.58475500000000002</v>
      </c>
      <c r="AZ199" s="238" t="s">
        <v>7</v>
      </c>
      <c r="BA199" s="217">
        <f t="shared" si="80"/>
        <v>-5.092855119008975E-5</v>
      </c>
      <c r="BB199" s="73">
        <f t="shared" si="81"/>
        <v>2.5461957301634467E-6</v>
      </c>
      <c r="BC199" s="230">
        <f t="shared" si="82"/>
        <v>-1.0669377978220287E-5</v>
      </c>
      <c r="BD199" s="238" t="s">
        <v>32</v>
      </c>
      <c r="BE199" s="214">
        <f t="shared" si="63"/>
        <v>0</v>
      </c>
      <c r="BF199" s="82">
        <f t="shared" si="84"/>
        <v>1.1691845054716118E-4</v>
      </c>
      <c r="BG199" s="82">
        <f t="shared" si="65"/>
        <v>0</v>
      </c>
      <c r="BH199" s="82">
        <f t="shared" si="66"/>
        <v>0</v>
      </c>
      <c r="BI199" s="82">
        <f t="shared" si="67"/>
        <v>0</v>
      </c>
      <c r="BJ199" s="82">
        <f t="shared" si="85"/>
        <v>0</v>
      </c>
      <c r="BK199" s="83">
        <f t="shared" si="69"/>
        <v>0</v>
      </c>
      <c r="BL199" s="96">
        <f t="shared" si="70"/>
        <v>8.2088413317892218E-5</v>
      </c>
      <c r="BM199" s="139">
        <f t="shared" si="71"/>
        <v>9.7607356259666505E-4</v>
      </c>
      <c r="BN199" s="80">
        <f t="shared" si="72"/>
        <v>9.7615807844761285E-4</v>
      </c>
      <c r="BO199" s="83">
        <f t="shared" si="73"/>
        <v>8.4515850947845263E-4</v>
      </c>
      <c r="BP199" s="80">
        <f t="shared" si="74"/>
        <v>7.5410241672487703E-4</v>
      </c>
      <c r="BQ199" s="80">
        <f t="shared" si="75"/>
        <v>9.8147252503981777E-4</v>
      </c>
      <c r="BR199" s="81">
        <f t="shared" si="76"/>
        <v>1.1777684428694851E-3</v>
      </c>
      <c r="BS199" s="80">
        <f t="shared" si="77"/>
        <v>8.4515850947648296E-4</v>
      </c>
      <c r="BT199" s="80">
        <f t="shared" si="78"/>
        <v>8.4515850947929798E-4</v>
      </c>
      <c r="BU199" s="96">
        <f t="shared" si="79"/>
        <v>1.0260707475695785E-3</v>
      </c>
    </row>
    <row r="200" spans="1:73" ht="15.75" thickBot="1" x14ac:dyDescent="0.3">
      <c r="A200" s="176">
        <v>64.278774449646406</v>
      </c>
      <c r="B200" s="177">
        <v>76.604433</v>
      </c>
      <c r="C200" s="177">
        <v>100</v>
      </c>
      <c r="D200" s="55" t="s">
        <v>20</v>
      </c>
      <c r="E200" s="177">
        <v>44.444455647798101</v>
      </c>
      <c r="F200" s="178">
        <v>55.555544352201899</v>
      </c>
      <c r="G200" s="209">
        <v>100</v>
      </c>
      <c r="H200" s="212" t="s">
        <v>32</v>
      </c>
      <c r="I200" s="121">
        <v>2.40883E-2</v>
      </c>
      <c r="J200" s="64">
        <v>7.9029899999999995E-4</v>
      </c>
      <c r="K200" s="55">
        <v>9.4835900000000001E-3</v>
      </c>
      <c r="L200" s="62">
        <v>2.40883E-4</v>
      </c>
      <c r="M200" s="65">
        <v>1.4967788580293999E-7</v>
      </c>
      <c r="N200" s="66">
        <v>0.24088300000000001</v>
      </c>
      <c r="O200" s="64">
        <v>2.6343299999999998E-4</v>
      </c>
      <c r="P200" s="113">
        <v>240.88300000000001</v>
      </c>
      <c r="Q200" s="129">
        <v>2.4620200000000001E-3</v>
      </c>
      <c r="R200" s="67">
        <v>2.46201953532502E-5</v>
      </c>
      <c r="S200" s="68">
        <v>2.4620195353250199E-7</v>
      </c>
      <c r="T200" s="69">
        <v>2.4620195353250202E-9</v>
      </c>
      <c r="U200" s="67">
        <v>3.8161379120296098E-6</v>
      </c>
      <c r="V200" s="68">
        <v>2.65009577224278E-8</v>
      </c>
      <c r="W200" s="70">
        <v>2.4620195353250199E-11</v>
      </c>
      <c r="X200" s="71">
        <v>2.4620195353250198E-13</v>
      </c>
      <c r="Y200" s="72">
        <v>6.0837827645610303E-13</v>
      </c>
      <c r="Z200" s="144">
        <v>8</v>
      </c>
      <c r="AA200" s="17">
        <v>64.278809999999993</v>
      </c>
      <c r="AB200" s="9">
        <v>76.604433</v>
      </c>
      <c r="AC200" s="10">
        <v>100</v>
      </c>
      <c r="AD200" s="20" t="s">
        <v>20</v>
      </c>
      <c r="AE200" s="197">
        <v>44.444445999999999</v>
      </c>
      <c r="AF200" s="197">
        <v>55.555554000000001</v>
      </c>
      <c r="AG200" s="201">
        <v>100</v>
      </c>
      <c r="AH200" s="20" t="s">
        <v>32</v>
      </c>
      <c r="AI200" s="17">
        <v>2.40883E-2</v>
      </c>
      <c r="AJ200" s="9">
        <v>7.9029899999999995E-4</v>
      </c>
      <c r="AK200" s="9">
        <v>9.4835800000000001E-3</v>
      </c>
      <c r="AL200" s="9">
        <v>2.40883E-4</v>
      </c>
      <c r="AM200" s="203">
        <v>1.49677756899706E-7</v>
      </c>
      <c r="AN200" s="9">
        <v>0.24088300000000001</v>
      </c>
      <c r="AO200" s="9">
        <v>2.6343299999999998E-4</v>
      </c>
      <c r="AP200" s="10">
        <f>AA200+AB200+AC200</f>
        <v>240.88324299999999</v>
      </c>
      <c r="AQ200" s="17">
        <f>SQRT((AP200/2)*(AP200/2-AA200)*(AP200/2-AB200)*(AP200/2-AC200))/1000000</f>
        <v>2.4620208969820998E-3</v>
      </c>
      <c r="AR200" s="205">
        <v>2.4620199999999998E-5</v>
      </c>
      <c r="AS200" s="189">
        <v>2.4620200000000002E-7</v>
      </c>
      <c r="AT200" s="190">
        <v>2.4620200000000001E-9</v>
      </c>
      <c r="AU200" s="36">
        <v>3.8161386322772603E-6</v>
      </c>
      <c r="AV200" s="206">
        <v>2.6500962724147702E-8</v>
      </c>
      <c r="AW200" s="191">
        <v>2.46202E-11</v>
      </c>
      <c r="AX200" s="192">
        <v>2.4620199999999999E-13</v>
      </c>
      <c r="AY200" s="193">
        <v>6.0837839127978995E-13</v>
      </c>
      <c r="AZ200" s="239" t="s">
        <v>20</v>
      </c>
      <c r="BA200" s="218">
        <f t="shared" si="80"/>
        <v>-5.5306489941482833E-5</v>
      </c>
      <c r="BB200" s="97">
        <f t="shared" si="81"/>
        <v>2.1707544969179881E-5</v>
      </c>
      <c r="BC200" s="231">
        <f t="shared" si="82"/>
        <v>-1.7366037069404203E-5</v>
      </c>
      <c r="BD200" s="239" t="s">
        <v>32</v>
      </c>
      <c r="BE200" s="215">
        <f t="shared" si="63"/>
        <v>0</v>
      </c>
      <c r="BF200" s="98">
        <f t="shared" si="84"/>
        <v>0</v>
      </c>
      <c r="BG200" s="98">
        <f t="shared" si="65"/>
        <v>1.0544541196405379E-4</v>
      </c>
      <c r="BH200" s="98">
        <f t="shared" si="66"/>
        <v>0</v>
      </c>
      <c r="BI200" s="98">
        <f t="shared" si="67"/>
        <v>8.6120500911206172E-5</v>
      </c>
      <c r="BJ200" s="98">
        <f t="shared" si="85"/>
        <v>0</v>
      </c>
      <c r="BK200" s="99">
        <f t="shared" si="69"/>
        <v>0</v>
      </c>
      <c r="BL200" s="102">
        <f t="shared" si="70"/>
        <v>-1.0087874812584614E-4</v>
      </c>
      <c r="BM200" s="140">
        <f t="shared" si="71"/>
        <v>-3.6432757366391505E-5</v>
      </c>
      <c r="BN200" s="100">
        <f t="shared" si="72"/>
        <v>-1.8873728884296402E-5</v>
      </c>
      <c r="BO200" s="99">
        <f t="shared" si="73"/>
        <v>-1.8873728902358488E-5</v>
      </c>
      <c r="BP200" s="100">
        <f t="shared" si="74"/>
        <v>-1.8873728887575527E-5</v>
      </c>
      <c r="BQ200" s="100">
        <f t="shared" si="75"/>
        <v>-1.8873728653086518E-5</v>
      </c>
      <c r="BR200" s="101">
        <f t="shared" si="76"/>
        <v>-1.8873729056777565E-5</v>
      </c>
      <c r="BS200" s="100">
        <f t="shared" si="77"/>
        <v>-1.887372889597494E-5</v>
      </c>
      <c r="BT200" s="100">
        <f t="shared" si="78"/>
        <v>-1.8873728893514177E-5</v>
      </c>
      <c r="BU200" s="102">
        <f t="shared" si="79"/>
        <v>-1.8873728680792315E-5</v>
      </c>
    </row>
    <row r="201" spans="1:73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146"/>
      <c r="K201" s="3"/>
      <c r="L201" s="147"/>
      <c r="M201" s="148"/>
      <c r="N201" s="149"/>
      <c r="O201" s="146"/>
      <c r="P201" s="3"/>
      <c r="Q201" s="150"/>
      <c r="R201" s="151"/>
      <c r="S201" s="152"/>
      <c r="T201" s="153"/>
      <c r="U201" s="151"/>
      <c r="V201" s="152"/>
      <c r="W201" s="154"/>
      <c r="X201" s="155"/>
      <c r="Y201" s="156"/>
      <c r="Z201" s="157"/>
      <c r="AA201" s="3"/>
      <c r="AB201" s="3"/>
      <c r="AC201" s="3"/>
      <c r="AD201" s="3"/>
      <c r="AE201" s="3"/>
      <c r="AF201" s="3"/>
      <c r="AG201" s="3"/>
      <c r="AH201" s="3"/>
      <c r="AI201" s="3"/>
      <c r="AJ201" s="146"/>
      <c r="AK201" s="3"/>
      <c r="AL201" s="158"/>
      <c r="AM201" s="148"/>
      <c r="AN201" s="3"/>
      <c r="AO201" s="146"/>
      <c r="AP201" s="3"/>
      <c r="AQ201" s="3"/>
      <c r="AR201" s="159"/>
      <c r="AS201" s="159"/>
      <c r="AT201" s="159"/>
      <c r="AU201" s="160"/>
      <c r="AV201" s="160"/>
      <c r="AW201" s="159"/>
      <c r="AX201" s="159"/>
      <c r="AY201" s="160"/>
      <c r="AZ201" s="3"/>
      <c r="BA201" s="150"/>
      <c r="BB201" s="150"/>
      <c r="BC201" s="150"/>
      <c r="BD201" s="3"/>
      <c r="BE201" s="161"/>
      <c r="BF201" s="161"/>
      <c r="BG201" s="161"/>
      <c r="BH201" s="161"/>
      <c r="BI201" s="161"/>
      <c r="BJ201" s="161"/>
      <c r="BK201" s="162"/>
      <c r="BL201" s="146"/>
      <c r="BM201" s="146"/>
      <c r="BN201" s="146"/>
      <c r="BO201" s="162"/>
      <c r="BP201" s="146"/>
      <c r="BQ201" s="146"/>
      <c r="BR201" s="153"/>
      <c r="BS201" s="146"/>
      <c r="BT201" s="146"/>
      <c r="BU201" s="146"/>
    </row>
    <row r="202" spans="1:73" x14ac:dyDescent="0.25">
      <c r="A202" s="145" t="s">
        <v>2</v>
      </c>
      <c r="B202" t="s">
        <v>3</v>
      </c>
    </row>
    <row r="203" spans="1:73" x14ac:dyDescent="0.25">
      <c r="A203" s="145" t="s">
        <v>44</v>
      </c>
      <c r="B203" s="507">
        <v>40783</v>
      </c>
    </row>
    <row r="204" spans="1:73" ht="15.75" thickBot="1" x14ac:dyDescent="0.3"/>
    <row r="205" spans="1:73" ht="21.75" thickBot="1" x14ac:dyDescent="0.3">
      <c r="A205" s="894" t="s">
        <v>117</v>
      </c>
      <c r="B205" s="895"/>
      <c r="C205" s="895"/>
      <c r="D205" s="895"/>
      <c r="E205" s="895"/>
      <c r="F205" s="895"/>
      <c r="G205" s="895"/>
      <c r="H205" s="895"/>
      <c r="I205" s="895"/>
      <c r="J205" s="895"/>
      <c r="K205" s="895"/>
      <c r="L205" s="895"/>
      <c r="M205" s="895"/>
      <c r="N205" s="895"/>
      <c r="O205" s="895"/>
      <c r="P205" s="895"/>
      <c r="Q205" s="895"/>
      <c r="R205" s="895"/>
      <c r="S205" s="895"/>
      <c r="T205" s="895"/>
      <c r="U205" s="895"/>
      <c r="V205" s="895"/>
      <c r="W205" s="895"/>
      <c r="X205" s="895"/>
      <c r="Y205" s="896"/>
    </row>
    <row r="206" spans="1:73" x14ac:dyDescent="0.25">
      <c r="A206" t="s">
        <v>129</v>
      </c>
      <c r="F206" t="s">
        <v>118</v>
      </c>
      <c r="M206" t="s">
        <v>130</v>
      </c>
    </row>
    <row r="207" spans="1:73" x14ac:dyDescent="0.25">
      <c r="A207" s="884" t="s">
        <v>119</v>
      </c>
    </row>
    <row r="233" spans="1:1" x14ac:dyDescent="0.25">
      <c r="A233" s="884"/>
    </row>
    <row r="234" spans="1:1" x14ac:dyDescent="0.25">
      <c r="A234" s="884"/>
    </row>
    <row r="235" spans="1:1" x14ac:dyDescent="0.25">
      <c r="A235" s="884"/>
    </row>
    <row r="236" spans="1:1" x14ac:dyDescent="0.25">
      <c r="A236" s="884" t="s">
        <v>120</v>
      </c>
    </row>
    <row r="264" spans="1:1" x14ac:dyDescent="0.25">
      <c r="A264" s="884" t="s">
        <v>121</v>
      </c>
    </row>
    <row r="292" spans="1:1" x14ac:dyDescent="0.25">
      <c r="A292" s="884" t="s">
        <v>122</v>
      </c>
    </row>
    <row r="320" spans="1:1" x14ac:dyDescent="0.25">
      <c r="A320" s="884" t="s">
        <v>123</v>
      </c>
    </row>
    <row r="348" spans="1:1" x14ac:dyDescent="0.25">
      <c r="A348" s="884" t="s">
        <v>124</v>
      </c>
    </row>
    <row r="376" spans="1:1" x14ac:dyDescent="0.25">
      <c r="A376" s="884" t="s">
        <v>125</v>
      </c>
    </row>
    <row r="404" spans="1:1" x14ac:dyDescent="0.25">
      <c r="A404" s="884" t="s">
        <v>126</v>
      </c>
    </row>
    <row r="432" spans="1:1" x14ac:dyDescent="0.25">
      <c r="A432" s="884" t="s">
        <v>127</v>
      </c>
    </row>
    <row r="460" spans="1:1" x14ac:dyDescent="0.25">
      <c r="A460" s="884" t="s">
        <v>128</v>
      </c>
    </row>
    <row r="487" spans="1:2" x14ac:dyDescent="0.25">
      <c r="A487" s="145" t="s">
        <v>2</v>
      </c>
      <c r="B487" t="s">
        <v>131</v>
      </c>
    </row>
    <row r="488" spans="1:2" x14ac:dyDescent="0.25">
      <c r="A488" s="145" t="s">
        <v>44</v>
      </c>
      <c r="B488" s="507">
        <v>41183</v>
      </c>
    </row>
  </sheetData>
  <mergeCells count="128">
    <mergeCell ref="BC126:BC127"/>
    <mergeCell ref="BD126:BD127"/>
    <mergeCell ref="AQ125:AY126"/>
    <mergeCell ref="AZ125:BD125"/>
    <mergeCell ref="AZ126:AZ127"/>
    <mergeCell ref="BA126:BA127"/>
    <mergeCell ref="BE125:BL126"/>
    <mergeCell ref="BM125:BU126"/>
    <mergeCell ref="BB126:BB127"/>
    <mergeCell ref="AA126:AA127"/>
    <mergeCell ref="AB126:AB127"/>
    <mergeCell ref="AC126:AC127"/>
    <mergeCell ref="A125:H125"/>
    <mergeCell ref="I125:P126"/>
    <mergeCell ref="Q125:Y126"/>
    <mergeCell ref="Z125:AH125"/>
    <mergeCell ref="AI125:AP126"/>
    <mergeCell ref="AF126:AF127"/>
    <mergeCell ref="AG126:AG127"/>
    <mergeCell ref="AH126:AH127"/>
    <mergeCell ref="AD126:AD127"/>
    <mergeCell ref="A126:A127"/>
    <mergeCell ref="B126:B127"/>
    <mergeCell ref="C126:C127"/>
    <mergeCell ref="D126:D127"/>
    <mergeCell ref="E126:E127"/>
    <mergeCell ref="F126:F127"/>
    <mergeCell ref="G126:G127"/>
    <mergeCell ref="H126:H127"/>
    <mergeCell ref="Z126:Z127"/>
    <mergeCell ref="AE126:AE127"/>
    <mergeCell ref="BE24:BL25"/>
    <mergeCell ref="BM24:BU25"/>
    <mergeCell ref="A25:A26"/>
    <mergeCell ref="B25:B26"/>
    <mergeCell ref="C25:C26"/>
    <mergeCell ref="D25:D26"/>
    <mergeCell ref="E25:E26"/>
    <mergeCell ref="F25:F26"/>
    <mergeCell ref="AZ24:BD24"/>
    <mergeCell ref="BB25:BB26"/>
    <mergeCell ref="I24:P25"/>
    <mergeCell ref="Q24:Y25"/>
    <mergeCell ref="BA25:BA26"/>
    <mergeCell ref="BC25:BC26"/>
    <mergeCell ref="AZ75:BD75"/>
    <mergeCell ref="AF76:AF77"/>
    <mergeCell ref="AG76:AG77"/>
    <mergeCell ref="AH76:AH77"/>
    <mergeCell ref="AZ76:AZ77"/>
    <mergeCell ref="BA76:BA77"/>
    <mergeCell ref="BB76:BB77"/>
    <mergeCell ref="A24:H24"/>
    <mergeCell ref="Z24:AH24"/>
    <mergeCell ref="AI24:AP25"/>
    <mergeCell ref="AQ24:AY25"/>
    <mergeCell ref="G25:G26"/>
    <mergeCell ref="BD25:BD26"/>
    <mergeCell ref="H25:H26"/>
    <mergeCell ref="Z25:Z26"/>
    <mergeCell ref="AZ25:AZ26"/>
    <mergeCell ref="AE25:AE26"/>
    <mergeCell ref="AF25:AF26"/>
    <mergeCell ref="AG25:AG26"/>
    <mergeCell ref="AH25:AH26"/>
    <mergeCell ref="AA25:AA26"/>
    <mergeCell ref="AB25:AB26"/>
    <mergeCell ref="AC25:AC26"/>
    <mergeCell ref="AD25:AD26"/>
    <mergeCell ref="BE75:BL76"/>
    <mergeCell ref="BM75:BU76"/>
    <mergeCell ref="A76:A77"/>
    <mergeCell ref="B76:B77"/>
    <mergeCell ref="C76:C77"/>
    <mergeCell ref="D76:D77"/>
    <mergeCell ref="E76:E77"/>
    <mergeCell ref="F76:F77"/>
    <mergeCell ref="G76:G77"/>
    <mergeCell ref="H76:H77"/>
    <mergeCell ref="Z76:Z77"/>
    <mergeCell ref="AA76:AA77"/>
    <mergeCell ref="AB76:AB77"/>
    <mergeCell ref="AC76:AC77"/>
    <mergeCell ref="AD76:AD77"/>
    <mergeCell ref="AE76:AE77"/>
    <mergeCell ref="BC76:BC77"/>
    <mergeCell ref="BD76:BD77"/>
    <mergeCell ref="A75:H75"/>
    <mergeCell ref="I75:P76"/>
    <mergeCell ref="Q75:Y76"/>
    <mergeCell ref="Z75:AH75"/>
    <mergeCell ref="AI75:AP76"/>
    <mergeCell ref="AQ75:AY76"/>
    <mergeCell ref="AG175:AG176"/>
    <mergeCell ref="AH175:AH176"/>
    <mergeCell ref="A175:A176"/>
    <mergeCell ref="B175:B176"/>
    <mergeCell ref="C175:C176"/>
    <mergeCell ref="D175:D176"/>
    <mergeCell ref="E175:E176"/>
    <mergeCell ref="F175:F176"/>
    <mergeCell ref="G175:G176"/>
    <mergeCell ref="H175:H176"/>
    <mergeCell ref="Z175:Z176"/>
    <mergeCell ref="A205:Y205"/>
    <mergeCell ref="A1:Y1"/>
    <mergeCell ref="Z1:AY1"/>
    <mergeCell ref="AZ1:BU1"/>
    <mergeCell ref="AZ175:AZ176"/>
    <mergeCell ref="BA175:BA176"/>
    <mergeCell ref="BB175:BB176"/>
    <mergeCell ref="BC175:BC176"/>
    <mergeCell ref="BD175:BD176"/>
    <mergeCell ref="AQ174:AY175"/>
    <mergeCell ref="AZ174:BD174"/>
    <mergeCell ref="BE174:BL175"/>
    <mergeCell ref="BM174:BU175"/>
    <mergeCell ref="AA175:AA176"/>
    <mergeCell ref="AB175:AB176"/>
    <mergeCell ref="AC175:AC176"/>
    <mergeCell ref="A174:H174"/>
    <mergeCell ref="I174:P175"/>
    <mergeCell ref="Q174:Y175"/>
    <mergeCell ref="Z174:AH174"/>
    <mergeCell ref="AI174:AP175"/>
    <mergeCell ref="AD175:AD176"/>
    <mergeCell ref="AE175:AE176"/>
    <mergeCell ref="AF175:AF176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289"/>
  <sheetViews>
    <sheetView zoomScaleNormal="100" workbookViewId="0">
      <pane ySplit="2" topLeftCell="A3" activePane="bottomLeft" state="frozen"/>
      <selection pane="bottomLeft" activeCell="A36" activeCellId="1" sqref="A37:XFD37 A36:XFD36"/>
    </sheetView>
  </sheetViews>
  <sheetFormatPr defaultRowHeight="15" x14ac:dyDescent="0.25"/>
  <cols>
    <col min="1" max="1" width="3.7109375" customWidth="1"/>
    <col min="2" max="2" width="11.42578125" customWidth="1"/>
    <col min="3" max="3" width="11" customWidth="1"/>
    <col min="4" max="4" width="9.140625" customWidth="1"/>
    <col min="5" max="5" width="7.140625" customWidth="1"/>
    <col min="6" max="6" width="9.5703125" customWidth="1"/>
    <col min="7" max="23" width="12" bestFit="1" customWidth="1"/>
    <col min="24" max="24" width="10" bestFit="1" customWidth="1"/>
    <col min="25" max="25" width="11" bestFit="1" customWidth="1"/>
    <col min="26" max="26" width="10" bestFit="1" customWidth="1"/>
    <col min="27" max="28" width="12" bestFit="1" customWidth="1"/>
    <col min="29" max="29" width="11" bestFit="1" customWidth="1"/>
    <col min="30" max="40" width="12" bestFit="1" customWidth="1"/>
    <col min="41" max="57" width="15" bestFit="1" customWidth="1"/>
  </cols>
  <sheetData>
    <row r="1" spans="2:57" s="675" customFormat="1" ht="30" customHeight="1" thickBot="1" x14ac:dyDescent="0.3">
      <c r="C1" s="1002" t="s">
        <v>105</v>
      </c>
      <c r="D1" s="1003"/>
      <c r="E1" s="1004"/>
    </row>
    <row r="2" spans="2:57" s="676" customFormat="1" ht="19.5" thickBot="1" x14ac:dyDescent="0.35">
      <c r="B2" s="947" t="s">
        <v>33</v>
      </c>
      <c r="C2" s="1021"/>
      <c r="D2" s="1021"/>
      <c r="E2" s="1022"/>
      <c r="F2" s="1004"/>
      <c r="G2" s="1010" t="s">
        <v>84</v>
      </c>
      <c r="H2" s="1045"/>
      <c r="I2" s="1045"/>
      <c r="J2" s="1045"/>
      <c r="K2" s="1045"/>
      <c r="L2" s="1045"/>
      <c r="M2" s="1045"/>
      <c r="N2" s="1004"/>
      <c r="O2" s="1009" t="s">
        <v>85</v>
      </c>
      <c r="P2" s="1010"/>
      <c r="Q2" s="1010"/>
      <c r="R2" s="1010"/>
      <c r="S2" s="1010"/>
      <c r="T2" s="1010"/>
      <c r="U2" s="1010"/>
      <c r="V2" s="1010"/>
      <c r="W2" s="1011"/>
      <c r="X2" s="1009" t="s">
        <v>86</v>
      </c>
      <c r="Y2" s="1010"/>
      <c r="Z2" s="1010"/>
      <c r="AA2" s="1010"/>
      <c r="AB2" s="1010"/>
      <c r="AC2" s="1010"/>
      <c r="AD2" s="1010"/>
      <c r="AE2" s="1011"/>
      <c r="AF2" s="1009" t="s">
        <v>87</v>
      </c>
      <c r="AG2" s="1023"/>
      <c r="AH2" s="1023"/>
      <c r="AI2" s="1023"/>
      <c r="AJ2" s="1023"/>
      <c r="AK2" s="1023"/>
      <c r="AL2" s="1023"/>
      <c r="AM2" s="1023"/>
      <c r="AN2" s="1024"/>
      <c r="AO2" s="1009" t="s">
        <v>88</v>
      </c>
      <c r="AP2" s="1010"/>
      <c r="AQ2" s="1010"/>
      <c r="AR2" s="1010"/>
      <c r="AS2" s="1010"/>
      <c r="AT2" s="1010"/>
      <c r="AU2" s="1010"/>
      <c r="AV2" s="1011"/>
      <c r="AW2" s="1009" t="s">
        <v>89</v>
      </c>
      <c r="AX2" s="1023"/>
      <c r="AY2" s="1023"/>
      <c r="AZ2" s="1023"/>
      <c r="BA2" s="1023"/>
      <c r="BB2" s="1023"/>
      <c r="BC2" s="1023"/>
      <c r="BD2" s="1023"/>
      <c r="BE2" s="1024"/>
    </row>
    <row r="3" spans="2:57" x14ac:dyDescent="0.25">
      <c r="B3" s="145"/>
      <c r="C3" s="145"/>
    </row>
    <row r="4" spans="2:57" x14ac:dyDescent="0.25">
      <c r="B4" s="1016" t="s">
        <v>111</v>
      </c>
      <c r="C4" s="1017"/>
      <c r="D4" s="1012" t="s">
        <v>90</v>
      </c>
      <c r="E4" s="1012"/>
      <c r="F4" s="1013"/>
    </row>
    <row r="5" spans="2:57" x14ac:dyDescent="0.25">
      <c r="B5" s="1014" t="s">
        <v>112</v>
      </c>
      <c r="C5" s="1015"/>
      <c r="D5" s="1018">
        <v>41000</v>
      </c>
      <c r="E5" s="1019"/>
      <c r="F5" s="1020"/>
    </row>
    <row r="6" spans="2:57" ht="15.75" thickBot="1" x14ac:dyDescent="0.3"/>
    <row r="7" spans="2:57" ht="17.100000000000001" customHeight="1" thickTop="1" thickBot="1" x14ac:dyDescent="0.3">
      <c r="B7" s="950" t="s">
        <v>106</v>
      </c>
      <c r="C7" s="951"/>
      <c r="D7" s="951"/>
      <c r="E7" s="951"/>
      <c r="F7" s="951"/>
      <c r="G7" s="963" t="s">
        <v>107</v>
      </c>
      <c r="H7" s="1025"/>
      <c r="I7" s="1025"/>
      <c r="J7" s="1025"/>
      <c r="K7" s="1025"/>
      <c r="L7" s="1025"/>
      <c r="M7" s="1025"/>
      <c r="N7" s="1025"/>
      <c r="O7" s="967" t="s">
        <v>108</v>
      </c>
      <c r="P7" s="1025"/>
      <c r="Q7" s="1025"/>
      <c r="R7" s="1025"/>
      <c r="S7" s="1025"/>
      <c r="T7" s="1025"/>
      <c r="U7" s="1025"/>
      <c r="V7" s="1025"/>
      <c r="W7" s="1028"/>
      <c r="X7" s="960" t="s">
        <v>1</v>
      </c>
      <c r="Y7" s="960"/>
      <c r="Z7" s="960"/>
      <c r="AA7" s="960"/>
      <c r="AB7" s="960"/>
      <c r="AC7" s="960"/>
      <c r="AD7" s="960"/>
      <c r="AE7" s="960"/>
      <c r="AF7" s="983" t="s">
        <v>0</v>
      </c>
      <c r="AG7" s="960"/>
      <c r="AH7" s="960"/>
      <c r="AI7" s="960"/>
      <c r="AJ7" s="960"/>
      <c r="AK7" s="960"/>
      <c r="AL7" s="960"/>
      <c r="AM7" s="960"/>
      <c r="AN7" s="1032"/>
      <c r="AO7" s="984" t="s">
        <v>1</v>
      </c>
      <c r="AP7" s="984"/>
      <c r="AQ7" s="984"/>
      <c r="AR7" s="984"/>
      <c r="AS7" s="984"/>
      <c r="AT7" s="984"/>
      <c r="AU7" s="984"/>
      <c r="AV7" s="984"/>
      <c r="AW7" s="989" t="s">
        <v>0</v>
      </c>
      <c r="AX7" s="984"/>
      <c r="AY7" s="984"/>
      <c r="AZ7" s="984"/>
      <c r="BA7" s="984"/>
      <c r="BB7" s="984"/>
      <c r="BC7" s="984"/>
      <c r="BD7" s="984"/>
      <c r="BE7" s="1036"/>
    </row>
    <row r="8" spans="2:57" ht="17.25" customHeight="1" thickBot="1" x14ac:dyDescent="0.3">
      <c r="B8" s="1039" t="s">
        <v>109</v>
      </c>
      <c r="C8" s="1041" t="s">
        <v>110</v>
      </c>
      <c r="D8" s="1043" t="s">
        <v>15</v>
      </c>
      <c r="E8" s="954" t="s">
        <v>16</v>
      </c>
      <c r="F8" s="1043" t="s">
        <v>19</v>
      </c>
      <c r="G8" s="1026"/>
      <c r="H8" s="1027"/>
      <c r="I8" s="1027"/>
      <c r="J8" s="1027"/>
      <c r="K8" s="1027"/>
      <c r="L8" s="1027"/>
      <c r="M8" s="1027"/>
      <c r="N8" s="1027"/>
      <c r="O8" s="1029"/>
      <c r="P8" s="1027"/>
      <c r="Q8" s="1027"/>
      <c r="R8" s="1027"/>
      <c r="S8" s="1027"/>
      <c r="T8" s="1027"/>
      <c r="U8" s="1027"/>
      <c r="V8" s="1027"/>
      <c r="W8" s="1030"/>
      <c r="X8" s="1031"/>
      <c r="Y8" s="1031"/>
      <c r="Z8" s="1031"/>
      <c r="AA8" s="1031"/>
      <c r="AB8" s="1031"/>
      <c r="AC8" s="1031"/>
      <c r="AD8" s="1031"/>
      <c r="AE8" s="1031"/>
      <c r="AF8" s="1033"/>
      <c r="AG8" s="1031"/>
      <c r="AH8" s="1031"/>
      <c r="AI8" s="1031"/>
      <c r="AJ8" s="1031"/>
      <c r="AK8" s="1031"/>
      <c r="AL8" s="1031"/>
      <c r="AM8" s="1031"/>
      <c r="AN8" s="1034"/>
      <c r="AO8" s="1035"/>
      <c r="AP8" s="1035"/>
      <c r="AQ8" s="1035"/>
      <c r="AR8" s="1035"/>
      <c r="AS8" s="1035"/>
      <c r="AT8" s="1035"/>
      <c r="AU8" s="1035"/>
      <c r="AV8" s="1035"/>
      <c r="AW8" s="1037"/>
      <c r="AX8" s="1035"/>
      <c r="AY8" s="1035"/>
      <c r="AZ8" s="1035"/>
      <c r="BA8" s="1035"/>
      <c r="BB8" s="1035"/>
      <c r="BC8" s="1035"/>
      <c r="BD8" s="1035"/>
      <c r="BE8" s="1038"/>
    </row>
    <row r="9" spans="2:57" ht="18" thickBot="1" x14ac:dyDescent="0.3">
      <c r="B9" s="1040"/>
      <c r="C9" s="1042"/>
      <c r="D9" s="1044"/>
      <c r="E9" s="955"/>
      <c r="F9" s="1044"/>
      <c r="G9" s="677" t="s">
        <v>9</v>
      </c>
      <c r="H9" s="110" t="s">
        <v>5</v>
      </c>
      <c r="I9" s="110" t="s">
        <v>8</v>
      </c>
      <c r="J9" s="110" t="s">
        <v>4</v>
      </c>
      <c r="K9" s="110" t="s">
        <v>10</v>
      </c>
      <c r="L9" s="110" t="s">
        <v>6</v>
      </c>
      <c r="M9" s="110" t="s">
        <v>7</v>
      </c>
      <c r="N9" s="771" t="s">
        <v>96</v>
      </c>
      <c r="O9" s="109" t="s">
        <v>28</v>
      </c>
      <c r="P9" s="110" t="s">
        <v>30</v>
      </c>
      <c r="Q9" s="110" t="s">
        <v>97</v>
      </c>
      <c r="R9" s="110" t="s">
        <v>98</v>
      </c>
      <c r="S9" s="110" t="s">
        <v>29</v>
      </c>
      <c r="T9" s="110" t="s">
        <v>99</v>
      </c>
      <c r="U9" s="110" t="s">
        <v>100</v>
      </c>
      <c r="V9" s="110" t="s">
        <v>27</v>
      </c>
      <c r="W9" s="817" t="s">
        <v>26</v>
      </c>
      <c r="X9" s="816" t="s">
        <v>9</v>
      </c>
      <c r="Y9" s="104" t="s">
        <v>5</v>
      </c>
      <c r="Z9" s="104" t="s">
        <v>8</v>
      </c>
      <c r="AA9" s="104" t="s">
        <v>4</v>
      </c>
      <c r="AB9" s="104" t="s">
        <v>10</v>
      </c>
      <c r="AC9" s="104" t="s">
        <v>6</v>
      </c>
      <c r="AD9" s="104" t="s">
        <v>7</v>
      </c>
      <c r="AE9" s="815" t="s">
        <v>96</v>
      </c>
      <c r="AF9" s="772" t="s">
        <v>28</v>
      </c>
      <c r="AG9" s="104" t="s">
        <v>30</v>
      </c>
      <c r="AH9" s="104" t="s">
        <v>97</v>
      </c>
      <c r="AI9" s="104" t="s">
        <v>98</v>
      </c>
      <c r="AJ9" s="104" t="s">
        <v>29</v>
      </c>
      <c r="AK9" s="104" t="s">
        <v>99</v>
      </c>
      <c r="AL9" s="104" t="s">
        <v>100</v>
      </c>
      <c r="AM9" s="104" t="s">
        <v>27</v>
      </c>
      <c r="AN9" s="818" t="s">
        <v>26</v>
      </c>
      <c r="AO9" s="798" t="s">
        <v>9</v>
      </c>
      <c r="AP9" s="131" t="s">
        <v>5</v>
      </c>
      <c r="AQ9" s="131" t="s">
        <v>8</v>
      </c>
      <c r="AR9" s="131" t="s">
        <v>4</v>
      </c>
      <c r="AS9" s="131" t="s">
        <v>10</v>
      </c>
      <c r="AT9" s="131" t="s">
        <v>6</v>
      </c>
      <c r="AU9" s="131" t="s">
        <v>7</v>
      </c>
      <c r="AV9" s="798" t="s">
        <v>96</v>
      </c>
      <c r="AW9" s="130" t="s">
        <v>28</v>
      </c>
      <c r="AX9" s="131" t="s">
        <v>30</v>
      </c>
      <c r="AY9" s="131" t="s">
        <v>97</v>
      </c>
      <c r="AZ9" s="131" t="s">
        <v>98</v>
      </c>
      <c r="BA9" s="131" t="s">
        <v>29</v>
      </c>
      <c r="BB9" s="131" t="s">
        <v>99</v>
      </c>
      <c r="BC9" s="131" t="s">
        <v>100</v>
      </c>
      <c r="BD9" s="131" t="s">
        <v>27</v>
      </c>
      <c r="BE9" s="682" t="s">
        <v>26</v>
      </c>
    </row>
    <row r="10" spans="2:57" x14ac:dyDescent="0.25">
      <c r="B10" s="725">
        <v>55</v>
      </c>
      <c r="C10" s="736">
        <v>160</v>
      </c>
      <c r="D10" s="695" t="s">
        <v>9</v>
      </c>
      <c r="E10" s="696">
        <v>98</v>
      </c>
      <c r="F10" s="695" t="s">
        <v>21</v>
      </c>
      <c r="G10" s="764">
        <f>J10*100</f>
        <v>577.7408733952052</v>
      </c>
      <c r="H10" s="707">
        <f>J10/0.3048</f>
        <v>18.954753064147152</v>
      </c>
      <c r="I10" s="707">
        <f>J10/2.54*100</f>
        <v>227.45703676976584</v>
      </c>
      <c r="J10" s="707">
        <f>(2*(C10-B10)+(E10*PI()/180)*B10+(E10*PI()/180)*C10)/100</f>
        <v>5.7774087339520523</v>
      </c>
      <c r="K10" s="707">
        <f>J10/63360/2.54*100</f>
        <v>3.5899153530581729E-3</v>
      </c>
      <c r="L10" s="707">
        <f>J10*1000</f>
        <v>5777.408733952052</v>
      </c>
      <c r="M10" s="707">
        <f>J10/0.9144</f>
        <v>6.3182510213823848</v>
      </c>
      <c r="N10" s="709">
        <f>J10*1000000</f>
        <v>5777408.733952052</v>
      </c>
      <c r="O10" s="743">
        <f>T10/100</f>
        <v>1.9306395853248271E-2</v>
      </c>
      <c r="P10" s="810">
        <f>T10/4046.8564224</f>
        <v>4.7707143120730134E-4</v>
      </c>
      <c r="Q10" s="707">
        <f>T10*10000</f>
        <v>19306.395853248272</v>
      </c>
      <c r="R10" s="707">
        <f>T10*100</f>
        <v>193.06395853248273</v>
      </c>
      <c r="S10" s="707">
        <f>T10/10000</f>
        <v>1.9306395853248273E-4</v>
      </c>
      <c r="T10" s="707">
        <f>((((E10*PI()/180)*C10^2)/2)-(((E10*PI()/180)*B10^2)/2))/100^2</f>
        <v>1.9306395853248273</v>
      </c>
      <c r="U10" s="707">
        <f>T10*1000000</f>
        <v>1930639.5853248273</v>
      </c>
      <c r="V10" s="707">
        <f>T10/144*10000/(2.54*2.54)</f>
        <v>20.781231543390046</v>
      </c>
      <c r="W10" s="791">
        <f>T10*10000/(2.54 *2.54)</f>
        <v>2992.4973422481667</v>
      </c>
      <c r="X10" s="773">
        <v>577.74099999999999</v>
      </c>
      <c r="Y10" s="711">
        <v>18.954799999999999</v>
      </c>
      <c r="Z10" s="711">
        <v>227.45699999999999</v>
      </c>
      <c r="AA10" s="711">
        <v>5.7774099999999997</v>
      </c>
      <c r="AB10" s="711">
        <v>3.5899199999999999E-3</v>
      </c>
      <c r="AC10" s="711">
        <v>5777.41</v>
      </c>
      <c r="AD10" s="711">
        <v>6.3182499999999999</v>
      </c>
      <c r="AE10" s="773">
        <v>5777409</v>
      </c>
      <c r="AF10" s="780">
        <v>1.9306400000000001E-2</v>
      </c>
      <c r="AG10" s="711">
        <v>4.7707099999999997E-4</v>
      </c>
      <c r="AH10" s="711">
        <v>19306.400000000001</v>
      </c>
      <c r="AI10" s="711">
        <v>193.06399999999999</v>
      </c>
      <c r="AJ10" s="711">
        <v>1.9306400000000001E-4</v>
      </c>
      <c r="AK10" s="711">
        <v>1.9306399999999999</v>
      </c>
      <c r="AL10" s="711">
        <v>1930640</v>
      </c>
      <c r="AM10" s="711">
        <v>20.781199999999998</v>
      </c>
      <c r="AN10" s="819">
        <v>2992.5</v>
      </c>
      <c r="AO10" s="799">
        <f>(G10-X10)/G10</f>
        <v>-2.1913768025884532E-7</v>
      </c>
      <c r="AP10" s="683">
        <f t="shared" ref="AP10:AW25" si="0">(H10-Y10)/H10</f>
        <v>-2.4762049227517726E-6</v>
      </c>
      <c r="AQ10" s="683">
        <f t="shared" si="0"/>
        <v>1.6165587296866382E-7</v>
      </c>
      <c r="AR10" s="683">
        <f t="shared" si="0"/>
        <v>-2.1913768017275482E-7</v>
      </c>
      <c r="AS10" s="683">
        <f t="shared" si="0"/>
        <v>-1.2944432862565256E-6</v>
      </c>
      <c r="AT10" s="683">
        <f t="shared" si="0"/>
        <v>-2.1913768025884532E-7</v>
      </c>
      <c r="AU10" s="683">
        <f t="shared" si="0"/>
        <v>1.6165587303114092E-7</v>
      </c>
      <c r="AV10" s="799">
        <f t="shared" si="0"/>
        <v>-4.6049701568903425E-8</v>
      </c>
      <c r="AW10" s="685">
        <f>(O10-AF10)/O10</f>
        <v>-2.1478642423520184E-7</v>
      </c>
      <c r="AX10" s="683">
        <f t="shared" ref="AX10:BE25" si="1">(P10-AG10)/P10</f>
        <v>9.0386318097906272E-7</v>
      </c>
      <c r="AY10" s="683">
        <f t="shared" si="1"/>
        <v>-2.1478642419551157E-7</v>
      </c>
      <c r="AZ10" s="683">
        <f t="shared" si="1"/>
        <v>-2.1478642403652049E-7</v>
      </c>
      <c r="BA10" s="683">
        <f t="shared" si="1"/>
        <v>-2.1478642408357611E-7</v>
      </c>
      <c r="BB10" s="683">
        <f t="shared" si="1"/>
        <v>-2.1478642404112091E-7</v>
      </c>
      <c r="BC10" s="683">
        <f t="shared" si="1"/>
        <v>-2.1478642404476445E-7</v>
      </c>
      <c r="BD10" s="683">
        <f t="shared" si="1"/>
        <v>1.5178787639056049E-6</v>
      </c>
      <c r="BE10" s="686">
        <f t="shared" si="1"/>
        <v>-8.881384106236276E-7</v>
      </c>
    </row>
    <row r="11" spans="2:57" x14ac:dyDescent="0.25">
      <c r="B11" s="726">
        <v>78</v>
      </c>
      <c r="C11" s="737">
        <v>88</v>
      </c>
      <c r="D11" s="166" t="s">
        <v>5</v>
      </c>
      <c r="E11" s="499">
        <v>26</v>
      </c>
      <c r="F11" s="166" t="s">
        <v>21</v>
      </c>
      <c r="G11" s="765">
        <f t="shared" ref="G11:G33" si="2">J11*100</f>
        <v>2905.6099525299742</v>
      </c>
      <c r="H11" s="714">
        <f t="shared" ref="H11:H33" si="3">J11/0.3048</f>
        <v>95.328410516075266</v>
      </c>
      <c r="I11" s="714">
        <f t="shared" ref="I11:I33" si="4">J11/2.54*100</f>
        <v>1143.9409261929034</v>
      </c>
      <c r="J11" s="714">
        <f>(2*(C11-B11)+(E11*PI()/180)*B11+(E11*PI()/180)*C11)*0.3048</f>
        <v>29.056099525299743</v>
      </c>
      <c r="K11" s="714">
        <f t="shared" ref="K11:K33" si="5">J11/63360/2.54*100</f>
        <v>1.8054623203802134E-2</v>
      </c>
      <c r="L11" s="714">
        <f t="shared" ref="L11:L33" si="6">J11*1000</f>
        <v>29056.099525299742</v>
      </c>
      <c r="M11" s="714">
        <f t="shared" ref="M11:M33" si="7">J11/0.9144</f>
        <v>31.776136838691759</v>
      </c>
      <c r="N11" s="715">
        <f t="shared" ref="N11:N33" si="8">J11*1000000</f>
        <v>29056099.525299743</v>
      </c>
      <c r="O11" s="745">
        <f t="shared" ref="O11:O33" si="9">T11/100</f>
        <v>0.34991191676556793</v>
      </c>
      <c r="P11" s="714">
        <f t="shared" ref="P11:P33" si="10">T11/4046.8564224</f>
        <v>8.6465117672262677E-3</v>
      </c>
      <c r="Q11" s="714">
        <f t="shared" ref="Q11:Q33" si="11">T11*10000</f>
        <v>349911.91676556796</v>
      </c>
      <c r="R11" s="714">
        <f t="shared" ref="R11:R33" si="12">T11*100</f>
        <v>3499.1191676556796</v>
      </c>
      <c r="S11" s="714">
        <f t="shared" ref="S11:S33" si="13">T11/10000</f>
        <v>3.4991191676556795E-3</v>
      </c>
      <c r="T11" s="714">
        <f>((((E11*PI()/180)*C11^2)/2)-(((E11*PI()/180)*B11^2)/2))*0.3048^2</f>
        <v>34.991191676556795</v>
      </c>
      <c r="U11" s="714">
        <f t="shared" ref="U11:U33" si="14">T11*1000000</f>
        <v>34991191.676556796</v>
      </c>
      <c r="V11" s="714">
        <f t="shared" ref="V11:V33" si="15">T11/144*10000/(2.54*2.54)</f>
        <v>376.64205258037623</v>
      </c>
      <c r="W11" s="792">
        <f t="shared" ref="W11:W33" si="16">T11*10000/(2.54 *2.54)</f>
        <v>54236.455571574181</v>
      </c>
      <c r="X11" s="774">
        <v>2905.61</v>
      </c>
      <c r="Y11" s="717">
        <v>95.328400000000002</v>
      </c>
      <c r="Z11" s="717">
        <v>1143.94</v>
      </c>
      <c r="AA11" s="717">
        <v>29.056100000000001</v>
      </c>
      <c r="AB11" s="717">
        <v>1.8054600000000001E-2</v>
      </c>
      <c r="AC11" s="717">
        <v>29056.1</v>
      </c>
      <c r="AD11" s="717">
        <v>31.7761</v>
      </c>
      <c r="AE11" s="774">
        <v>29056100</v>
      </c>
      <c r="AF11" s="781">
        <v>0.349912</v>
      </c>
      <c r="AG11" s="717">
        <v>8.6465099999999996E-3</v>
      </c>
      <c r="AH11" s="717">
        <v>349912</v>
      </c>
      <c r="AI11" s="717">
        <v>3499.12</v>
      </c>
      <c r="AJ11" s="717">
        <v>3.4991200000000001E-3</v>
      </c>
      <c r="AK11" s="717">
        <v>34.991199999999999</v>
      </c>
      <c r="AL11" s="717">
        <v>34991192</v>
      </c>
      <c r="AM11" s="717">
        <v>376.642</v>
      </c>
      <c r="AN11" s="820">
        <v>54236.5</v>
      </c>
      <c r="AO11" s="800">
        <f t="shared" ref="AO11:BD33" si="17">(G11-X11)/G11</f>
        <v>-1.6337370370744933E-8</v>
      </c>
      <c r="AP11" s="687">
        <f t="shared" si="0"/>
        <v>1.1031417818666814E-7</v>
      </c>
      <c r="AQ11" s="687">
        <f t="shared" si="0"/>
        <v>8.09650989924567E-7</v>
      </c>
      <c r="AR11" s="687">
        <f t="shared" si="0"/>
        <v>-1.633737031205493E-8</v>
      </c>
      <c r="AS11" s="687">
        <f t="shared" si="0"/>
        <v>1.2852000216933974E-6</v>
      </c>
      <c r="AT11" s="687">
        <f t="shared" si="0"/>
        <v>-1.6337370276840928E-8</v>
      </c>
      <c r="AU11" s="687">
        <f t="shared" si="0"/>
        <v>1.1593193957562482E-6</v>
      </c>
      <c r="AV11" s="800">
        <f t="shared" si="0"/>
        <v>-1.6337370291865569E-8</v>
      </c>
      <c r="AW11" s="689">
        <f t="shared" si="0"/>
        <v>-2.3787252757295697E-7</v>
      </c>
      <c r="AX11" s="687">
        <f t="shared" si="1"/>
        <v>2.0438603632041672E-7</v>
      </c>
      <c r="AY11" s="687">
        <f t="shared" si="1"/>
        <v>-2.3787252748169015E-7</v>
      </c>
      <c r="AZ11" s="687">
        <f t="shared" si="1"/>
        <v>-2.3787252746609487E-7</v>
      </c>
      <c r="BA11" s="687">
        <f t="shared" si="1"/>
        <v>-2.3787252755808415E-7</v>
      </c>
      <c r="BB11" s="687">
        <f t="shared" si="1"/>
        <v>-2.3787252749046247E-7</v>
      </c>
      <c r="BC11" s="687">
        <f t="shared" si="1"/>
        <v>-9.2435606981971885E-9</v>
      </c>
      <c r="BD11" s="687">
        <f t="shared" si="1"/>
        <v>1.3960304186459631E-7</v>
      </c>
      <c r="BE11" s="690">
        <f t="shared" si="1"/>
        <v>-8.1916167550025017E-7</v>
      </c>
    </row>
    <row r="12" spans="2:57" x14ac:dyDescent="0.25">
      <c r="B12" s="726">
        <v>69</v>
      </c>
      <c r="C12" s="737">
        <v>887</v>
      </c>
      <c r="D12" s="166" t="s">
        <v>8</v>
      </c>
      <c r="E12" s="499">
        <v>68</v>
      </c>
      <c r="F12" s="166" t="s">
        <v>21</v>
      </c>
      <c r="G12" s="765">
        <f t="shared" si="2"/>
        <v>7037.3332459466437</v>
      </c>
      <c r="H12" s="714">
        <f t="shared" si="3"/>
        <v>230.88363667803949</v>
      </c>
      <c r="I12" s="714">
        <f t="shared" si="4"/>
        <v>2770.6036401364736</v>
      </c>
      <c r="J12" s="714">
        <f>(2*(C12-B12)+(E12*PI()/180)*B12+(E12*PI()/180)*C12)*2.54/100</f>
        <v>70.37333245946644</v>
      </c>
      <c r="K12" s="714">
        <f t="shared" si="5"/>
        <v>4.3727961492052929E-2</v>
      </c>
      <c r="L12" s="714">
        <f t="shared" si="6"/>
        <v>70373.332459466445</v>
      </c>
      <c r="M12" s="714">
        <f t="shared" si="7"/>
        <v>76.961212226013174</v>
      </c>
      <c r="N12" s="715">
        <f t="shared" si="8"/>
        <v>70373332.459466442</v>
      </c>
      <c r="O12" s="745">
        <f t="shared" si="9"/>
        <v>2.9938836174841299</v>
      </c>
      <c r="P12" s="714">
        <f t="shared" si="10"/>
        <v>7.3980475336671278E-2</v>
      </c>
      <c r="Q12" s="714">
        <f t="shared" si="11"/>
        <v>2993883.61748413</v>
      </c>
      <c r="R12" s="714">
        <f t="shared" si="12"/>
        <v>29938.836174841301</v>
      </c>
      <c r="S12" s="714">
        <f t="shared" si="13"/>
        <v>2.9938836174841298E-2</v>
      </c>
      <c r="T12" s="714">
        <f>((((E12*PI()/180)*C12^2)/2)-(((E12*PI()/180)*B12^2)/2))*(2.54/100)^2</f>
        <v>299.38836174841299</v>
      </c>
      <c r="U12" s="714">
        <f t="shared" si="14"/>
        <v>299388361.74841297</v>
      </c>
      <c r="V12" s="714">
        <f t="shared" si="15"/>
        <v>3222.5895056654012</v>
      </c>
      <c r="W12" s="792">
        <f t="shared" si="16"/>
        <v>464052.88881581777</v>
      </c>
      <c r="X12" s="774">
        <v>7037.33</v>
      </c>
      <c r="Y12" s="717">
        <v>230.88399999999999</v>
      </c>
      <c r="Z12" s="717">
        <v>2770.6</v>
      </c>
      <c r="AA12" s="717">
        <v>70.3733</v>
      </c>
      <c r="AB12" s="717">
        <v>4.3728000000000003E-2</v>
      </c>
      <c r="AC12" s="717">
        <v>70373.3</v>
      </c>
      <c r="AD12" s="717">
        <v>76.961200000000005</v>
      </c>
      <c r="AE12" s="774">
        <v>70373332</v>
      </c>
      <c r="AF12" s="781">
        <v>2.9938799999999999</v>
      </c>
      <c r="AG12" s="717">
        <v>7.3980500000000005E-2</v>
      </c>
      <c r="AH12" s="717">
        <v>2993884</v>
      </c>
      <c r="AI12" s="717">
        <v>29938.799999999999</v>
      </c>
      <c r="AJ12" s="717">
        <v>2.9938800000000002E-2</v>
      </c>
      <c r="AK12" s="717">
        <v>299.38799999999998</v>
      </c>
      <c r="AL12" s="717">
        <v>299388362</v>
      </c>
      <c r="AM12" s="717">
        <v>3222.59</v>
      </c>
      <c r="AN12" s="820">
        <v>464053</v>
      </c>
      <c r="AO12" s="800">
        <f t="shared" si="17"/>
        <v>4.6124668682854929E-7</v>
      </c>
      <c r="AP12" s="687">
        <f t="shared" si="0"/>
        <v>-1.5736150284171056E-6</v>
      </c>
      <c r="AQ12" s="687">
        <f t="shared" si="0"/>
        <v>1.3138423775037893E-6</v>
      </c>
      <c r="AR12" s="687">
        <f t="shared" si="0"/>
        <v>4.6124668684470406E-7</v>
      </c>
      <c r="AS12" s="687">
        <f t="shared" si="0"/>
        <v>-8.8062525121609324E-7</v>
      </c>
      <c r="AT12" s="687">
        <f t="shared" si="0"/>
        <v>4.6124668688024461E-7</v>
      </c>
      <c r="AU12" s="687">
        <f t="shared" si="0"/>
        <v>1.5885941522160103E-7</v>
      </c>
      <c r="AV12" s="800">
        <f t="shared" si="0"/>
        <v>6.5289851483219892E-9</v>
      </c>
      <c r="AW12" s="689">
        <f t="shared" si="0"/>
        <v>1.2082915010120085E-6</v>
      </c>
      <c r="AX12" s="687">
        <f t="shared" si="1"/>
        <v>-3.3337618627466416E-7</v>
      </c>
      <c r="AY12" s="687">
        <f t="shared" si="1"/>
        <v>-1.2776577813540287E-7</v>
      </c>
      <c r="AZ12" s="687">
        <f t="shared" si="1"/>
        <v>1.2082915010552027E-6</v>
      </c>
      <c r="BA12" s="687">
        <f t="shared" si="1"/>
        <v>1.2082915008729473E-6</v>
      </c>
      <c r="BB12" s="687">
        <f t="shared" si="1"/>
        <v>1.2082915010476082E-6</v>
      </c>
      <c r="BC12" s="687">
        <f t="shared" si="1"/>
        <v>-8.4033671784211634E-10</v>
      </c>
      <c r="BD12" s="687">
        <f t="shared" si="1"/>
        <v>-1.5339670101595022E-7</v>
      </c>
      <c r="BE12" s="690">
        <f t="shared" si="1"/>
        <v>-2.3959377240665794E-7</v>
      </c>
    </row>
    <row r="13" spans="2:57" x14ac:dyDescent="0.25">
      <c r="B13" s="726">
        <v>45</v>
      </c>
      <c r="C13" s="737">
        <v>56</v>
      </c>
      <c r="D13" s="166" t="s">
        <v>4</v>
      </c>
      <c r="E13" s="499">
        <v>87</v>
      </c>
      <c r="F13" s="166" t="s">
        <v>21</v>
      </c>
      <c r="G13" s="765">
        <f t="shared" si="2"/>
        <v>17536.208137274174</v>
      </c>
      <c r="H13" s="714">
        <f t="shared" si="3"/>
        <v>575.33491264022871</v>
      </c>
      <c r="I13" s="714">
        <f t="shared" si="4"/>
        <v>6904.018951682745</v>
      </c>
      <c r="J13" s="714">
        <f t="shared" ref="J13" si="18">2*(C13-B13)+(E13*PI()/180)*B13+(E13*PI()/180)*C13</f>
        <v>175.36208137274173</v>
      </c>
      <c r="K13" s="714">
        <f t="shared" si="5"/>
        <v>0.1089649455758009</v>
      </c>
      <c r="L13" s="714">
        <f t="shared" si="6"/>
        <v>175362.08137274173</v>
      </c>
      <c r="M13" s="714">
        <f t="shared" si="7"/>
        <v>191.7783042134096</v>
      </c>
      <c r="N13" s="715">
        <f t="shared" si="8"/>
        <v>175362081.37274173</v>
      </c>
      <c r="O13" s="745">
        <f t="shared" si="9"/>
        <v>8.4349144755007952</v>
      </c>
      <c r="P13" s="714">
        <f t="shared" si="10"/>
        <v>0.2084312759111539</v>
      </c>
      <c r="Q13" s="714">
        <f t="shared" si="11"/>
        <v>8434914.475500796</v>
      </c>
      <c r="R13" s="714">
        <f t="shared" si="12"/>
        <v>84349.144755007961</v>
      </c>
      <c r="S13" s="714">
        <f t="shared" si="13"/>
        <v>8.434914475500796E-2</v>
      </c>
      <c r="T13" s="714">
        <f>(((E13*PI()/180)*C13^2)/2)-(((E13*PI()/180)*B13^2)/2)</f>
        <v>843.49144755007956</v>
      </c>
      <c r="U13" s="714">
        <f t="shared" si="14"/>
        <v>843491447.55007958</v>
      </c>
      <c r="V13" s="714">
        <f t="shared" si="15"/>
        <v>9079.2663786898629</v>
      </c>
      <c r="W13" s="792">
        <f t="shared" si="16"/>
        <v>1307414.3585313405</v>
      </c>
      <c r="X13" s="774">
        <v>17536.2</v>
      </c>
      <c r="Y13" s="717">
        <v>575.33500000000004</v>
      </c>
      <c r="Z13" s="717">
        <v>6904.02</v>
      </c>
      <c r="AA13" s="717">
        <v>175.36199999999999</v>
      </c>
      <c r="AB13" s="717">
        <v>0.10896500000000001</v>
      </c>
      <c r="AC13" s="717">
        <v>175362</v>
      </c>
      <c r="AD13" s="717">
        <v>191.77799999999999</v>
      </c>
      <c r="AE13" s="774">
        <v>175362081</v>
      </c>
      <c r="AF13" s="781">
        <v>8.4349100000000004</v>
      </c>
      <c r="AG13" s="717">
        <v>0.20843100000000001</v>
      </c>
      <c r="AH13" s="717">
        <v>8434914</v>
      </c>
      <c r="AI13" s="717">
        <v>84349.1</v>
      </c>
      <c r="AJ13" s="717">
        <v>8.4349099999999996E-2</v>
      </c>
      <c r="AK13" s="717">
        <v>843.49099999999999</v>
      </c>
      <c r="AL13" s="717">
        <v>843491448</v>
      </c>
      <c r="AM13" s="717">
        <v>9079.27</v>
      </c>
      <c r="AN13" s="820">
        <v>1307414</v>
      </c>
      <c r="AO13" s="800">
        <f t="shared" si="17"/>
        <v>4.6402700684500218E-7</v>
      </c>
      <c r="AP13" s="687">
        <f t="shared" si="0"/>
        <v>-1.5184159592734255E-7</v>
      </c>
      <c r="AQ13" s="687">
        <f t="shared" si="0"/>
        <v>-1.518415958614755E-7</v>
      </c>
      <c r="AR13" s="687">
        <f t="shared" si="0"/>
        <v>4.6402700683851926E-7</v>
      </c>
      <c r="AS13" s="687">
        <f t="shared" si="0"/>
        <v>-4.9946520707312567E-7</v>
      </c>
      <c r="AT13" s="687">
        <f t="shared" si="0"/>
        <v>4.6402700680351118E-7</v>
      </c>
      <c r="AU13" s="687">
        <f t="shared" si="0"/>
        <v>1.5862764604893175E-6</v>
      </c>
      <c r="AV13" s="800">
        <f t="shared" si="0"/>
        <v>2.1255548867989848E-9</v>
      </c>
      <c r="AW13" s="689">
        <f t="shared" si="0"/>
        <v>5.3059231458160069E-7</v>
      </c>
      <c r="AX13" s="687">
        <f t="shared" si="1"/>
        <v>1.3237512109937274E-6</v>
      </c>
      <c r="AY13" s="687">
        <f t="shared" si="1"/>
        <v>5.6372924393166099E-8</v>
      </c>
      <c r="AZ13" s="687">
        <f t="shared" si="1"/>
        <v>5.3059231466112152E-7</v>
      </c>
      <c r="BA13" s="687">
        <f t="shared" si="1"/>
        <v>5.3059231475929073E-7</v>
      </c>
      <c r="BB13" s="687">
        <f t="shared" si="1"/>
        <v>5.3059231468268655E-7</v>
      </c>
      <c r="BC13" s="687">
        <f t="shared" si="1"/>
        <v>-5.3340246327937226E-10</v>
      </c>
      <c r="BD13" s="687">
        <f t="shared" si="1"/>
        <v>-3.9885492797436496E-7</v>
      </c>
      <c r="BE13" s="690">
        <f t="shared" si="1"/>
        <v>2.7422931234576322E-7</v>
      </c>
    </row>
    <row r="14" spans="2:57" x14ac:dyDescent="0.25">
      <c r="B14" s="726">
        <v>34</v>
      </c>
      <c r="C14" s="737">
        <v>455</v>
      </c>
      <c r="D14" s="166" t="s">
        <v>10</v>
      </c>
      <c r="E14" s="499">
        <v>67</v>
      </c>
      <c r="F14" s="166" t="s">
        <v>21</v>
      </c>
      <c r="G14" s="765">
        <f t="shared" si="2"/>
        <v>227532631.13795757</v>
      </c>
      <c r="H14" s="714">
        <f t="shared" si="3"/>
        <v>7464981.3365471642</v>
      </c>
      <c r="I14" s="714">
        <f t="shared" si="4"/>
        <v>89579776.038565964</v>
      </c>
      <c r="J14" s="714">
        <f>(2*(C14-B14)+(E14*PI()/180)*B14+(E14*PI()/180)*C14)*63360*2.54/100</f>
        <v>2275326.3113795756</v>
      </c>
      <c r="K14" s="714">
        <f t="shared" si="5"/>
        <v>1413.8222228309023</v>
      </c>
      <c r="L14" s="714">
        <f t="shared" si="6"/>
        <v>2275326311.3795757</v>
      </c>
      <c r="M14" s="714">
        <f t="shared" si="7"/>
        <v>2488327.1121823881</v>
      </c>
      <c r="N14" s="715">
        <f t="shared" si="8"/>
        <v>2275326311379.5757</v>
      </c>
      <c r="O14" s="745">
        <f t="shared" si="9"/>
        <v>3117531856.3434625</v>
      </c>
      <c r="P14" s="714">
        <f t="shared" si="10"/>
        <v>77035889.859779134</v>
      </c>
      <c r="Q14" s="714">
        <f t="shared" si="11"/>
        <v>3117531856343462.5</v>
      </c>
      <c r="R14" s="714">
        <f t="shared" si="12"/>
        <v>31175318563434.625</v>
      </c>
      <c r="S14" s="714">
        <f t="shared" si="13"/>
        <v>31175318.563434627</v>
      </c>
      <c r="T14" s="714">
        <f>((((E14*PI()/180)*C14^2)/2)-(((E14*PI()/180)*B14^2)/2))*(63360*2.54/100)^2</f>
        <v>311753185634.34625</v>
      </c>
      <c r="U14" s="714">
        <f t="shared" si="14"/>
        <v>3.1175318563434624E+17</v>
      </c>
      <c r="V14" s="714">
        <f t="shared" si="15"/>
        <v>3355683362291.9795</v>
      </c>
      <c r="W14" s="792">
        <f t="shared" si="16"/>
        <v>483218404170045</v>
      </c>
      <c r="X14" s="774">
        <v>227532631</v>
      </c>
      <c r="Y14" s="717">
        <v>7464981</v>
      </c>
      <c r="Z14" s="717">
        <v>89579776</v>
      </c>
      <c r="AA14" s="717">
        <v>2275326</v>
      </c>
      <c r="AB14" s="717">
        <v>1413.82</v>
      </c>
      <c r="AC14" s="717">
        <v>2275326311</v>
      </c>
      <c r="AD14" s="717">
        <v>2488327</v>
      </c>
      <c r="AE14" s="774">
        <v>2275326311380</v>
      </c>
      <c r="AF14" s="781">
        <v>3117531856</v>
      </c>
      <c r="AG14" s="717">
        <v>77035890</v>
      </c>
      <c r="AH14" s="717">
        <v>3117531856343460</v>
      </c>
      <c r="AI14" s="717">
        <v>31175318563435</v>
      </c>
      <c r="AJ14" s="717">
        <v>31175319</v>
      </c>
      <c r="AK14" s="717">
        <v>311753185634</v>
      </c>
      <c r="AL14" s="717">
        <v>3.1175318563434598E+17</v>
      </c>
      <c r="AM14" s="717">
        <v>3355683362292</v>
      </c>
      <c r="AN14" s="820">
        <v>483218404170045</v>
      </c>
      <c r="AO14" s="800">
        <f t="shared" si="17"/>
        <v>6.0631994737214327E-10</v>
      </c>
      <c r="AP14" s="687">
        <f t="shared" si="0"/>
        <v>4.5083456886726215E-8</v>
      </c>
      <c r="AQ14" s="687">
        <f t="shared" si="0"/>
        <v>4.3052087437788589E-10</v>
      </c>
      <c r="AR14" s="687">
        <f t="shared" si="0"/>
        <v>1.3685051417853215E-7</v>
      </c>
      <c r="AS14" s="687">
        <f t="shared" si="0"/>
        <v>1.5722138657095673E-6</v>
      </c>
      <c r="AT14" s="687">
        <f t="shared" si="0"/>
        <v>1.6682254649442912E-10</v>
      </c>
      <c r="AU14" s="687">
        <f t="shared" si="0"/>
        <v>4.5083456886726215E-8</v>
      </c>
      <c r="AV14" s="800">
        <f t="shared" si="0"/>
        <v>-1.8648595769664727E-13</v>
      </c>
      <c r="AW14" s="689">
        <f t="shared" si="0"/>
        <v>1.1017127747860416E-10</v>
      </c>
      <c r="AX14" s="687">
        <f t="shared" si="1"/>
        <v>-1.8202018028543829E-9</v>
      </c>
      <c r="AY14" s="687">
        <f t="shared" si="1"/>
        <v>8.0191642465916532E-16</v>
      </c>
      <c r="AZ14" s="687">
        <f t="shared" si="1"/>
        <v>-1.2028746369887479E-14</v>
      </c>
      <c r="BA14" s="687">
        <f t="shared" si="1"/>
        <v>-1.4003557724825788E-8</v>
      </c>
      <c r="BB14" s="687">
        <f t="shared" si="1"/>
        <v>1.1106620793680284E-12</v>
      </c>
      <c r="BC14" s="687">
        <f t="shared" si="1"/>
        <v>8.2116241885098531E-16</v>
      </c>
      <c r="BD14" s="687">
        <f t="shared" si="1"/>
        <v>-6.111366981297327E-15</v>
      </c>
      <c r="BE14" s="690">
        <f t="shared" si="1"/>
        <v>0</v>
      </c>
    </row>
    <row r="15" spans="2:57" x14ac:dyDescent="0.25">
      <c r="B15" s="726">
        <v>234</v>
      </c>
      <c r="C15" s="737">
        <v>765</v>
      </c>
      <c r="D15" s="166" t="s">
        <v>6</v>
      </c>
      <c r="E15" s="499">
        <v>112</v>
      </c>
      <c r="F15" s="166" t="s">
        <v>21</v>
      </c>
      <c r="G15" s="765">
        <f t="shared" si="2"/>
        <v>301.48139934714158</v>
      </c>
      <c r="H15" s="714">
        <f t="shared" si="3"/>
        <v>9.8911220258248544</v>
      </c>
      <c r="I15" s="714">
        <f t="shared" si="4"/>
        <v>118.69346430989825</v>
      </c>
      <c r="J15" s="714">
        <f>(2*(C15-B15)+(E15*PI()/180)*B15+(E15*PI()/180)*C15)/1000</f>
        <v>3.0148139934714155</v>
      </c>
      <c r="K15" s="714">
        <f t="shared" si="5"/>
        <v>1.8733185654971314E-3</v>
      </c>
      <c r="L15" s="714">
        <f t="shared" si="6"/>
        <v>3014.8139934714154</v>
      </c>
      <c r="M15" s="714">
        <f t="shared" si="7"/>
        <v>3.2970406752749515</v>
      </c>
      <c r="N15" s="715">
        <f t="shared" si="8"/>
        <v>3014813.9934714157</v>
      </c>
      <c r="O15" s="745">
        <f t="shared" si="9"/>
        <v>5.1847211526666083E-3</v>
      </c>
      <c r="P15" s="714">
        <f t="shared" si="10"/>
        <v>1.2811724982305633E-4</v>
      </c>
      <c r="Q15" s="714">
        <f t="shared" si="11"/>
        <v>5184.7211526666078</v>
      </c>
      <c r="R15" s="714">
        <f t="shared" si="12"/>
        <v>51.847211526666079</v>
      </c>
      <c r="S15" s="714">
        <f t="shared" si="13"/>
        <v>5.1847211526666083E-5</v>
      </c>
      <c r="T15" s="714">
        <f>((((E15*PI()/180)*C15^2)/2)-(((E15*PI()/180)*B15^2)/2))/1000^2</f>
        <v>0.51847211526666082</v>
      </c>
      <c r="U15" s="714">
        <f t="shared" si="14"/>
        <v>518472.11526666081</v>
      </c>
      <c r="V15" s="714">
        <f t="shared" si="15"/>
        <v>5.5807874022923345</v>
      </c>
      <c r="W15" s="792">
        <f t="shared" si="16"/>
        <v>803.6333859300961</v>
      </c>
      <c r="X15" s="774">
        <v>301.48099999999999</v>
      </c>
      <c r="Y15" s="717">
        <v>9.8911200000000008</v>
      </c>
      <c r="Z15" s="717">
        <v>118.693</v>
      </c>
      <c r="AA15" s="717">
        <v>3.0148100000000002</v>
      </c>
      <c r="AB15" s="717">
        <v>1.8733199999999999E-3</v>
      </c>
      <c r="AC15" s="717">
        <v>3014.81</v>
      </c>
      <c r="AD15" s="717">
        <v>3.29704</v>
      </c>
      <c r="AE15" s="774">
        <v>3014814</v>
      </c>
      <c r="AF15" s="781">
        <v>5.1847200000000003E-3</v>
      </c>
      <c r="AG15" s="717">
        <v>1.2811699999999999E-4</v>
      </c>
      <c r="AH15" s="717">
        <v>5184.72</v>
      </c>
      <c r="AI15" s="717">
        <v>51.847200000000001</v>
      </c>
      <c r="AJ15" s="717">
        <v>5.1847211526666097E-5</v>
      </c>
      <c r="AK15" s="717">
        <v>0.51847200000000004</v>
      </c>
      <c r="AL15" s="717">
        <v>518472</v>
      </c>
      <c r="AM15" s="717">
        <v>5.5807900000000004</v>
      </c>
      <c r="AN15" s="820">
        <v>803.63300000000004</v>
      </c>
      <c r="AO15" s="800">
        <f t="shared" si="17"/>
        <v>1.3246161867560034E-6</v>
      </c>
      <c r="AP15" s="687">
        <f t="shared" si="0"/>
        <v>2.0481244173888355E-7</v>
      </c>
      <c r="AQ15" s="687">
        <f t="shared" si="0"/>
        <v>3.9118404787322041E-6</v>
      </c>
      <c r="AR15" s="687">
        <f t="shared" si="0"/>
        <v>1.3246161865969171E-6</v>
      </c>
      <c r="AS15" s="687">
        <f t="shared" si="0"/>
        <v>-7.6575489877094092E-7</v>
      </c>
      <c r="AT15" s="687">
        <f t="shared" si="0"/>
        <v>1.3246161866428754E-6</v>
      </c>
      <c r="AU15" s="687">
        <f t="shared" si="0"/>
        <v>2.0481244182867905E-7</v>
      </c>
      <c r="AV15" s="800">
        <f t="shared" si="0"/>
        <v>-2.1655015203950252E-9</v>
      </c>
      <c r="AW15" s="689">
        <f t="shared" si="0"/>
        <v>2.2231988453273896E-7</v>
      </c>
      <c r="AX15" s="687">
        <f t="shared" si="1"/>
        <v>1.9499564397781747E-6</v>
      </c>
      <c r="AY15" s="687">
        <f t="shared" si="1"/>
        <v>2.2231988445556523E-7</v>
      </c>
      <c r="AZ15" s="687">
        <f t="shared" si="1"/>
        <v>2.2231988450490162E-7</v>
      </c>
      <c r="BA15" s="687">
        <f t="shared" si="1"/>
        <v>-2.6139355920999652E-16</v>
      </c>
      <c r="BB15" s="687">
        <f t="shared" si="1"/>
        <v>2.2231988447920558E-7</v>
      </c>
      <c r="BC15" s="687">
        <f t="shared" si="1"/>
        <v>2.2231988455379946E-7</v>
      </c>
      <c r="BD15" s="687">
        <f t="shared" si="1"/>
        <v>-4.6547332457000673E-7</v>
      </c>
      <c r="BE15" s="690">
        <f t="shared" si="1"/>
        <v>4.8023153693622596E-7</v>
      </c>
    </row>
    <row r="16" spans="2:57" x14ac:dyDescent="0.25">
      <c r="B16" s="726">
        <v>123</v>
      </c>
      <c r="C16" s="737">
        <v>456</v>
      </c>
      <c r="D16" s="166" t="s">
        <v>7</v>
      </c>
      <c r="E16" s="499">
        <v>167</v>
      </c>
      <c r="F16" s="166" t="s">
        <v>21</v>
      </c>
      <c r="G16" s="765">
        <f t="shared" si="2"/>
        <v>215214.20937440742</v>
      </c>
      <c r="H16" s="714">
        <f t="shared" si="3"/>
        <v>7060.8336408926325</v>
      </c>
      <c r="I16" s="714">
        <f t="shared" si="4"/>
        <v>84730.003690711586</v>
      </c>
      <c r="J16" s="714">
        <f>(2*(C16-B16)+(E16*PI()/180)*B16+(E16*PI()/180)*C16)*0.9144</f>
        <v>2152.1420937440744</v>
      </c>
      <c r="K16" s="714">
        <f t="shared" si="5"/>
        <v>1.3372790986539076</v>
      </c>
      <c r="L16" s="714">
        <f t="shared" si="6"/>
        <v>2152142.0937440745</v>
      </c>
      <c r="M16" s="714">
        <f t="shared" si="7"/>
        <v>2353.6112136308775</v>
      </c>
      <c r="N16" s="715">
        <f t="shared" si="8"/>
        <v>2152142093.7440743</v>
      </c>
      <c r="O16" s="745">
        <f t="shared" si="9"/>
        <v>2349.4114180847032</v>
      </c>
      <c r="P16" s="714">
        <f t="shared" si="10"/>
        <v>58.055220468913447</v>
      </c>
      <c r="Q16" s="714">
        <f t="shared" si="11"/>
        <v>2349411418.0847034</v>
      </c>
      <c r="R16" s="714">
        <f t="shared" si="12"/>
        <v>23494114.180847034</v>
      </c>
      <c r="S16" s="714">
        <f t="shared" si="13"/>
        <v>23.494114180847035</v>
      </c>
      <c r="T16" s="714">
        <f>((((E16*PI()/180)*C16^2)/2)-(((E16*PI()/180)*B16^2)/2))*0.9144^2</f>
        <v>234941.14180847033</v>
      </c>
      <c r="U16" s="714">
        <f t="shared" si="14"/>
        <v>234941141808.47034</v>
      </c>
      <c r="V16" s="714">
        <f t="shared" si="15"/>
        <v>2528885.4036258697</v>
      </c>
      <c r="W16" s="792">
        <f t="shared" si="16"/>
        <v>364159498.12212527</v>
      </c>
      <c r="X16" s="774">
        <v>215214</v>
      </c>
      <c r="Y16" s="717">
        <v>7060.83</v>
      </c>
      <c r="Z16" s="717">
        <v>84730</v>
      </c>
      <c r="AA16" s="717">
        <v>2152.14</v>
      </c>
      <c r="AB16" s="717">
        <v>1.33728</v>
      </c>
      <c r="AC16" s="717">
        <v>2152142</v>
      </c>
      <c r="AD16" s="717">
        <v>2353.61</v>
      </c>
      <c r="AE16" s="774">
        <v>2152142094</v>
      </c>
      <c r="AF16" s="781">
        <v>2349.41</v>
      </c>
      <c r="AG16" s="717">
        <v>58.055199999999999</v>
      </c>
      <c r="AH16" s="717">
        <v>2349411418</v>
      </c>
      <c r="AI16" s="717">
        <v>23494114</v>
      </c>
      <c r="AJ16" s="717">
        <v>23.4941</v>
      </c>
      <c r="AK16" s="717">
        <v>234941</v>
      </c>
      <c r="AL16" s="717">
        <v>234941141808</v>
      </c>
      <c r="AM16" s="717">
        <v>2528885</v>
      </c>
      <c r="AN16" s="820">
        <v>364159498</v>
      </c>
      <c r="AO16" s="800">
        <f t="shared" si="17"/>
        <v>9.7286516550810498E-7</v>
      </c>
      <c r="AP16" s="687">
        <f t="shared" si="0"/>
        <v>5.156462845249176E-7</v>
      </c>
      <c r="AQ16" s="687">
        <f t="shared" si="0"/>
        <v>4.3558496702762283E-8</v>
      </c>
      <c r="AR16" s="687">
        <f t="shared" si="0"/>
        <v>9.7286516563488485E-7</v>
      </c>
      <c r="AS16" s="687">
        <f t="shared" si="0"/>
        <v>-6.7401494073853026E-7</v>
      </c>
      <c r="AT16" s="687">
        <f t="shared" si="0"/>
        <v>4.3558496779844472E-8</v>
      </c>
      <c r="AU16" s="687">
        <f t="shared" si="0"/>
        <v>5.1564628446051345E-7</v>
      </c>
      <c r="AV16" s="800">
        <f t="shared" si="0"/>
        <v>-1.1891670912851171E-10</v>
      </c>
      <c r="AW16" s="689">
        <f t="shared" si="0"/>
        <v>6.0359147505202341E-7</v>
      </c>
      <c r="AX16" s="687">
        <f t="shared" si="1"/>
        <v>3.5257662071437622E-7</v>
      </c>
      <c r="AY16" s="687">
        <f t="shared" si="1"/>
        <v>3.6053049194603212E-11</v>
      </c>
      <c r="AZ16" s="687">
        <f t="shared" si="1"/>
        <v>7.6975463925228595E-9</v>
      </c>
      <c r="BA16" s="687">
        <f t="shared" si="1"/>
        <v>6.0359147513065634E-7</v>
      </c>
      <c r="BB16" s="687">
        <f t="shared" si="1"/>
        <v>6.0359147504428111E-7</v>
      </c>
      <c r="BC16" s="687">
        <f t="shared" si="1"/>
        <v>2.0019350823021451E-12</v>
      </c>
      <c r="BD16" s="687">
        <f t="shared" si="1"/>
        <v>1.5960623169366747E-7</v>
      </c>
      <c r="BE16" s="690">
        <f t="shared" si="1"/>
        <v>3.3536202848545976E-10</v>
      </c>
    </row>
    <row r="17" spans="2:57" ht="15.75" thickBot="1" x14ac:dyDescent="0.3">
      <c r="B17" s="727">
        <v>90</v>
      </c>
      <c r="C17" s="738">
        <v>154</v>
      </c>
      <c r="D17" s="697" t="s">
        <v>96</v>
      </c>
      <c r="E17" s="698">
        <v>98</v>
      </c>
      <c r="F17" s="699" t="s">
        <v>21</v>
      </c>
      <c r="G17" s="766">
        <f t="shared" si="2"/>
        <v>5.453431307368841E-2</v>
      </c>
      <c r="H17" s="747">
        <f t="shared" si="3"/>
        <v>1.7891834997929268E-3</v>
      </c>
      <c r="I17" s="747">
        <f t="shared" si="4"/>
        <v>2.147020199751512E-2</v>
      </c>
      <c r="J17" s="747">
        <f>(2*(C17-B17)+(E17*PI()/180)*B17+(E17*PI()/180)*C17)/1000000</f>
        <v>5.453431307368841E-4</v>
      </c>
      <c r="K17" s="747">
        <f t="shared" si="5"/>
        <v>3.3886051132441797E-7</v>
      </c>
      <c r="L17" s="747">
        <f t="shared" si="6"/>
        <v>0.54534313073688412</v>
      </c>
      <c r="M17" s="747">
        <f t="shared" si="7"/>
        <v>5.9639449993097561E-4</v>
      </c>
      <c r="N17" s="787">
        <f t="shared" si="8"/>
        <v>545.34313073688406</v>
      </c>
      <c r="O17" s="748">
        <f t="shared" si="9"/>
        <v>1.3354980183580289E-10</v>
      </c>
      <c r="P17" s="747">
        <f t="shared" si="10"/>
        <v>3.3000874727500409E-12</v>
      </c>
      <c r="Q17" s="747">
        <f t="shared" si="11"/>
        <v>1.3354980183580289E-4</v>
      </c>
      <c r="R17" s="747">
        <f t="shared" si="12"/>
        <v>1.3354980183580289E-6</v>
      </c>
      <c r="S17" s="747">
        <f t="shared" si="13"/>
        <v>1.3354980183580289E-12</v>
      </c>
      <c r="T17" s="747">
        <f>((((E17*PI()/180)*C17^2)/2)-(((E17*PI()/180)*B17^2)/2))/1000000^2</f>
        <v>1.3354980183580289E-8</v>
      </c>
      <c r="U17" s="747">
        <f t="shared" si="14"/>
        <v>1.3354980183580289E-2</v>
      </c>
      <c r="V17" s="747">
        <f t="shared" si="15"/>
        <v>1.4375181031299178E-7</v>
      </c>
      <c r="W17" s="793">
        <f t="shared" si="16"/>
        <v>2.0700260685070818E-5</v>
      </c>
      <c r="X17" s="775">
        <v>5.4534300000000001E-2</v>
      </c>
      <c r="Y17" s="749">
        <v>1.78918E-3</v>
      </c>
      <c r="Z17" s="749">
        <v>2.1470199999999998E-2</v>
      </c>
      <c r="AA17" s="749">
        <v>5.45343E-4</v>
      </c>
      <c r="AB17" s="749">
        <v>3.3886051132441802E-7</v>
      </c>
      <c r="AC17" s="749">
        <v>0.54534300000000002</v>
      </c>
      <c r="AD17" s="749">
        <v>5.9639399999999998E-4</v>
      </c>
      <c r="AE17" s="775">
        <v>545.34299999999996</v>
      </c>
      <c r="AF17" s="782">
        <v>1.3354980183580299E-10</v>
      </c>
      <c r="AG17" s="749">
        <v>3.3000874727500401E-12</v>
      </c>
      <c r="AH17" s="749">
        <v>1.3354999999999999E-4</v>
      </c>
      <c r="AI17" s="749">
        <v>1.33549801835803E-6</v>
      </c>
      <c r="AJ17" s="749">
        <v>1.3354980183580301E-12</v>
      </c>
      <c r="AK17" s="749">
        <v>1.3354980183580299E-8</v>
      </c>
      <c r="AL17" s="749">
        <v>1.3355000000000001E-2</v>
      </c>
      <c r="AM17" s="749">
        <v>1.4375181031299199E-7</v>
      </c>
      <c r="AN17" s="821">
        <v>2.0700260685070801E-5</v>
      </c>
      <c r="AO17" s="801">
        <f t="shared" si="17"/>
        <v>2.3973325550047036E-7</v>
      </c>
      <c r="AP17" s="811">
        <f t="shared" si="0"/>
        <v>1.9560838378084556E-6</v>
      </c>
      <c r="AQ17" s="811">
        <f t="shared" si="0"/>
        <v>9.3036624540881624E-8</v>
      </c>
      <c r="AR17" s="811">
        <f t="shared" si="0"/>
        <v>2.3973325550842284E-7</v>
      </c>
      <c r="AS17" s="811">
        <f t="shared" si="0"/>
        <v>-1.5622817482179428E-16</v>
      </c>
      <c r="AT17" s="811">
        <f t="shared" si="0"/>
        <v>2.3973325550047036E-7</v>
      </c>
      <c r="AU17" s="811">
        <f t="shared" si="0"/>
        <v>8.3825550988426974E-7</v>
      </c>
      <c r="AV17" s="801">
        <f t="shared" si="0"/>
        <v>2.39733255511871E-7</v>
      </c>
      <c r="AW17" s="732">
        <f t="shared" si="0"/>
        <v>-7.7422485954905378E-16</v>
      </c>
      <c r="AX17" s="811">
        <f t="shared" si="1"/>
        <v>2.4477944103498645E-16</v>
      </c>
      <c r="AY17" s="811">
        <f t="shared" si="1"/>
        <v>-1.4838224720464149E-6</v>
      </c>
      <c r="AZ17" s="811">
        <f t="shared" si="1"/>
        <v>-7.9280625617823105E-16</v>
      </c>
      <c r="BA17" s="811">
        <f t="shared" si="1"/>
        <v>-9.0729475728404748E-16</v>
      </c>
      <c r="BB17" s="811">
        <f t="shared" si="1"/>
        <v>-7.4325586516709161E-16</v>
      </c>
      <c r="BC17" s="811">
        <f t="shared" si="1"/>
        <v>-1.4838224721681901E-6</v>
      </c>
      <c r="BD17" s="811">
        <f t="shared" si="1"/>
        <v>-1.4730822265995291E-15</v>
      </c>
      <c r="BE17" s="806">
        <f t="shared" si="1"/>
        <v>8.1837901477751616E-16</v>
      </c>
    </row>
    <row r="18" spans="2:57" x14ac:dyDescent="0.25">
      <c r="B18" s="728">
        <v>34</v>
      </c>
      <c r="C18" s="739">
        <v>66</v>
      </c>
      <c r="D18" s="700" t="s">
        <v>9</v>
      </c>
      <c r="E18" s="498">
        <v>3</v>
      </c>
      <c r="F18" s="700" t="s">
        <v>31</v>
      </c>
      <c r="G18" s="767">
        <f t="shared" si="2"/>
        <v>364</v>
      </c>
      <c r="H18" s="750">
        <f t="shared" si="3"/>
        <v>11.942257217847768</v>
      </c>
      <c r="I18" s="750">
        <f t="shared" si="4"/>
        <v>143.30708661417324</v>
      </c>
      <c r="J18" s="750">
        <f>(2*(C18-B18)+E18*B18+E18*C18)/100</f>
        <v>3.64</v>
      </c>
      <c r="K18" s="750">
        <f t="shared" si="5"/>
        <v>2.2617911397438953E-3</v>
      </c>
      <c r="L18" s="750">
        <f t="shared" si="6"/>
        <v>3640</v>
      </c>
      <c r="M18" s="750">
        <f t="shared" si="7"/>
        <v>3.9807524059492567</v>
      </c>
      <c r="N18" s="788">
        <f t="shared" si="8"/>
        <v>3640000</v>
      </c>
      <c r="O18" s="751">
        <f t="shared" si="9"/>
        <v>4.7999999999999996E-3</v>
      </c>
      <c r="P18" s="750">
        <f t="shared" si="10"/>
        <v>1.1861058310423935E-4</v>
      </c>
      <c r="Q18" s="750">
        <f t="shared" si="11"/>
        <v>4800</v>
      </c>
      <c r="R18" s="750">
        <f t="shared" si="12"/>
        <v>48</v>
      </c>
      <c r="S18" s="750">
        <f t="shared" si="13"/>
        <v>4.8000000000000001E-5</v>
      </c>
      <c r="T18" s="750">
        <f>(((E18*C18^2)/2)-((E18*B18^2)/2))/100^2</f>
        <v>0.48</v>
      </c>
      <c r="U18" s="750">
        <f t="shared" si="14"/>
        <v>480000</v>
      </c>
      <c r="V18" s="750">
        <f t="shared" si="15"/>
        <v>5.1666770000206661</v>
      </c>
      <c r="W18" s="794">
        <f t="shared" si="16"/>
        <v>744.00148800297598</v>
      </c>
      <c r="X18" s="776">
        <v>364</v>
      </c>
      <c r="Y18" s="752">
        <v>11.942299999999999</v>
      </c>
      <c r="Z18" s="752">
        <v>143.30699999999999</v>
      </c>
      <c r="AA18" s="752">
        <v>3.64</v>
      </c>
      <c r="AB18" s="752">
        <v>2.2617900000000001E-3</v>
      </c>
      <c r="AC18" s="752">
        <v>3640</v>
      </c>
      <c r="AD18" s="752">
        <v>3.98075</v>
      </c>
      <c r="AE18" s="776">
        <v>3640000</v>
      </c>
      <c r="AF18" s="783">
        <v>4.7999999999999996E-3</v>
      </c>
      <c r="AG18" s="752">
        <v>1.1861100000000001E-4</v>
      </c>
      <c r="AH18" s="752">
        <v>4800</v>
      </c>
      <c r="AI18" s="752">
        <v>48</v>
      </c>
      <c r="AJ18" s="752">
        <v>4.8000000000000001E-5</v>
      </c>
      <c r="AK18" s="752">
        <v>0.48</v>
      </c>
      <c r="AL18" s="752">
        <v>480000</v>
      </c>
      <c r="AM18" s="752">
        <v>5.1666800000000004</v>
      </c>
      <c r="AN18" s="822">
        <v>744.00099999999998</v>
      </c>
      <c r="AO18" s="802">
        <f t="shared" si="17"/>
        <v>0</v>
      </c>
      <c r="AP18" s="812">
        <f t="shared" si="0"/>
        <v>-3.582417582463891E-6</v>
      </c>
      <c r="AQ18" s="812">
        <f t="shared" si="0"/>
        <v>6.0439560458744776E-7</v>
      </c>
      <c r="AR18" s="812">
        <f t="shared" si="0"/>
        <v>0</v>
      </c>
      <c r="AS18" s="812">
        <f t="shared" si="0"/>
        <v>5.039120877055494E-7</v>
      </c>
      <c r="AT18" s="812">
        <f t="shared" si="0"/>
        <v>0</v>
      </c>
      <c r="AU18" s="812">
        <f t="shared" si="0"/>
        <v>6.0439560448828413E-7</v>
      </c>
      <c r="AV18" s="802">
        <f t="shared" si="0"/>
        <v>0</v>
      </c>
      <c r="AW18" s="734">
        <f t="shared" si="0"/>
        <v>0</v>
      </c>
      <c r="AX18" s="812">
        <f t="shared" si="1"/>
        <v>-3.514827680177507E-6</v>
      </c>
      <c r="AY18" s="812">
        <f t="shared" si="1"/>
        <v>0</v>
      </c>
      <c r="AZ18" s="812">
        <f t="shared" si="1"/>
        <v>0</v>
      </c>
      <c r="BA18" s="812">
        <f t="shared" si="1"/>
        <v>0</v>
      </c>
      <c r="BB18" s="812">
        <f t="shared" si="1"/>
        <v>0</v>
      </c>
      <c r="BC18" s="812">
        <f t="shared" si="1"/>
        <v>0</v>
      </c>
      <c r="BD18" s="812">
        <f t="shared" si="1"/>
        <v>-5.8064000019197339E-7</v>
      </c>
      <c r="BE18" s="807">
        <f t="shared" si="1"/>
        <v>6.5591666665708702E-7</v>
      </c>
    </row>
    <row r="19" spans="2:57" x14ac:dyDescent="0.25">
      <c r="B19" s="726">
        <v>55</v>
      </c>
      <c r="C19" s="737">
        <v>134</v>
      </c>
      <c r="D19" s="166" t="s">
        <v>5</v>
      </c>
      <c r="E19" s="499">
        <v>5</v>
      </c>
      <c r="F19" s="166" t="s">
        <v>31</v>
      </c>
      <c r="G19" s="765">
        <f t="shared" si="2"/>
        <v>33619.440000000002</v>
      </c>
      <c r="H19" s="714">
        <f t="shared" si="3"/>
        <v>1103</v>
      </c>
      <c r="I19" s="714">
        <f t="shared" si="4"/>
        <v>13236.000000000002</v>
      </c>
      <c r="J19" s="714">
        <f>(2*(C19-B19)+E19*B19+E19*C19)*0.3048</f>
        <v>336.19440000000003</v>
      </c>
      <c r="K19" s="714">
        <f t="shared" si="5"/>
        <v>0.20890151515151517</v>
      </c>
      <c r="L19" s="714">
        <f t="shared" si="6"/>
        <v>336194.4</v>
      </c>
      <c r="M19" s="714">
        <f t="shared" si="7"/>
        <v>367.66666666666669</v>
      </c>
      <c r="N19" s="715">
        <f t="shared" si="8"/>
        <v>336194400.00000006</v>
      </c>
      <c r="O19" s="745">
        <f t="shared" si="9"/>
        <v>34.678382256000006</v>
      </c>
      <c r="P19" s="714">
        <f t="shared" si="10"/>
        <v>0.85692148760330589</v>
      </c>
      <c r="Q19" s="714">
        <f t="shared" si="11"/>
        <v>34678382.256000005</v>
      </c>
      <c r="R19" s="714">
        <f t="shared" si="12"/>
        <v>346783.82256000006</v>
      </c>
      <c r="S19" s="714">
        <f t="shared" si="13"/>
        <v>0.34678382256000007</v>
      </c>
      <c r="T19" s="714">
        <f>(((E19*C19^2)/2)-((E19*B19^2)/2))*0.3048^2</f>
        <v>3467.8382256000004</v>
      </c>
      <c r="U19" s="714">
        <f t="shared" si="14"/>
        <v>3467838225.6000004</v>
      </c>
      <c r="V19" s="714">
        <f t="shared" si="15"/>
        <v>37327.5</v>
      </c>
      <c r="W19" s="792">
        <f t="shared" si="16"/>
        <v>5375160.0000000009</v>
      </c>
      <c r="X19" s="774">
        <v>33619.4</v>
      </c>
      <c r="Y19" s="717">
        <v>1103</v>
      </c>
      <c r="Z19" s="717">
        <v>13236</v>
      </c>
      <c r="AA19" s="717">
        <v>336.19400000000002</v>
      </c>
      <c r="AB19" s="717">
        <v>0.208902</v>
      </c>
      <c r="AC19" s="717">
        <v>336194</v>
      </c>
      <c r="AD19" s="717">
        <v>367.66699999999997</v>
      </c>
      <c r="AE19" s="774">
        <v>336194400</v>
      </c>
      <c r="AF19" s="781">
        <v>34.678400000000003</v>
      </c>
      <c r="AG19" s="717">
        <v>0.85692100000000004</v>
      </c>
      <c r="AH19" s="717">
        <v>34678382</v>
      </c>
      <c r="AI19" s="717">
        <v>346784</v>
      </c>
      <c r="AJ19" s="717">
        <v>0.34678399999999998</v>
      </c>
      <c r="AK19" s="717">
        <v>3467.84</v>
      </c>
      <c r="AL19" s="717">
        <v>3467838226</v>
      </c>
      <c r="AM19" s="717">
        <v>37327.5</v>
      </c>
      <c r="AN19" s="820">
        <v>5375160</v>
      </c>
      <c r="AO19" s="800">
        <f t="shared" si="17"/>
        <v>1.189787813267357E-6</v>
      </c>
      <c r="AP19" s="687">
        <f t="shared" si="0"/>
        <v>0</v>
      </c>
      <c r="AQ19" s="687">
        <f t="shared" si="0"/>
        <v>1.3742742547188396E-16</v>
      </c>
      <c r="AR19" s="687">
        <f t="shared" si="0"/>
        <v>1.1897878132808833E-6</v>
      </c>
      <c r="AS19" s="687">
        <f t="shared" si="0"/>
        <v>-2.3209428829720609E-6</v>
      </c>
      <c r="AT19" s="687">
        <f t="shared" si="0"/>
        <v>1.1897878133106413E-6</v>
      </c>
      <c r="AU19" s="687">
        <f t="shared" si="0"/>
        <v>-9.0661831356542728E-7</v>
      </c>
      <c r="AV19" s="800">
        <f t="shared" si="0"/>
        <v>1.772921999158541E-16</v>
      </c>
      <c r="AW19" s="689">
        <f t="shared" si="0"/>
        <v>-5.1167323395691673E-7</v>
      </c>
      <c r="AX19" s="687">
        <f t="shared" si="1"/>
        <v>5.6901748047764343E-7</v>
      </c>
      <c r="AY19" s="687">
        <f t="shared" si="1"/>
        <v>7.3821207350142228E-9</v>
      </c>
      <c r="AZ19" s="687">
        <f t="shared" si="1"/>
        <v>-5.1167323386479587E-7</v>
      </c>
      <c r="BA19" s="687">
        <f t="shared" si="1"/>
        <v>-5.116732337904395E-7</v>
      </c>
      <c r="BB19" s="687">
        <f t="shared" si="1"/>
        <v>-5.1167323394872095E-7</v>
      </c>
      <c r="BC19" s="687">
        <f t="shared" si="1"/>
        <v>-1.1534552436080437E-10</v>
      </c>
      <c r="BD19" s="687">
        <f t="shared" si="1"/>
        <v>0</v>
      </c>
      <c r="BE19" s="690">
        <f t="shared" si="1"/>
        <v>1.7326415857676392E-16</v>
      </c>
    </row>
    <row r="20" spans="2:57" x14ac:dyDescent="0.25">
      <c r="B20" s="726">
        <v>34</v>
      </c>
      <c r="C20" s="737">
        <v>76</v>
      </c>
      <c r="D20" s="166" t="s">
        <v>8</v>
      </c>
      <c r="E20" s="453">
        <v>3.0000000000000001E-3</v>
      </c>
      <c r="F20" s="166" t="s">
        <v>31</v>
      </c>
      <c r="G20" s="765">
        <f t="shared" si="2"/>
        <v>214.19820000000001</v>
      </c>
      <c r="H20" s="714">
        <f t="shared" si="3"/>
        <v>7.0274999999999999</v>
      </c>
      <c r="I20" s="714">
        <f t="shared" si="4"/>
        <v>84.33</v>
      </c>
      <c r="J20" s="714">
        <f>(2*(C20-B20)+E20*B20+E20*C20)*2.54/100</f>
        <v>2.1419820000000001</v>
      </c>
      <c r="K20" s="714">
        <f t="shared" si="5"/>
        <v>1.3309659090909092E-3</v>
      </c>
      <c r="L20" s="714">
        <f t="shared" si="6"/>
        <v>2141.982</v>
      </c>
      <c r="M20" s="714">
        <f t="shared" si="7"/>
        <v>2.3425000000000002</v>
      </c>
      <c r="N20" s="715">
        <f t="shared" si="8"/>
        <v>2141982</v>
      </c>
      <c r="O20" s="745">
        <f t="shared" si="9"/>
        <v>4.4709587999999997E-5</v>
      </c>
      <c r="P20" s="714">
        <f t="shared" si="10"/>
        <v>1.1047979797979798E-6</v>
      </c>
      <c r="Q20" s="714">
        <f t="shared" si="11"/>
        <v>44.709587999999997</v>
      </c>
      <c r="R20" s="714">
        <f t="shared" si="12"/>
        <v>0.44709588</v>
      </c>
      <c r="S20" s="714">
        <f t="shared" si="13"/>
        <v>4.4709588000000001E-7</v>
      </c>
      <c r="T20" s="714">
        <f>(((E20*C20^2)/2)-((E20*B20^2)/2))*(2.54/100)^2</f>
        <v>4.4709588E-3</v>
      </c>
      <c r="U20" s="714">
        <f t="shared" si="14"/>
        <v>4470.9588000000003</v>
      </c>
      <c r="V20" s="714">
        <f t="shared" si="15"/>
        <v>4.8125000000000001E-2</v>
      </c>
      <c r="W20" s="792">
        <f t="shared" si="16"/>
        <v>6.93</v>
      </c>
      <c r="X20" s="774">
        <v>214.19800000000001</v>
      </c>
      <c r="Y20" s="717">
        <v>7.0274999999999999</v>
      </c>
      <c r="Z20" s="717">
        <v>84.33</v>
      </c>
      <c r="AA20" s="717">
        <v>2.1419800000000002</v>
      </c>
      <c r="AB20" s="717">
        <v>1.3309699999999999E-3</v>
      </c>
      <c r="AC20" s="717">
        <v>2141.98</v>
      </c>
      <c r="AD20" s="717">
        <v>2.3424999999999998</v>
      </c>
      <c r="AE20" s="774">
        <v>2141982</v>
      </c>
      <c r="AF20" s="781">
        <v>4.4709587999999997E-5</v>
      </c>
      <c r="AG20" s="717">
        <v>1.10479797979798E-6</v>
      </c>
      <c r="AH20" s="717">
        <v>44.709600000000002</v>
      </c>
      <c r="AI20" s="717">
        <v>0.44709599999999999</v>
      </c>
      <c r="AJ20" s="717">
        <v>4.4709588000000001E-7</v>
      </c>
      <c r="AK20" s="717">
        <v>4.4709600000000004E-3</v>
      </c>
      <c r="AL20" s="717">
        <v>4470.96</v>
      </c>
      <c r="AM20" s="717">
        <v>4.8125000000000001E-2</v>
      </c>
      <c r="AN20" s="820">
        <v>6.93</v>
      </c>
      <c r="AO20" s="800">
        <f t="shared" si="17"/>
        <v>9.3371466243245414E-7</v>
      </c>
      <c r="AP20" s="687">
        <f t="shared" si="0"/>
        <v>0</v>
      </c>
      <c r="AQ20" s="687">
        <f t="shared" si="0"/>
        <v>0</v>
      </c>
      <c r="AR20" s="687">
        <f t="shared" si="0"/>
        <v>9.3371466232464453E-7</v>
      </c>
      <c r="AS20" s="687">
        <f t="shared" si="0"/>
        <v>-3.073639274083631E-6</v>
      </c>
      <c r="AT20" s="687">
        <f t="shared" si="0"/>
        <v>9.3371466237937863E-7</v>
      </c>
      <c r="AU20" s="687">
        <f t="shared" si="0"/>
        <v>1.8957917176096588E-16</v>
      </c>
      <c r="AV20" s="800">
        <f t="shared" si="0"/>
        <v>0</v>
      </c>
      <c r="AW20" s="689">
        <f t="shared" si="0"/>
        <v>0</v>
      </c>
      <c r="AX20" s="687">
        <f t="shared" si="1"/>
        <v>-1.9167145549297311E-16</v>
      </c>
      <c r="AY20" s="687">
        <f t="shared" si="1"/>
        <v>-2.6839880531285707E-7</v>
      </c>
      <c r="AZ20" s="687">
        <f t="shared" si="1"/>
        <v>-2.6839880517876487E-7</v>
      </c>
      <c r="BA20" s="687">
        <f t="shared" si="1"/>
        <v>0</v>
      </c>
      <c r="BB20" s="687">
        <f t="shared" si="1"/>
        <v>-2.6839880528740437E-7</v>
      </c>
      <c r="BC20" s="687">
        <f t="shared" si="1"/>
        <v>-2.6839880512850517E-7</v>
      </c>
      <c r="BD20" s="687">
        <f t="shared" si="1"/>
        <v>0</v>
      </c>
      <c r="BE20" s="690">
        <f t="shared" si="1"/>
        <v>0</v>
      </c>
    </row>
    <row r="21" spans="2:57" x14ac:dyDescent="0.25">
      <c r="B21" s="726">
        <v>89</v>
      </c>
      <c r="C21" s="737">
        <v>176</v>
      </c>
      <c r="D21" s="166" t="s">
        <v>4</v>
      </c>
      <c r="E21" s="701">
        <v>0.14000000000000001</v>
      </c>
      <c r="F21" s="166" t="s">
        <v>31</v>
      </c>
      <c r="G21" s="765">
        <f t="shared" si="2"/>
        <v>21110.000000000004</v>
      </c>
      <c r="H21" s="714">
        <f t="shared" si="3"/>
        <v>692.58530183727044</v>
      </c>
      <c r="I21" s="714">
        <f t="shared" si="4"/>
        <v>8311.0236220472452</v>
      </c>
      <c r="J21" s="714">
        <f t="shared" ref="J21" si="19">2*(C21-B21)+E21*B21+E21*C21</f>
        <v>211.10000000000002</v>
      </c>
      <c r="K21" s="714">
        <f t="shared" si="5"/>
        <v>0.1311714586813012</v>
      </c>
      <c r="L21" s="714">
        <f t="shared" si="6"/>
        <v>211100.00000000003</v>
      </c>
      <c r="M21" s="714">
        <f t="shared" si="7"/>
        <v>230.86176727909015</v>
      </c>
      <c r="N21" s="715">
        <f t="shared" si="8"/>
        <v>211100000.00000003</v>
      </c>
      <c r="O21" s="745">
        <f t="shared" si="9"/>
        <v>16.138500000000001</v>
      </c>
      <c r="P21" s="714">
        <f t="shared" si="10"/>
        <v>0.3987910198807848</v>
      </c>
      <c r="Q21" s="714">
        <f t="shared" si="11"/>
        <v>16138500.000000002</v>
      </c>
      <c r="R21" s="714">
        <f t="shared" si="12"/>
        <v>161385</v>
      </c>
      <c r="S21" s="714">
        <f t="shared" si="13"/>
        <v>0.161385</v>
      </c>
      <c r="T21" s="714">
        <f>((E21*C21^2)/2)-((E21*B21^2)/2)</f>
        <v>1613.8500000000001</v>
      </c>
      <c r="U21" s="714">
        <f t="shared" si="14"/>
        <v>1613850000.0000002</v>
      </c>
      <c r="V21" s="714">
        <f t="shared" si="15"/>
        <v>17371.336826006987</v>
      </c>
      <c r="W21" s="792">
        <f t="shared" si="16"/>
        <v>2501472.5029450064</v>
      </c>
      <c r="X21" s="774">
        <v>21110</v>
      </c>
      <c r="Y21" s="717">
        <v>692.58500000000004</v>
      </c>
      <c r="Z21" s="717">
        <v>8311.02</v>
      </c>
      <c r="AA21" s="717">
        <v>211.1</v>
      </c>
      <c r="AB21" s="717">
        <v>0.13117100000000001</v>
      </c>
      <c r="AC21" s="717">
        <v>211100</v>
      </c>
      <c r="AD21" s="717">
        <v>230.86199999999999</v>
      </c>
      <c r="AE21" s="774">
        <v>211100000</v>
      </c>
      <c r="AF21" s="781">
        <v>16.138500000000001</v>
      </c>
      <c r="AG21" s="717">
        <v>0.39879100000000001</v>
      </c>
      <c r="AH21" s="717">
        <v>16138500</v>
      </c>
      <c r="AI21" s="717">
        <v>161385</v>
      </c>
      <c r="AJ21" s="717">
        <v>0.161385</v>
      </c>
      <c r="AK21" s="717">
        <v>1613.85</v>
      </c>
      <c r="AL21" s="717">
        <v>1613850000</v>
      </c>
      <c r="AM21" s="717">
        <v>17371.3</v>
      </c>
      <c r="AN21" s="820">
        <v>2501473</v>
      </c>
      <c r="AO21" s="800">
        <f t="shared" si="17"/>
        <v>1.7233438214550983E-16</v>
      </c>
      <c r="AP21" s="687">
        <f t="shared" si="0"/>
        <v>4.3581241126315233E-7</v>
      </c>
      <c r="AQ21" s="687">
        <f t="shared" si="0"/>
        <v>4.3581241126315233E-7</v>
      </c>
      <c r="AR21" s="687">
        <f t="shared" si="0"/>
        <v>1.3463623605117956E-16</v>
      </c>
      <c r="AS21" s="687">
        <f t="shared" si="0"/>
        <v>3.4968072003018173E-6</v>
      </c>
      <c r="AT21" s="687">
        <f t="shared" si="0"/>
        <v>1.3786750571640787E-16</v>
      </c>
      <c r="AU21" s="687">
        <f t="shared" si="0"/>
        <v>-1.008053055265173E-6</v>
      </c>
      <c r="AV21" s="800">
        <f t="shared" si="0"/>
        <v>1.4117632585360164E-16</v>
      </c>
      <c r="AW21" s="689">
        <f t="shared" si="0"/>
        <v>0</v>
      </c>
      <c r="AX21" s="687">
        <f t="shared" si="1"/>
        <v>4.9852639114449812E-8</v>
      </c>
      <c r="AY21" s="687">
        <f t="shared" si="1"/>
        <v>1.1541624991362002E-16</v>
      </c>
      <c r="AZ21" s="687">
        <f t="shared" si="1"/>
        <v>0</v>
      </c>
      <c r="BA21" s="687">
        <f t="shared" si="1"/>
        <v>0</v>
      </c>
      <c r="BB21" s="687">
        <f t="shared" si="1"/>
        <v>1.4088897694533695E-16</v>
      </c>
      <c r="BC21" s="687">
        <f t="shared" si="1"/>
        <v>1.4773279988943363E-16</v>
      </c>
      <c r="BD21" s="687">
        <f t="shared" si="1"/>
        <v>2.1199293616245287E-6</v>
      </c>
      <c r="BE21" s="690">
        <f t="shared" si="1"/>
        <v>-1.987049600007372E-7</v>
      </c>
    </row>
    <row r="22" spans="2:57" x14ac:dyDescent="0.25">
      <c r="B22" s="726">
        <v>23</v>
      </c>
      <c r="C22" s="737">
        <v>52</v>
      </c>
      <c r="D22" s="166" t="s">
        <v>10</v>
      </c>
      <c r="E22" s="701">
        <v>0.12</v>
      </c>
      <c r="F22" s="166" t="s">
        <v>31</v>
      </c>
      <c r="G22" s="765">
        <f t="shared" si="2"/>
        <v>10782604.800000001</v>
      </c>
      <c r="H22" s="714">
        <f t="shared" si="3"/>
        <v>353760</v>
      </c>
      <c r="I22" s="714">
        <f t="shared" si="4"/>
        <v>4245120</v>
      </c>
      <c r="J22" s="714">
        <f>(2*(C22-B22)+E22*B22+E22*C22)*63360*2.54/100</f>
        <v>107826.04800000001</v>
      </c>
      <c r="K22" s="714">
        <f t="shared" si="5"/>
        <v>67</v>
      </c>
      <c r="L22" s="714">
        <f t="shared" si="6"/>
        <v>107826048.00000001</v>
      </c>
      <c r="M22" s="714">
        <f t="shared" si="7"/>
        <v>117920.00000000001</v>
      </c>
      <c r="N22" s="715">
        <f t="shared" si="8"/>
        <v>107826048000.00002</v>
      </c>
      <c r="O22" s="745">
        <f t="shared" si="9"/>
        <v>3379934.4839884792</v>
      </c>
      <c r="P22" s="714">
        <f t="shared" si="10"/>
        <v>83519.999999999985</v>
      </c>
      <c r="Q22" s="714">
        <f t="shared" si="11"/>
        <v>3379934483988.4795</v>
      </c>
      <c r="R22" s="714">
        <f t="shared" si="12"/>
        <v>33799344839.884792</v>
      </c>
      <c r="S22" s="714">
        <f t="shared" si="13"/>
        <v>33799.34483988479</v>
      </c>
      <c r="T22" s="714">
        <f>(((E22*C22^2)/2)-((E22*B22^2)/2))*(63360*2.54/100)^2</f>
        <v>337993448.39884794</v>
      </c>
      <c r="U22" s="714">
        <f t="shared" si="14"/>
        <v>337993448398847.94</v>
      </c>
      <c r="V22" s="714">
        <f t="shared" si="15"/>
        <v>3638131199.999999</v>
      </c>
      <c r="W22" s="792">
        <f t="shared" si="16"/>
        <v>523890892799.99994</v>
      </c>
      <c r="X22" s="774">
        <v>10782605</v>
      </c>
      <c r="Y22" s="717">
        <v>353760</v>
      </c>
      <c r="Z22" s="717">
        <v>4245120</v>
      </c>
      <c r="AA22" s="717">
        <v>107826</v>
      </c>
      <c r="AB22" s="717">
        <v>67</v>
      </c>
      <c r="AC22" s="717">
        <v>107826048</v>
      </c>
      <c r="AD22" s="717">
        <v>117920</v>
      </c>
      <c r="AE22" s="774">
        <v>107826048000</v>
      </c>
      <c r="AF22" s="781">
        <v>3379934</v>
      </c>
      <c r="AG22" s="717">
        <v>83520</v>
      </c>
      <c r="AH22" s="717">
        <v>3379934483988</v>
      </c>
      <c r="AI22" s="717">
        <v>33799344840</v>
      </c>
      <c r="AJ22" s="717">
        <v>33799.300000000003</v>
      </c>
      <c r="AK22" s="717">
        <v>337993448</v>
      </c>
      <c r="AL22" s="717">
        <v>337993448398848</v>
      </c>
      <c r="AM22" s="717">
        <v>3638131200</v>
      </c>
      <c r="AN22" s="820">
        <v>523890892800</v>
      </c>
      <c r="AO22" s="800">
        <f t="shared" si="17"/>
        <v>-1.854839372903122E-8</v>
      </c>
      <c r="AP22" s="687">
        <f t="shared" si="0"/>
        <v>0</v>
      </c>
      <c r="AQ22" s="687">
        <f t="shared" si="0"/>
        <v>0</v>
      </c>
      <c r="AR22" s="687">
        <f t="shared" si="0"/>
        <v>4.4516145124579622E-7</v>
      </c>
      <c r="AS22" s="687">
        <f t="shared" si="0"/>
        <v>0</v>
      </c>
      <c r="AT22" s="687">
        <f t="shared" si="0"/>
        <v>1.3819630293644495E-16</v>
      </c>
      <c r="AU22" s="687">
        <f t="shared" si="0"/>
        <v>1.2340497988777858E-16</v>
      </c>
      <c r="AV22" s="800">
        <f t="shared" si="0"/>
        <v>1.4151301420691963E-16</v>
      </c>
      <c r="AW22" s="689">
        <f t="shared" si="0"/>
        <v>1.4319463336884722E-7</v>
      </c>
      <c r="AX22" s="687">
        <f t="shared" si="1"/>
        <v>-1.7423270148906674E-16</v>
      </c>
      <c r="AY22" s="687">
        <f t="shared" si="1"/>
        <v>1.4186434375324844E-13</v>
      </c>
      <c r="AZ22" s="687">
        <f t="shared" si="1"/>
        <v>-3.408577079375522E-12</v>
      </c>
      <c r="BA22" s="687">
        <f t="shared" si="1"/>
        <v>1.3266495253065896E-6</v>
      </c>
      <c r="BB22" s="687">
        <f t="shared" si="1"/>
        <v>1.180046357328395E-9</v>
      </c>
      <c r="BC22" s="687">
        <f t="shared" si="1"/>
        <v>-1.8491482688814459E-16</v>
      </c>
      <c r="BD22" s="687">
        <f t="shared" si="1"/>
        <v>-2.6213301939365196E-16</v>
      </c>
      <c r="BE22" s="690">
        <f t="shared" si="1"/>
        <v>-1.1650356417495641E-16</v>
      </c>
    </row>
    <row r="23" spans="2:57" x14ac:dyDescent="0.25">
      <c r="B23" s="726">
        <v>59</v>
      </c>
      <c r="C23" s="737">
        <v>112</v>
      </c>
      <c r="D23" s="166" t="s">
        <v>6</v>
      </c>
      <c r="E23" s="701">
        <v>0.89</v>
      </c>
      <c r="F23" s="166" t="s">
        <v>31</v>
      </c>
      <c r="G23" s="765">
        <f t="shared" si="2"/>
        <v>25.818999999999999</v>
      </c>
      <c r="H23" s="714">
        <f t="shared" si="3"/>
        <v>0.84708005249343821</v>
      </c>
      <c r="I23" s="714">
        <f t="shared" si="4"/>
        <v>10.164960629921259</v>
      </c>
      <c r="J23" s="714">
        <f>(2*(C23-B23)+E23*B23+E23*C23)/1000</f>
        <v>0.25818999999999998</v>
      </c>
      <c r="K23" s="714">
        <f t="shared" si="5"/>
        <v>1.6043182812375725E-4</v>
      </c>
      <c r="L23" s="714">
        <f t="shared" si="6"/>
        <v>258.19</v>
      </c>
      <c r="M23" s="714">
        <f t="shared" si="7"/>
        <v>0.28236001749781275</v>
      </c>
      <c r="N23" s="715">
        <f t="shared" si="8"/>
        <v>258189.99999999997</v>
      </c>
      <c r="O23" s="745">
        <f t="shared" si="9"/>
        <v>4.0330349999999999E-5</v>
      </c>
      <c r="P23" s="714">
        <f t="shared" si="10"/>
        <v>9.9658465214542913E-7</v>
      </c>
      <c r="Q23" s="714">
        <f t="shared" si="11"/>
        <v>40.330349999999996</v>
      </c>
      <c r="R23" s="714">
        <f t="shared" si="12"/>
        <v>0.40330349999999998</v>
      </c>
      <c r="S23" s="714">
        <f t="shared" si="13"/>
        <v>4.0330350000000001E-7</v>
      </c>
      <c r="T23" s="714">
        <f>(((E23*C23^2)/2)-((E23*B23^2)/2))/1000^2</f>
        <v>4.0330349999999999E-3</v>
      </c>
      <c r="U23" s="714">
        <f t="shared" si="14"/>
        <v>4033.0349999999999</v>
      </c>
      <c r="V23" s="714">
        <f t="shared" si="15"/>
        <v>4.3411227447454896E-2</v>
      </c>
      <c r="W23" s="792">
        <f t="shared" si="16"/>
        <v>6.2512167524335043</v>
      </c>
      <c r="X23" s="774">
        <v>25.818999999999999</v>
      </c>
      <c r="Y23" s="717">
        <v>0.84708000000000006</v>
      </c>
      <c r="Z23" s="717">
        <v>10.164999999999999</v>
      </c>
      <c r="AA23" s="717">
        <v>0.25818999999999998</v>
      </c>
      <c r="AB23" s="717">
        <v>1.6043200000000001E-4</v>
      </c>
      <c r="AC23" s="717">
        <v>258.19</v>
      </c>
      <c r="AD23" s="717">
        <v>0.28236</v>
      </c>
      <c r="AE23" s="774">
        <v>258190</v>
      </c>
      <c r="AF23" s="781">
        <v>4.0330349999999999E-5</v>
      </c>
      <c r="AG23" s="717">
        <v>9.9658465214542892E-7</v>
      </c>
      <c r="AH23" s="717">
        <v>40.330300000000001</v>
      </c>
      <c r="AI23" s="717">
        <v>0.403304</v>
      </c>
      <c r="AJ23" s="717">
        <v>4.0330350000000001E-7</v>
      </c>
      <c r="AK23" s="717">
        <v>4.0330399999999999E-3</v>
      </c>
      <c r="AL23" s="717">
        <v>4033.04</v>
      </c>
      <c r="AM23" s="717">
        <v>4.3411199999999997E-2</v>
      </c>
      <c r="AN23" s="820">
        <v>6.25122</v>
      </c>
      <c r="AO23" s="800">
        <f t="shared" si="17"/>
        <v>0</v>
      </c>
      <c r="AP23" s="687">
        <f t="shared" si="0"/>
        <v>6.1969866953326194E-8</v>
      </c>
      <c r="AQ23" s="687">
        <f t="shared" si="0"/>
        <v>-3.8731166970121906E-6</v>
      </c>
      <c r="AR23" s="687">
        <f t="shared" si="0"/>
        <v>0</v>
      </c>
      <c r="AS23" s="687">
        <f t="shared" si="0"/>
        <v>-1.0713350634202241E-6</v>
      </c>
      <c r="AT23" s="687">
        <f t="shared" si="0"/>
        <v>0</v>
      </c>
      <c r="AU23" s="687">
        <f t="shared" si="0"/>
        <v>6.1969867084390911E-8</v>
      </c>
      <c r="AV23" s="800">
        <f t="shared" si="0"/>
        <v>-1.1272253168880942E-16</v>
      </c>
      <c r="AW23" s="689">
        <f t="shared" si="0"/>
        <v>0</v>
      </c>
      <c r="AX23" s="687">
        <f t="shared" si="1"/>
        <v>2.1248394339377577E-16</v>
      </c>
      <c r="AY23" s="687">
        <f t="shared" si="1"/>
        <v>1.239761122691829E-6</v>
      </c>
      <c r="AZ23" s="687">
        <f t="shared" si="1"/>
        <v>-1.239761122862504E-6</v>
      </c>
      <c r="BA23" s="687">
        <f t="shared" si="1"/>
        <v>0</v>
      </c>
      <c r="BB23" s="687">
        <f t="shared" si="1"/>
        <v>-1.239761122819491E-6</v>
      </c>
      <c r="BC23" s="687">
        <f t="shared" si="1"/>
        <v>-1.2397611228539151E-6</v>
      </c>
      <c r="BD23" s="687">
        <f t="shared" si="1"/>
        <v>6.3226627103345897E-7</v>
      </c>
      <c r="BE23" s="690">
        <f t="shared" si="1"/>
        <v>-5.1950950100378318E-7</v>
      </c>
    </row>
    <row r="24" spans="2:57" x14ac:dyDescent="0.25">
      <c r="B24" s="726">
        <v>123</v>
      </c>
      <c r="C24" s="737">
        <v>245</v>
      </c>
      <c r="D24" s="166" t="s">
        <v>7</v>
      </c>
      <c r="E24" s="454">
        <v>5.9999999999999995E-4</v>
      </c>
      <c r="F24" s="166" t="s">
        <v>31</v>
      </c>
      <c r="G24" s="765">
        <f t="shared" si="2"/>
        <v>22331.549952000001</v>
      </c>
      <c r="H24" s="714">
        <f t="shared" si="3"/>
        <v>732.66239999999993</v>
      </c>
      <c r="I24" s="714">
        <f t="shared" si="4"/>
        <v>8791.9488000000001</v>
      </c>
      <c r="J24" s="714">
        <f>(2*(C24-B24)+E24*B24+E24*C24)*0.9144</f>
        <v>223.31549952</v>
      </c>
      <c r="K24" s="714">
        <f t="shared" si="5"/>
        <v>0.13876181818181818</v>
      </c>
      <c r="L24" s="714">
        <f t="shared" si="6"/>
        <v>223315.49952000001</v>
      </c>
      <c r="M24" s="714">
        <f t="shared" si="7"/>
        <v>244.2208</v>
      </c>
      <c r="N24" s="715">
        <f t="shared" si="8"/>
        <v>223315499.52000001</v>
      </c>
      <c r="O24" s="745">
        <f t="shared" si="9"/>
        <v>0.11261632186367999</v>
      </c>
      <c r="P24" s="714">
        <f t="shared" si="10"/>
        <v>2.7828099173553716E-3</v>
      </c>
      <c r="Q24" s="714">
        <f t="shared" si="11"/>
        <v>112616.32186367999</v>
      </c>
      <c r="R24" s="714">
        <f t="shared" si="12"/>
        <v>1126.1632186367999</v>
      </c>
      <c r="S24" s="714">
        <f t="shared" si="13"/>
        <v>1.1261632186368E-3</v>
      </c>
      <c r="T24" s="714">
        <f>(((E24*C24^2)/2)-((E24*B24^2)/2))*0.9144^2</f>
        <v>11.261632186367999</v>
      </c>
      <c r="U24" s="714">
        <f t="shared" si="14"/>
        <v>11261632.186368</v>
      </c>
      <c r="V24" s="714">
        <f t="shared" si="15"/>
        <v>121.21919999999999</v>
      </c>
      <c r="W24" s="792">
        <f t="shared" si="16"/>
        <v>17455.564799999996</v>
      </c>
      <c r="X24" s="774">
        <v>22331.5</v>
      </c>
      <c r="Y24" s="717">
        <v>732.66200000000003</v>
      </c>
      <c r="Z24" s="717">
        <v>8791.9500000000007</v>
      </c>
      <c r="AA24" s="717">
        <v>223.315</v>
      </c>
      <c r="AB24" s="717">
        <v>0.138762</v>
      </c>
      <c r="AC24" s="717">
        <v>223315</v>
      </c>
      <c r="AD24" s="717">
        <v>244.221</v>
      </c>
      <c r="AE24" s="774">
        <v>223315500</v>
      </c>
      <c r="AF24" s="781">
        <v>0.11261599999999999</v>
      </c>
      <c r="AG24" s="717">
        <v>2.7828100000000001E-3</v>
      </c>
      <c r="AH24" s="717">
        <v>112616</v>
      </c>
      <c r="AI24" s="717">
        <v>1126.1600000000001</v>
      </c>
      <c r="AJ24" s="717">
        <v>1.12616E-3</v>
      </c>
      <c r="AK24" s="717">
        <v>11.2616</v>
      </c>
      <c r="AL24" s="717">
        <v>11261632</v>
      </c>
      <c r="AM24" s="717">
        <v>121.21899999999999</v>
      </c>
      <c r="AN24" s="820">
        <v>17455.599999999999</v>
      </c>
      <c r="AO24" s="800">
        <f t="shared" si="17"/>
        <v>2.2368353342504515E-6</v>
      </c>
      <c r="AP24" s="687">
        <f t="shared" si="0"/>
        <v>5.4595404363536576E-7</v>
      </c>
      <c r="AQ24" s="687">
        <f t="shared" si="0"/>
        <v>-1.3648851101228775E-7</v>
      </c>
      <c r="AR24" s="687">
        <f t="shared" si="0"/>
        <v>2.2368353342199067E-6</v>
      </c>
      <c r="AS24" s="687">
        <f t="shared" si="0"/>
        <v>-1.3102897050369139E-6</v>
      </c>
      <c r="AT24" s="687">
        <f t="shared" si="0"/>
        <v>2.2368353342504515E-6</v>
      </c>
      <c r="AU24" s="687">
        <f t="shared" si="0"/>
        <v>-8.1893106568580281E-7</v>
      </c>
      <c r="AV24" s="800">
        <f t="shared" si="0"/>
        <v>-2.1494253211393213E-9</v>
      </c>
      <c r="AW24" s="689">
        <f t="shared" si="0"/>
        <v>2.8580553393468105E-6</v>
      </c>
      <c r="AX24" s="687">
        <f t="shared" si="1"/>
        <v>-2.9698265784681883E-8</v>
      </c>
      <c r="AY24" s="687">
        <f t="shared" si="1"/>
        <v>2.8580553392267034E-6</v>
      </c>
      <c r="AZ24" s="687">
        <f t="shared" si="1"/>
        <v>2.8580553391943992E-6</v>
      </c>
      <c r="BA24" s="687">
        <f t="shared" si="1"/>
        <v>2.8580553393545126E-6</v>
      </c>
      <c r="BB24" s="687">
        <f t="shared" si="1"/>
        <v>2.8580553392827308E-6</v>
      </c>
      <c r="BC24" s="687">
        <f t="shared" si="1"/>
        <v>1.654893328765361E-8</v>
      </c>
      <c r="BD24" s="687">
        <f t="shared" si="1"/>
        <v>1.6499036455646339E-6</v>
      </c>
      <c r="BE24" s="690">
        <f t="shared" si="1"/>
        <v>-2.0165489003299405E-6</v>
      </c>
    </row>
    <row r="25" spans="2:57" ht="15.75" thickBot="1" x14ac:dyDescent="0.3">
      <c r="B25" s="729">
        <v>244</v>
      </c>
      <c r="C25" s="740">
        <v>563</v>
      </c>
      <c r="D25" s="702" t="s">
        <v>96</v>
      </c>
      <c r="E25" s="455">
        <v>3.2899999999999999E-2</v>
      </c>
      <c r="F25" s="167" t="s">
        <v>31</v>
      </c>
      <c r="G25" s="768">
        <f t="shared" si="2"/>
        <v>6.6455029999999998E-2</v>
      </c>
      <c r="H25" s="753">
        <f t="shared" si="3"/>
        <v>2.1802831364829394E-3</v>
      </c>
      <c r="I25" s="753">
        <f t="shared" si="4"/>
        <v>2.6163397637795273E-2</v>
      </c>
      <c r="J25" s="753">
        <f>(2*(C25-B25)+E25*B25+E25*C25)/1000000</f>
        <v>6.6455029999999997E-4</v>
      </c>
      <c r="K25" s="753">
        <f t="shared" si="5"/>
        <v>4.1293241221267795E-7</v>
      </c>
      <c r="L25" s="753">
        <f t="shared" si="6"/>
        <v>0.66455029999999993</v>
      </c>
      <c r="M25" s="753">
        <f t="shared" si="7"/>
        <v>7.2676104549431321E-4</v>
      </c>
      <c r="N25" s="789">
        <f t="shared" si="8"/>
        <v>664.55029999999999</v>
      </c>
      <c r="O25" s="754">
        <f t="shared" si="9"/>
        <v>4.2347728499999998E-11</v>
      </c>
      <c r="P25" s="753">
        <f t="shared" si="10"/>
        <v>1.0464351605260449E-12</v>
      </c>
      <c r="Q25" s="753">
        <f t="shared" si="11"/>
        <v>4.2347728500000002E-5</v>
      </c>
      <c r="R25" s="753">
        <f t="shared" si="12"/>
        <v>4.2347728499999998E-7</v>
      </c>
      <c r="S25" s="753">
        <f t="shared" si="13"/>
        <v>4.2347728500000001E-13</v>
      </c>
      <c r="T25" s="753">
        <f>(((E25*C25^2)/2)-((E25*B25^2)/2))/1000000^2</f>
        <v>4.2347728499999999E-9</v>
      </c>
      <c r="U25" s="753">
        <f t="shared" si="14"/>
        <v>4.2347728499999996E-3</v>
      </c>
      <c r="V25" s="753">
        <f t="shared" si="15"/>
        <v>4.5582715592514519E-8</v>
      </c>
      <c r="W25" s="795">
        <f t="shared" si="16"/>
        <v>6.5639110453220912E-6</v>
      </c>
      <c r="X25" s="777">
        <v>6.6455E-2</v>
      </c>
      <c r="Y25" s="755">
        <v>2.1802800000000002E-3</v>
      </c>
      <c r="Z25" s="755">
        <v>2.61634E-2</v>
      </c>
      <c r="AA25" s="755">
        <v>6.6454999999999997E-4</v>
      </c>
      <c r="AB25" s="755">
        <v>4.12932412212678E-7</v>
      </c>
      <c r="AC25" s="755">
        <v>0.66454999999999997</v>
      </c>
      <c r="AD25" s="755">
        <v>7.2676100000000003E-4</v>
      </c>
      <c r="AE25" s="777">
        <v>664.55</v>
      </c>
      <c r="AF25" s="784">
        <v>4.2347728499999998E-11</v>
      </c>
      <c r="AG25" s="755">
        <v>1.0464351605260401E-12</v>
      </c>
      <c r="AH25" s="755">
        <v>4.2347728500000002E-5</v>
      </c>
      <c r="AI25" s="755">
        <v>4.2347728499999998E-7</v>
      </c>
      <c r="AJ25" s="755">
        <v>4.2347728500000001E-13</v>
      </c>
      <c r="AK25" s="755">
        <v>4.2347728499999999E-9</v>
      </c>
      <c r="AL25" s="755">
        <v>4.2347699999999997E-3</v>
      </c>
      <c r="AM25" s="755">
        <v>4.5582715592514499E-8</v>
      </c>
      <c r="AN25" s="823">
        <v>6.5639110453220903E-6</v>
      </c>
      <c r="AO25" s="803">
        <f t="shared" si="17"/>
        <v>4.5143309690909947E-7</v>
      </c>
      <c r="AP25" s="813">
        <f t="shared" si="0"/>
        <v>1.4385668020690609E-6</v>
      </c>
      <c r="AQ25" s="813">
        <f t="shared" si="0"/>
        <v>-9.0286619485190637E-8</v>
      </c>
      <c r="AR25" s="813">
        <f t="shared" si="0"/>
        <v>4.5143309692867726E-7</v>
      </c>
      <c r="AS25" s="813">
        <f t="shared" si="0"/>
        <v>-1.282039327446343E-16</v>
      </c>
      <c r="AT25" s="813">
        <f t="shared" si="0"/>
        <v>4.5143309686733354E-7</v>
      </c>
      <c r="AU25" s="813">
        <f t="shared" si="0"/>
        <v>6.2598722729907615E-8</v>
      </c>
      <c r="AV25" s="803">
        <f t="shared" si="0"/>
        <v>4.5143309699563855E-7</v>
      </c>
      <c r="AW25" s="735">
        <f t="shared" si="0"/>
        <v>0</v>
      </c>
      <c r="AX25" s="813">
        <f t="shared" si="1"/>
        <v>4.631688215867499E-15</v>
      </c>
      <c r="AY25" s="813">
        <f t="shared" si="1"/>
        <v>0</v>
      </c>
      <c r="AZ25" s="813">
        <f t="shared" si="1"/>
        <v>0</v>
      </c>
      <c r="BA25" s="813">
        <f t="shared" si="1"/>
        <v>0</v>
      </c>
      <c r="BB25" s="813">
        <f t="shared" si="1"/>
        <v>0</v>
      </c>
      <c r="BC25" s="813">
        <f t="shared" si="1"/>
        <v>6.7299949745537469E-7</v>
      </c>
      <c r="BD25" s="813">
        <f t="shared" si="1"/>
        <v>4.3552329963712751E-16</v>
      </c>
      <c r="BE25" s="808">
        <f t="shared" si="1"/>
        <v>1.2904394063322294E-16</v>
      </c>
    </row>
    <row r="26" spans="2:57" x14ac:dyDescent="0.25">
      <c r="B26" s="730">
        <v>45</v>
      </c>
      <c r="C26" s="741">
        <v>88</v>
      </c>
      <c r="D26" s="165" t="s">
        <v>9</v>
      </c>
      <c r="E26" s="500">
        <v>87</v>
      </c>
      <c r="F26" s="165" t="s">
        <v>32</v>
      </c>
      <c r="G26" s="769">
        <f t="shared" si="2"/>
        <v>267.75684297343753</v>
      </c>
      <c r="H26" s="756">
        <f t="shared" si="3"/>
        <v>8.7846733259001812</v>
      </c>
      <c r="I26" s="756">
        <f t="shared" si="4"/>
        <v>105.41607991080217</v>
      </c>
      <c r="J26" s="756">
        <f>(2*(C26-B26)+((E26*0.9)*(PI()/180))*B26+((E26*0.9)*(PI()/180))*C26)/100</f>
        <v>2.6775684297343751</v>
      </c>
      <c r="K26" s="756">
        <f t="shared" si="5"/>
        <v>1.6637638874810947E-3</v>
      </c>
      <c r="L26" s="756">
        <f t="shared" si="6"/>
        <v>2677.5684297343751</v>
      </c>
      <c r="M26" s="756">
        <f t="shared" si="7"/>
        <v>2.9282244419667269</v>
      </c>
      <c r="N26" s="790">
        <f t="shared" si="8"/>
        <v>2677568.4297343753</v>
      </c>
      <c r="O26" s="757">
        <f t="shared" si="9"/>
        <v>3.9077721239289057E-3</v>
      </c>
      <c r="P26" s="756">
        <f t="shared" si="10"/>
        <v>9.6563152137020718E-5</v>
      </c>
      <c r="Q26" s="756">
        <f t="shared" si="11"/>
        <v>3907.7721239289058</v>
      </c>
      <c r="R26" s="756">
        <f t="shared" si="12"/>
        <v>39.077721239289062</v>
      </c>
      <c r="S26" s="756">
        <f t="shared" si="13"/>
        <v>3.9077721239289062E-5</v>
      </c>
      <c r="T26" s="756">
        <f>(((((E26*0.9)*(PI()/180))*C26^2)/2)-((((E26*0.9)*(PI()/180))*B26^2)/2))/100^2</f>
        <v>0.39077721239289059</v>
      </c>
      <c r="U26" s="756">
        <f t="shared" si="14"/>
        <v>390777.21239289059</v>
      </c>
      <c r="V26" s="756">
        <f t="shared" si="15"/>
        <v>4.206290907088623</v>
      </c>
      <c r="W26" s="796">
        <f t="shared" si="16"/>
        <v>605.70589062076169</v>
      </c>
      <c r="X26" s="778">
        <v>267.75700000000001</v>
      </c>
      <c r="Y26" s="758">
        <v>8.7846700000000002</v>
      </c>
      <c r="Z26" s="758">
        <v>105.416</v>
      </c>
      <c r="AA26" s="758">
        <v>2.6775699999999998</v>
      </c>
      <c r="AB26" s="758">
        <v>1.66376E-3</v>
      </c>
      <c r="AC26" s="758">
        <v>2677.57</v>
      </c>
      <c r="AD26" s="758">
        <v>2.92822</v>
      </c>
      <c r="AE26" s="778">
        <v>2677568</v>
      </c>
      <c r="AF26" s="785">
        <v>3.9077699999999996E-3</v>
      </c>
      <c r="AG26" s="758">
        <v>9.6563152137020704E-5</v>
      </c>
      <c r="AH26" s="758">
        <v>3907.77</v>
      </c>
      <c r="AI26" s="758">
        <v>39.0777</v>
      </c>
      <c r="AJ26" s="758">
        <v>3.9077721239289102E-5</v>
      </c>
      <c r="AK26" s="758">
        <v>0.39077699999999999</v>
      </c>
      <c r="AL26" s="758">
        <v>390777</v>
      </c>
      <c r="AM26" s="758">
        <v>4.2062900000000001</v>
      </c>
      <c r="AN26" s="824">
        <v>605.70600000000002</v>
      </c>
      <c r="AO26" s="804">
        <f t="shared" si="17"/>
        <v>-5.8645209860044906E-7</v>
      </c>
      <c r="AP26" s="814">
        <f t="shared" si="17"/>
        <v>3.7860260224286444E-7</v>
      </c>
      <c r="AQ26" s="814">
        <f t="shared" si="17"/>
        <v>7.5805135458056943E-7</v>
      </c>
      <c r="AR26" s="814">
        <f t="shared" si="17"/>
        <v>-5.8645209855400963E-7</v>
      </c>
      <c r="AS26" s="814">
        <f t="shared" si="17"/>
        <v>2.3365581642202096E-6</v>
      </c>
      <c r="AT26" s="814">
        <f t="shared" si="17"/>
        <v>-5.8645209872782608E-7</v>
      </c>
      <c r="AU26" s="814">
        <f t="shared" si="17"/>
        <v>1.5169488592559794E-6</v>
      </c>
      <c r="AV26" s="804">
        <f t="shared" si="17"/>
        <v>1.6049426433163345E-7</v>
      </c>
      <c r="AW26" s="733">
        <f t="shared" si="17"/>
        <v>5.4351401224462933E-7</v>
      </c>
      <c r="AX26" s="814">
        <f t="shared" si="17"/>
        <v>1.4034884794189512E-16</v>
      </c>
      <c r="AY26" s="814">
        <f t="shared" si="17"/>
        <v>5.4351401219056385E-7</v>
      </c>
      <c r="AZ26" s="814">
        <f t="shared" si="17"/>
        <v>5.4351401228511444E-7</v>
      </c>
      <c r="BA26" s="814">
        <f t="shared" si="17"/>
        <v>-1.0404286682747753E-15</v>
      </c>
      <c r="BB26" s="814">
        <f t="shared" si="17"/>
        <v>5.435140122623859E-7</v>
      </c>
      <c r="BC26" s="814">
        <f t="shared" si="17"/>
        <v>5.4351401222314741E-7</v>
      </c>
      <c r="BD26" s="814">
        <f t="shared" si="17"/>
        <v>2.1565047280790351E-7</v>
      </c>
      <c r="BE26" s="809">
        <f t="shared" ref="BE26:BE33" si="20">(W26-AN26)/W26</f>
        <v>-1.8058143402293522E-7</v>
      </c>
    </row>
    <row r="27" spans="2:57" x14ac:dyDescent="0.25">
      <c r="B27" s="726">
        <v>23</v>
      </c>
      <c r="C27" s="737">
        <v>55</v>
      </c>
      <c r="D27" s="166" t="s">
        <v>5</v>
      </c>
      <c r="E27" s="499">
        <v>230</v>
      </c>
      <c r="F27" s="166" t="s">
        <v>32</v>
      </c>
      <c r="G27" s="765">
        <f t="shared" si="2"/>
        <v>10540.010244103096</v>
      </c>
      <c r="H27" s="714">
        <f t="shared" si="3"/>
        <v>345.80086102700443</v>
      </c>
      <c r="I27" s="714">
        <f t="shared" si="4"/>
        <v>4149.6103323240532</v>
      </c>
      <c r="J27" s="714">
        <f>(2*(C27-B27)+((E27*0.9)*(PI()/180))*B27+((E27*0.9)*(PI()/180))*C27)*0.3048</f>
        <v>105.40010244103095</v>
      </c>
      <c r="K27" s="714">
        <f t="shared" si="5"/>
        <v>6.5492587315720538E-2</v>
      </c>
      <c r="L27" s="714">
        <f t="shared" si="6"/>
        <v>105400.10244103095</v>
      </c>
      <c r="M27" s="714">
        <f t="shared" si="7"/>
        <v>115.26695367566815</v>
      </c>
      <c r="N27" s="715">
        <f t="shared" si="8"/>
        <v>105400102.44103095</v>
      </c>
      <c r="O27" s="745">
        <f t="shared" si="9"/>
        <v>4.1888250662441973</v>
      </c>
      <c r="P27" s="714">
        <f t="shared" si="10"/>
        <v>0.10350812158934966</v>
      </c>
      <c r="Q27" s="714">
        <f t="shared" si="11"/>
        <v>4188825.0662441975</v>
      </c>
      <c r="R27" s="714">
        <f t="shared" si="12"/>
        <v>41888.250662441977</v>
      </c>
      <c r="S27" s="714">
        <f t="shared" si="13"/>
        <v>4.1888250662441978E-2</v>
      </c>
      <c r="T27" s="714">
        <f>(((((E27*0.9)*(PI()/180))*C27^2)/2)-((((E27*0.9)*(PI()/180))*B27^2)/2))*0.3048^2</f>
        <v>418.88250662441976</v>
      </c>
      <c r="U27" s="714">
        <f t="shared" si="14"/>
        <v>418882506.62441975</v>
      </c>
      <c r="V27" s="714">
        <f t="shared" si="15"/>
        <v>4508.8137764320709</v>
      </c>
      <c r="W27" s="792">
        <f t="shared" si="16"/>
        <v>649269.18380621821</v>
      </c>
      <c r="X27" s="774">
        <v>10540</v>
      </c>
      <c r="Y27" s="717">
        <v>345.80099999999999</v>
      </c>
      <c r="Z27" s="717">
        <v>4149.6099999999997</v>
      </c>
      <c r="AA27" s="717">
        <v>105.4</v>
      </c>
      <c r="AB27" s="717">
        <v>6.5492599999999998E-2</v>
      </c>
      <c r="AC27" s="717">
        <v>105400</v>
      </c>
      <c r="AD27" s="717">
        <v>115.267</v>
      </c>
      <c r="AE27" s="774">
        <v>105400102</v>
      </c>
      <c r="AF27" s="781">
        <v>4.1888300000000003</v>
      </c>
      <c r="AG27" s="717">
        <v>0.103508</v>
      </c>
      <c r="AH27" s="717">
        <v>4188825</v>
      </c>
      <c r="AI27" s="717">
        <v>41888.300000000003</v>
      </c>
      <c r="AJ27" s="717">
        <v>4.1888300000000003E-2</v>
      </c>
      <c r="AK27" s="717">
        <v>418.88299999999998</v>
      </c>
      <c r="AL27" s="717">
        <v>418882507</v>
      </c>
      <c r="AM27" s="717">
        <v>4508.8100000000004</v>
      </c>
      <c r="AN27" s="820">
        <v>649269</v>
      </c>
      <c r="AO27" s="800">
        <f t="shared" si="17"/>
        <v>9.7192534528704623E-7</v>
      </c>
      <c r="AP27" s="687">
        <f t="shared" si="17"/>
        <v>-4.0188736125442606E-7</v>
      </c>
      <c r="AQ27" s="687">
        <f t="shared" si="17"/>
        <v>8.0085604881878426E-8</v>
      </c>
      <c r="AR27" s="687">
        <f t="shared" si="17"/>
        <v>9.7192534517918399E-7</v>
      </c>
      <c r="AS27" s="687">
        <f t="shared" si="17"/>
        <v>-1.9367503987832338E-7</v>
      </c>
      <c r="AT27" s="687">
        <f t="shared" si="17"/>
        <v>9.7192534518349857E-7</v>
      </c>
      <c r="AU27" s="687">
        <f t="shared" si="17"/>
        <v>-4.0188736121333051E-7</v>
      </c>
      <c r="AV27" s="800">
        <f t="shared" si="17"/>
        <v>4.1843502913189186E-9</v>
      </c>
      <c r="AW27" s="689">
        <f t="shared" si="17"/>
        <v>-1.1778376334631115E-6</v>
      </c>
      <c r="AX27" s="687">
        <f t="shared" si="17"/>
        <v>1.1746841483656493E-6</v>
      </c>
      <c r="AY27" s="687">
        <f t="shared" si="17"/>
        <v>1.5814505618184392E-8</v>
      </c>
      <c r="AZ27" s="687">
        <f t="shared" si="17"/>
        <v>-1.177837633371173E-6</v>
      </c>
      <c r="BA27" s="687">
        <f t="shared" si="17"/>
        <v>-1.1778376333438416E-6</v>
      </c>
      <c r="BB27" s="687">
        <f t="shared" si="17"/>
        <v>-1.1778376332680391E-6</v>
      </c>
      <c r="BC27" s="687">
        <f t="shared" si="17"/>
        <v>-8.9662434042308391E-10</v>
      </c>
      <c r="BD27" s="687">
        <f t="shared" si="17"/>
        <v>8.3756665449805494E-7</v>
      </c>
      <c r="BE27" s="690">
        <f t="shared" si="20"/>
        <v>2.8309709253310493E-7</v>
      </c>
    </row>
    <row r="28" spans="2:57" x14ac:dyDescent="0.25">
      <c r="B28" s="726">
        <v>12</v>
      </c>
      <c r="C28" s="737">
        <v>34</v>
      </c>
      <c r="D28" s="166" t="s">
        <v>8</v>
      </c>
      <c r="E28" s="499">
        <v>189</v>
      </c>
      <c r="F28" s="166" t="s">
        <v>32</v>
      </c>
      <c r="G28" s="765">
        <f t="shared" si="2"/>
        <v>458.63518293493269</v>
      </c>
      <c r="H28" s="714">
        <f t="shared" si="3"/>
        <v>15.04708605429569</v>
      </c>
      <c r="I28" s="714">
        <f t="shared" si="4"/>
        <v>180.56503265154828</v>
      </c>
      <c r="J28" s="714">
        <f>(2*(C28-B28)+((E28*0.9)*(PI()/180))*B28+((E28*0.9)*(PI()/180))*C28)*2.54/100</f>
        <v>4.5863518293493266</v>
      </c>
      <c r="K28" s="714">
        <f t="shared" si="5"/>
        <v>2.8498269042226687E-3</v>
      </c>
      <c r="L28" s="714">
        <f t="shared" si="6"/>
        <v>4586.3518293493262</v>
      </c>
      <c r="M28" s="714">
        <f t="shared" si="7"/>
        <v>5.0156953514318969</v>
      </c>
      <c r="N28" s="715">
        <f t="shared" si="8"/>
        <v>4586351.8293493269</v>
      </c>
      <c r="O28" s="745">
        <f t="shared" si="9"/>
        <v>9.6916926112020178E-3</v>
      </c>
      <c r="P28" s="714">
        <f t="shared" si="10"/>
        <v>2.3948693997535825E-4</v>
      </c>
      <c r="Q28" s="714">
        <f t="shared" si="11"/>
        <v>9691.6926112020192</v>
      </c>
      <c r="R28" s="714">
        <f t="shared" si="12"/>
        <v>96.916926112020178</v>
      </c>
      <c r="S28" s="714">
        <f t="shared" si="13"/>
        <v>9.691692611202018E-5</v>
      </c>
      <c r="T28" s="714">
        <f>(((((E28*0.9)*(PI()/180))*C28^2)/2)-((((E28*0.9)*(PI()/180))*B28^2)/2))*(2.54/100)^2</f>
        <v>0.96916926112020185</v>
      </c>
      <c r="U28" s="714">
        <f t="shared" si="14"/>
        <v>969169.2611202019</v>
      </c>
      <c r="V28" s="714">
        <f t="shared" si="15"/>
        <v>10.432051105326606</v>
      </c>
      <c r="W28" s="792">
        <f t="shared" si="16"/>
        <v>1502.2153591670312</v>
      </c>
      <c r="X28" s="774">
        <v>458.63499999999999</v>
      </c>
      <c r="Y28" s="717">
        <v>15.0471</v>
      </c>
      <c r="Z28" s="717">
        <v>180.565</v>
      </c>
      <c r="AA28" s="717">
        <v>4.5863500000000004</v>
      </c>
      <c r="AB28" s="717">
        <v>2.8498299999999998E-3</v>
      </c>
      <c r="AC28" s="717">
        <v>4586.3500000000004</v>
      </c>
      <c r="AD28" s="717">
        <v>5.0156999999999998</v>
      </c>
      <c r="AE28" s="774">
        <v>4586352</v>
      </c>
      <c r="AF28" s="781">
        <v>9.6916899999999993E-3</v>
      </c>
      <c r="AG28" s="717">
        <v>2.3948700000000001E-4</v>
      </c>
      <c r="AH28" s="717">
        <v>9691.69</v>
      </c>
      <c r="AI28" s="717">
        <v>96.916899999999998</v>
      </c>
      <c r="AJ28" s="717">
        <v>9.6916926112020193E-5</v>
      </c>
      <c r="AK28" s="717">
        <v>0.96916899999999995</v>
      </c>
      <c r="AL28" s="717">
        <v>969169</v>
      </c>
      <c r="AM28" s="717">
        <v>10.4321</v>
      </c>
      <c r="AN28" s="820">
        <v>1502.22</v>
      </c>
      <c r="AO28" s="800">
        <f t="shared" si="17"/>
        <v>3.9886807532893114E-7</v>
      </c>
      <c r="AP28" s="687">
        <f t="shared" si="17"/>
        <v>-9.268043168050622E-7</v>
      </c>
      <c r="AQ28" s="687">
        <f t="shared" si="17"/>
        <v>1.808298528328452E-7</v>
      </c>
      <c r="AR28" s="687">
        <f t="shared" si="17"/>
        <v>3.9886807517400569E-7</v>
      </c>
      <c r="AS28" s="687">
        <f t="shared" si="17"/>
        <v>-1.0863036370781899E-6</v>
      </c>
      <c r="AT28" s="687">
        <f t="shared" si="17"/>
        <v>3.9886807508105044E-7</v>
      </c>
      <c r="AU28" s="687">
        <f t="shared" si="17"/>
        <v>-9.2680431668700889E-7</v>
      </c>
      <c r="AV28" s="800">
        <f t="shared" si="17"/>
        <v>-3.720836940742783E-8</v>
      </c>
      <c r="AW28" s="689">
        <f t="shared" si="17"/>
        <v>2.6942683009576813E-7</v>
      </c>
      <c r="AX28" s="687">
        <f t="shared" si="17"/>
        <v>-2.5063847639186397E-7</v>
      </c>
      <c r="AY28" s="687">
        <f t="shared" si="17"/>
        <v>2.6942683011345523E-7</v>
      </c>
      <c r="AZ28" s="687">
        <f t="shared" si="17"/>
        <v>2.6942683004307325E-7</v>
      </c>
      <c r="BA28" s="687">
        <f t="shared" si="17"/>
        <v>-1.3983653526530847E-16</v>
      </c>
      <c r="BB28" s="687">
        <f t="shared" si="17"/>
        <v>2.6942683015304513E-7</v>
      </c>
      <c r="BC28" s="687">
        <f t="shared" si="17"/>
        <v>2.6942683015099229E-7</v>
      </c>
      <c r="BD28" s="687">
        <f t="shared" si="17"/>
        <v>-4.686966436500942E-6</v>
      </c>
      <c r="BE28" s="690">
        <f t="shared" si="20"/>
        <v>-3.0893260014080581E-6</v>
      </c>
    </row>
    <row r="29" spans="2:57" x14ac:dyDescent="0.25">
      <c r="B29" s="726">
        <v>134</v>
      </c>
      <c r="C29" s="737">
        <v>257</v>
      </c>
      <c r="D29" s="166" t="s">
        <v>4</v>
      </c>
      <c r="E29" s="499">
        <v>34</v>
      </c>
      <c r="F29" s="166" t="s">
        <v>32</v>
      </c>
      <c r="G29" s="765">
        <f t="shared" si="2"/>
        <v>45482.166368411359</v>
      </c>
      <c r="H29" s="714">
        <f t="shared" si="3"/>
        <v>1492.1970593310814</v>
      </c>
      <c r="I29" s="714">
        <f t="shared" si="4"/>
        <v>17906.364711972979</v>
      </c>
      <c r="J29" s="714">
        <f>2*(C29-B29)+((E29*0.9)*(PI()/180))*B29+((E29*0.9)*(PI()/180))*C29</f>
        <v>454.82166368411362</v>
      </c>
      <c r="K29" s="714">
        <f t="shared" si="5"/>
        <v>0.2826130794187654</v>
      </c>
      <c r="L29" s="714">
        <f t="shared" si="6"/>
        <v>454821.66368411359</v>
      </c>
      <c r="M29" s="714">
        <f t="shared" si="7"/>
        <v>497.39901977702715</v>
      </c>
      <c r="N29" s="715">
        <f t="shared" si="8"/>
        <v>454821663.68411362</v>
      </c>
      <c r="O29" s="745">
        <f t="shared" si="9"/>
        <v>128.42532316572985</v>
      </c>
      <c r="P29" s="714">
        <f t="shared" si="10"/>
        <v>3.1734588470911662</v>
      </c>
      <c r="Q29" s="714">
        <f t="shared" si="11"/>
        <v>128425323.16572987</v>
      </c>
      <c r="R29" s="714">
        <f t="shared" si="12"/>
        <v>1284253.2316572985</v>
      </c>
      <c r="S29" s="714">
        <f t="shared" si="13"/>
        <v>1.2842532316572985</v>
      </c>
      <c r="T29" s="714">
        <f>((((E29*0.9)*(PI()/180))*C29^2)/2)-((((E29*0.9)*(PI()/180))*B29^2)/2)</f>
        <v>12842.532316572986</v>
      </c>
      <c r="U29" s="714">
        <f t="shared" si="14"/>
        <v>12842532316.572987</v>
      </c>
      <c r="V29" s="714">
        <f t="shared" si="15"/>
        <v>138235.86737929119</v>
      </c>
      <c r="W29" s="792">
        <f t="shared" si="16"/>
        <v>19905964.902617935</v>
      </c>
      <c r="X29" s="774">
        <v>45482.2</v>
      </c>
      <c r="Y29" s="717">
        <v>1492.2</v>
      </c>
      <c r="Z29" s="717">
        <v>17906.400000000001</v>
      </c>
      <c r="AA29" s="717">
        <v>454.822</v>
      </c>
      <c r="AB29" s="717">
        <v>0.282613</v>
      </c>
      <c r="AC29" s="717">
        <v>454822</v>
      </c>
      <c r="AD29" s="717">
        <v>497.399</v>
      </c>
      <c r="AE29" s="774">
        <v>454821664</v>
      </c>
      <c r="AF29" s="781">
        <v>128.42500000000001</v>
      </c>
      <c r="AG29" s="717">
        <v>3.1734599999999999</v>
      </c>
      <c r="AH29" s="717">
        <v>128425323</v>
      </c>
      <c r="AI29" s="717">
        <v>1284253</v>
      </c>
      <c r="AJ29" s="717">
        <v>1.2842499999999999</v>
      </c>
      <c r="AK29" s="717">
        <v>12842.5</v>
      </c>
      <c r="AL29" s="717">
        <v>12842532317</v>
      </c>
      <c r="AM29" s="717">
        <v>138236</v>
      </c>
      <c r="AN29" s="820">
        <v>19905965</v>
      </c>
      <c r="AO29" s="800">
        <f t="shared" si="17"/>
        <v>-7.3944561843261991E-7</v>
      </c>
      <c r="AP29" s="687">
        <f t="shared" si="17"/>
        <v>-1.9706974358819914E-6</v>
      </c>
      <c r="AQ29" s="687">
        <f t="shared" si="17"/>
        <v>-1.9706974357804076E-6</v>
      </c>
      <c r="AR29" s="687">
        <f t="shared" si="17"/>
        <v>-7.3944561844761737E-7</v>
      </c>
      <c r="AS29" s="687">
        <f t="shared" si="17"/>
        <v>2.8101588773154463E-7</v>
      </c>
      <c r="AT29" s="687">
        <f t="shared" si="17"/>
        <v>-7.3944561849660944E-7</v>
      </c>
      <c r="AU29" s="687">
        <f t="shared" si="17"/>
        <v>3.9760888867973327E-8</v>
      </c>
      <c r="AV29" s="800">
        <f t="shared" si="17"/>
        <v>-6.9452799527962018E-10</v>
      </c>
      <c r="AW29" s="689">
        <f t="shared" si="17"/>
        <v>2.5163707738664193E-6</v>
      </c>
      <c r="AX29" s="687">
        <f t="shared" si="17"/>
        <v>-3.63297237899123E-7</v>
      </c>
      <c r="AY29" s="687">
        <f t="shared" si="17"/>
        <v>1.2904765302238335E-9</v>
      </c>
      <c r="AZ29" s="687">
        <f t="shared" si="17"/>
        <v>1.8038288150980253E-7</v>
      </c>
      <c r="BA29" s="687">
        <f t="shared" si="17"/>
        <v>2.5163707740738967E-6</v>
      </c>
      <c r="BB29" s="687">
        <f t="shared" si="17"/>
        <v>2.5163707740346138E-6</v>
      </c>
      <c r="BC29" s="687">
        <f t="shared" si="17"/>
        <v>-3.3249937527176484E-11</v>
      </c>
      <c r="BD29" s="687">
        <f t="shared" si="17"/>
        <v>-9.593798724415567E-7</v>
      </c>
      <c r="BE29" s="690">
        <f t="shared" si="20"/>
        <v>-4.8921047226369666E-9</v>
      </c>
    </row>
    <row r="30" spans="2:57" x14ac:dyDescent="0.25">
      <c r="B30" s="726">
        <v>64</v>
      </c>
      <c r="C30" s="737">
        <v>134</v>
      </c>
      <c r="D30" s="166" t="s">
        <v>10</v>
      </c>
      <c r="E30" s="499">
        <v>56</v>
      </c>
      <c r="F30" s="166" t="s">
        <v>32</v>
      </c>
      <c r="G30" s="765">
        <f t="shared" si="2"/>
        <v>50560743.825893417</v>
      </c>
      <c r="H30" s="714">
        <f t="shared" si="3"/>
        <v>1658817.0546552958</v>
      </c>
      <c r="I30" s="714">
        <f t="shared" si="4"/>
        <v>19905804.65586355</v>
      </c>
      <c r="J30" s="714">
        <f>(2*(C30-B30)+((E30*0.9)*(PI()/180))*B30+((E30*0.9)*(PI()/180))*C30)*63360*2.54/100</f>
        <v>505607.43825893418</v>
      </c>
      <c r="K30" s="714">
        <f t="shared" si="5"/>
        <v>314.16989671501818</v>
      </c>
      <c r="L30" s="714">
        <f t="shared" si="6"/>
        <v>505607438.2589342</v>
      </c>
      <c r="M30" s="714">
        <f t="shared" si="7"/>
        <v>552939.01821843197</v>
      </c>
      <c r="N30" s="715">
        <f t="shared" si="8"/>
        <v>505607438258.9342</v>
      </c>
      <c r="O30" s="745">
        <f t="shared" si="9"/>
        <v>157884286.58462116</v>
      </c>
      <c r="P30" s="714">
        <f t="shared" si="10"/>
        <v>3901405.6864164067</v>
      </c>
      <c r="Q30" s="714">
        <f t="shared" si="11"/>
        <v>157884286584621.16</v>
      </c>
      <c r="R30" s="714">
        <f t="shared" si="12"/>
        <v>1578842865846.2117</v>
      </c>
      <c r="S30" s="714">
        <f t="shared" si="13"/>
        <v>1578842.8658462116</v>
      </c>
      <c r="T30" s="714">
        <f>(((((E30*0.9)*(PI()/180))*C30^2)/2)-((((E30*0.9)*(PI()/180))*B30^2)/2))*(63360*2.54/100)^2</f>
        <v>15788428658.462116</v>
      </c>
      <c r="U30" s="714">
        <f t="shared" si="14"/>
        <v>1.5788428658462116E+16</v>
      </c>
      <c r="V30" s="714">
        <f t="shared" si="15"/>
        <v>169945231700.29868</v>
      </c>
      <c r="W30" s="792">
        <f t="shared" si="16"/>
        <v>24472113364843.008</v>
      </c>
      <c r="X30" s="774">
        <v>50560744</v>
      </c>
      <c r="Y30" s="717">
        <v>1658817</v>
      </c>
      <c r="Z30" s="717">
        <v>19905805</v>
      </c>
      <c r="AA30" s="717">
        <v>505607</v>
      </c>
      <c r="AB30" s="717">
        <v>314.17</v>
      </c>
      <c r="AC30" s="717">
        <v>505607438</v>
      </c>
      <c r="AD30" s="717">
        <v>552939</v>
      </c>
      <c r="AE30" s="774">
        <v>505607438259</v>
      </c>
      <c r="AF30" s="781">
        <v>157884287</v>
      </c>
      <c r="AG30" s="717">
        <v>3901406</v>
      </c>
      <c r="AH30" s="717">
        <v>157884286584621</v>
      </c>
      <c r="AI30" s="717">
        <v>1578842865846</v>
      </c>
      <c r="AJ30" s="717">
        <v>1578843</v>
      </c>
      <c r="AK30" s="717">
        <v>15788428658</v>
      </c>
      <c r="AL30" s="717">
        <v>1.57884286584621E+16</v>
      </c>
      <c r="AM30" s="717">
        <v>169945231700</v>
      </c>
      <c r="AN30" s="820">
        <v>24472113364843</v>
      </c>
      <c r="AO30" s="800">
        <f t="shared" si="17"/>
        <v>-3.4435130859381289E-9</v>
      </c>
      <c r="AP30" s="687">
        <f t="shared" si="17"/>
        <v>3.2948356567294764E-8</v>
      </c>
      <c r="AQ30" s="687">
        <f t="shared" si="17"/>
        <v>-1.7288246136702695E-8</v>
      </c>
      <c r="AR30" s="687">
        <f t="shared" si="17"/>
        <v>8.667968487432224E-7</v>
      </c>
      <c r="AS30" s="687">
        <f t="shared" si="17"/>
        <v>-3.2875518282604372E-7</v>
      </c>
      <c r="AT30" s="687">
        <f t="shared" si="17"/>
        <v>5.1212498119424701E-10</v>
      </c>
      <c r="AU30" s="687">
        <f t="shared" si="17"/>
        <v>3.2948356637474487E-8</v>
      </c>
      <c r="AV30" s="800">
        <f t="shared" si="17"/>
        <v>-1.3013237832115175E-13</v>
      </c>
      <c r="AW30" s="689">
        <f t="shared" si="17"/>
        <v>-2.6309067720612698E-9</v>
      </c>
      <c r="AX30" s="687">
        <f t="shared" si="17"/>
        <v>-8.0377079072220915E-8</v>
      </c>
      <c r="AY30" s="687">
        <f t="shared" si="17"/>
        <v>9.8964883320579704E-16</v>
      </c>
      <c r="AZ30" s="687">
        <f t="shared" si="17"/>
        <v>1.3406649037334781E-13</v>
      </c>
      <c r="BA30" s="687">
        <f t="shared" si="17"/>
        <v>-8.4969689730176185E-8</v>
      </c>
      <c r="BB30" s="687">
        <f t="shared" si="17"/>
        <v>2.9269299146333849E-11</v>
      </c>
      <c r="BC30" s="687">
        <f t="shared" si="17"/>
        <v>1.0134004052027361E-15</v>
      </c>
      <c r="BD30" s="687">
        <f t="shared" si="17"/>
        <v>1.7574811256610861E-12</v>
      </c>
      <c r="BE30" s="690">
        <f t="shared" si="20"/>
        <v>3.19240920615526E-16</v>
      </c>
    </row>
    <row r="31" spans="2:57" x14ac:dyDescent="0.25">
      <c r="B31" s="726">
        <v>235</v>
      </c>
      <c r="C31" s="737">
        <v>533</v>
      </c>
      <c r="D31" s="166" t="s">
        <v>6</v>
      </c>
      <c r="E31" s="499">
        <v>134</v>
      </c>
      <c r="F31" s="166" t="s">
        <v>32</v>
      </c>
      <c r="G31" s="765">
        <f t="shared" si="2"/>
        <v>221.25379158311645</v>
      </c>
      <c r="H31" s="714">
        <f t="shared" si="3"/>
        <v>7.2589826634880721</v>
      </c>
      <c r="I31" s="714">
        <f t="shared" si="4"/>
        <v>87.107791961856861</v>
      </c>
      <c r="J31" s="714">
        <f>(2*(C31-B31)+((E31*0.9)*(PI()/180))*B31+((E31*0.9)*(PI()/180))*C31)/1000</f>
        <v>2.2125379158311644</v>
      </c>
      <c r="K31" s="714">
        <f t="shared" si="5"/>
        <v>1.3748073226303168E-3</v>
      </c>
      <c r="L31" s="714">
        <f t="shared" si="6"/>
        <v>2212.5379158311644</v>
      </c>
      <c r="M31" s="714">
        <f t="shared" si="7"/>
        <v>2.4196608878293575</v>
      </c>
      <c r="N31" s="715">
        <f t="shared" si="8"/>
        <v>2212537.9158311645</v>
      </c>
      <c r="O31" s="745">
        <f t="shared" si="9"/>
        <v>2.4086414945884344E-3</v>
      </c>
      <c r="P31" s="714">
        <f t="shared" si="10"/>
        <v>5.9518827533791839E-5</v>
      </c>
      <c r="Q31" s="714">
        <f t="shared" si="11"/>
        <v>2408.6414945884349</v>
      </c>
      <c r="R31" s="714">
        <f t="shared" si="12"/>
        <v>24.086414945884346</v>
      </c>
      <c r="S31" s="714">
        <f t="shared" si="13"/>
        <v>2.4086414945884347E-5</v>
      </c>
      <c r="T31" s="714">
        <f>(((((E31*0.9)*(PI()/180))*C31^2)/2)-((((E31*0.9)*(PI()/180))*B31^2)/2))/1000^2</f>
        <v>0.24086414945884346</v>
      </c>
      <c r="U31" s="714">
        <f t="shared" si="14"/>
        <v>240864.14945884346</v>
      </c>
      <c r="V31" s="714">
        <f t="shared" si="15"/>
        <v>2.5926401273719724</v>
      </c>
      <c r="W31" s="792">
        <f t="shared" si="16"/>
        <v>373.34017834156407</v>
      </c>
      <c r="X31" s="774">
        <v>221.25399999999999</v>
      </c>
      <c r="Y31" s="717">
        <v>7.2589800000000002</v>
      </c>
      <c r="Z31" s="717">
        <v>87.107799999999997</v>
      </c>
      <c r="AA31" s="717">
        <v>2.2125400000000002</v>
      </c>
      <c r="AB31" s="717">
        <v>1.37481E-3</v>
      </c>
      <c r="AC31" s="717">
        <v>2212.54</v>
      </c>
      <c r="AD31" s="717">
        <v>2.4196599999999999</v>
      </c>
      <c r="AE31" s="774">
        <v>2212538</v>
      </c>
      <c r="AF31" s="781">
        <v>2.4086400000000001E-3</v>
      </c>
      <c r="AG31" s="717">
        <v>5.9518827533791799E-5</v>
      </c>
      <c r="AH31" s="717">
        <v>2408.64</v>
      </c>
      <c r="AI31" s="717">
        <v>24.086400000000001</v>
      </c>
      <c r="AJ31" s="717">
        <v>2.40864149458843E-5</v>
      </c>
      <c r="AK31" s="717">
        <v>0.24086399999999999</v>
      </c>
      <c r="AL31" s="717">
        <v>240864</v>
      </c>
      <c r="AM31" s="717">
        <v>2.5926399999999998</v>
      </c>
      <c r="AN31" s="820">
        <v>373.34</v>
      </c>
      <c r="AO31" s="800">
        <f t="shared" si="17"/>
        <v>-9.4198107090890901E-7</v>
      </c>
      <c r="AP31" s="687">
        <f t="shared" si="17"/>
        <v>3.6692305180333622E-7</v>
      </c>
      <c r="AQ31" s="687">
        <f t="shared" si="17"/>
        <v>-9.2278118351465342E-8</v>
      </c>
      <c r="AR31" s="687">
        <f t="shared" si="17"/>
        <v>-9.4198107106948094E-7</v>
      </c>
      <c r="AS31" s="687">
        <f t="shared" si="17"/>
        <v>-1.9474508457226448E-6</v>
      </c>
      <c r="AT31" s="687">
        <f t="shared" si="17"/>
        <v>-9.4198107101167507E-7</v>
      </c>
      <c r="AU31" s="687">
        <f t="shared" si="17"/>
        <v>3.6692305192569198E-7</v>
      </c>
      <c r="AV31" s="800">
        <f t="shared" si="17"/>
        <v>-3.8041759619507857E-8</v>
      </c>
      <c r="AW31" s="689">
        <f t="shared" si="17"/>
        <v>6.2051095512096008E-7</v>
      </c>
      <c r="AX31" s="687">
        <f t="shared" si="17"/>
        <v>6.8310454276208747E-16</v>
      </c>
      <c r="AY31" s="687">
        <f t="shared" si="17"/>
        <v>6.2051095538206719E-7</v>
      </c>
      <c r="AZ31" s="687">
        <f t="shared" si="17"/>
        <v>6.2051095519326895E-7</v>
      </c>
      <c r="BA31" s="687">
        <f t="shared" si="17"/>
        <v>1.969319433913757E-15</v>
      </c>
      <c r="BB31" s="687">
        <f t="shared" si="17"/>
        <v>6.2051095525779962E-7</v>
      </c>
      <c r="BC31" s="687">
        <f t="shared" si="17"/>
        <v>6.2051095521592475E-7</v>
      </c>
      <c r="BD31" s="687">
        <f t="shared" si="17"/>
        <v>4.9128288642928885E-8</v>
      </c>
      <c r="BE31" s="690">
        <f t="shared" si="20"/>
        <v>4.7769185970439726E-7</v>
      </c>
    </row>
    <row r="32" spans="2:57" x14ac:dyDescent="0.25">
      <c r="B32" s="726">
        <v>978</v>
      </c>
      <c r="C32" s="737">
        <v>1577</v>
      </c>
      <c r="D32" s="166" t="s">
        <v>7</v>
      </c>
      <c r="E32" s="499">
        <v>290</v>
      </c>
      <c r="F32" s="166" t="s">
        <v>32</v>
      </c>
      <c r="G32" s="765">
        <f t="shared" si="2"/>
        <v>1173798.3986568877</v>
      </c>
      <c r="H32" s="714">
        <f t="shared" si="3"/>
        <v>38510.446150160358</v>
      </c>
      <c r="I32" s="714">
        <f t="shared" si="4"/>
        <v>462125.35380192433</v>
      </c>
      <c r="J32" s="714">
        <f>(2*(C32-B32)+((E32*0.9)*(PI()/180))*B32+((E32*0.9)*(PI()/180))*C32)*0.9144</f>
        <v>11737.983986568877</v>
      </c>
      <c r="K32" s="714">
        <f t="shared" si="5"/>
        <v>7.2936451041970374</v>
      </c>
      <c r="L32" s="714">
        <f t="shared" si="6"/>
        <v>11737983.986568877</v>
      </c>
      <c r="M32" s="714">
        <f t="shared" si="7"/>
        <v>12836.815383386785</v>
      </c>
      <c r="N32" s="715">
        <f t="shared" si="8"/>
        <v>11737983986.568878</v>
      </c>
      <c r="O32" s="745">
        <f t="shared" si="9"/>
        <v>29145.938280215552</v>
      </c>
      <c r="P32" s="714">
        <f t="shared" si="10"/>
        <v>720.21181969511213</v>
      </c>
      <c r="Q32" s="714">
        <f t="shared" si="11"/>
        <v>29145938280.215553</v>
      </c>
      <c r="R32" s="714">
        <f t="shared" si="12"/>
        <v>291459382.80215549</v>
      </c>
      <c r="S32" s="714">
        <f t="shared" si="13"/>
        <v>291.45938280215552</v>
      </c>
      <c r="T32" s="714">
        <f>(((((E32*0.9)*(PI()/180))*C32^2)/2)-((((E32*0.9)*(PI()/180))*B32^2)/2))*0.9144^2</f>
        <v>2914593.8280215552</v>
      </c>
      <c r="U32" s="714">
        <f t="shared" si="14"/>
        <v>2914593828021.5552</v>
      </c>
      <c r="V32" s="714">
        <f t="shared" si="15"/>
        <v>31372426.865919083</v>
      </c>
      <c r="W32" s="792">
        <f t="shared" si="16"/>
        <v>4517629468.6923485</v>
      </c>
      <c r="X32" s="774">
        <v>1173798</v>
      </c>
      <c r="Y32" s="717">
        <v>38510.400000000001</v>
      </c>
      <c r="Z32" s="717">
        <v>462125</v>
      </c>
      <c r="AA32" s="717">
        <v>11738</v>
      </c>
      <c r="AB32" s="717">
        <v>7.2936500000000004</v>
      </c>
      <c r="AC32" s="717">
        <v>11737984</v>
      </c>
      <c r="AD32" s="717">
        <v>12836.8</v>
      </c>
      <c r="AE32" s="774">
        <v>11737983987</v>
      </c>
      <c r="AF32" s="781">
        <v>29145.9</v>
      </c>
      <c r="AG32" s="717">
        <v>720.21199999999999</v>
      </c>
      <c r="AH32" s="717">
        <v>29145938280</v>
      </c>
      <c r="AI32" s="717">
        <v>291459383</v>
      </c>
      <c r="AJ32" s="717">
        <v>291.459</v>
      </c>
      <c r="AK32" s="717">
        <v>2914594</v>
      </c>
      <c r="AL32" s="717">
        <v>2914593828022</v>
      </c>
      <c r="AM32" s="717">
        <v>31372427</v>
      </c>
      <c r="AN32" s="820">
        <v>4517629469</v>
      </c>
      <c r="AO32" s="800">
        <f t="shared" si="17"/>
        <v>3.3962977642237559E-7</v>
      </c>
      <c r="AP32" s="687">
        <f t="shared" si="17"/>
        <v>1.1983803089900538E-6</v>
      </c>
      <c r="AQ32" s="687">
        <f t="shared" si="17"/>
        <v>7.655973025870818E-7</v>
      </c>
      <c r="AR32" s="687">
        <f t="shared" si="17"/>
        <v>-1.3642403278982514E-6</v>
      </c>
      <c r="AS32" s="687">
        <f t="shared" si="17"/>
        <v>-6.7124227914749075E-7</v>
      </c>
      <c r="AT32" s="687">
        <f t="shared" si="17"/>
        <v>-1.1442444070374383E-9</v>
      </c>
      <c r="AU32" s="687">
        <f t="shared" si="17"/>
        <v>1.1983803090372875E-6</v>
      </c>
      <c r="AV32" s="800">
        <f t="shared" si="17"/>
        <v>-3.6728779547253063E-11</v>
      </c>
      <c r="AW32" s="689">
        <f t="shared" si="17"/>
        <v>1.313397948725411E-6</v>
      </c>
      <c r="AX32" s="687">
        <f t="shared" si="17"/>
        <v>-2.5034980394952683E-7</v>
      </c>
      <c r="AY32" s="687">
        <f t="shared" si="17"/>
        <v>7.3956542973167961E-12</v>
      </c>
      <c r="AZ32" s="687">
        <f t="shared" si="17"/>
        <v>-6.7880643748002696E-10</v>
      </c>
      <c r="BA32" s="687">
        <f t="shared" si="17"/>
        <v>1.3133979487410136E-6</v>
      </c>
      <c r="BB32" s="687">
        <f t="shared" si="17"/>
        <v>-5.9005973024059521E-8</v>
      </c>
      <c r="BC32" s="687">
        <f t="shared" si="17"/>
        <v>-1.5261962557985292E-13</v>
      </c>
      <c r="BD32" s="687">
        <f t="shared" si="17"/>
        <v>-4.2738458588550979E-9</v>
      </c>
      <c r="BE32" s="690">
        <f t="shared" si="20"/>
        <v>-6.8100210941921712E-11</v>
      </c>
    </row>
    <row r="33" spans="1:57" ht="15.75" thickBot="1" x14ac:dyDescent="0.3">
      <c r="B33" s="731">
        <v>477</v>
      </c>
      <c r="C33" s="742">
        <v>988</v>
      </c>
      <c r="D33" s="703" t="s">
        <v>96</v>
      </c>
      <c r="E33" s="704">
        <v>314</v>
      </c>
      <c r="F33" s="705" t="s">
        <v>32</v>
      </c>
      <c r="G33" s="770">
        <f t="shared" si="2"/>
        <v>0.8247820182889205</v>
      </c>
      <c r="H33" s="720">
        <f t="shared" si="3"/>
        <v>2.7059777502917336E-2</v>
      </c>
      <c r="I33" s="720">
        <f t="shared" si="4"/>
        <v>0.32471733003500808</v>
      </c>
      <c r="J33" s="720">
        <f>(2*(C33-B33)+((E33*0.9)*(PI()/180))*B33+((E33*0.9)*(PI()/180))*C33)/1000000</f>
        <v>8.247820182889205E-3</v>
      </c>
      <c r="K33" s="720">
        <f t="shared" si="5"/>
        <v>5.1249578604010109E-6</v>
      </c>
      <c r="L33" s="720">
        <f t="shared" si="6"/>
        <v>8.247820182889205</v>
      </c>
      <c r="M33" s="720">
        <f t="shared" si="7"/>
        <v>9.0199258343057805E-3</v>
      </c>
      <c r="N33" s="721">
        <f t="shared" si="8"/>
        <v>8247.8201828892052</v>
      </c>
      <c r="O33" s="759">
        <f t="shared" si="9"/>
        <v>1.8461970567281917E-8</v>
      </c>
      <c r="P33" s="720">
        <f t="shared" si="10"/>
        <v>4.5620522796637767E-10</v>
      </c>
      <c r="Q33" s="720">
        <f t="shared" si="11"/>
        <v>1.8461970567281917E-2</v>
      </c>
      <c r="R33" s="720">
        <f t="shared" si="12"/>
        <v>1.8461970567281916E-4</v>
      </c>
      <c r="S33" s="720">
        <f t="shared" si="13"/>
        <v>1.8461970567281915E-10</v>
      </c>
      <c r="T33" s="720">
        <f>(((((E33*0.9)*(PI()/180))*C33^2)/2)-((((E33*0.9)*(PI()/180))*B33^2)/2))/1000000^2</f>
        <v>1.8461970567281916E-6</v>
      </c>
      <c r="U33" s="720">
        <f t="shared" si="14"/>
        <v>1.8461970567281916</v>
      </c>
      <c r="V33" s="720">
        <f t="shared" si="15"/>
        <v>1.9872299730215415E-5</v>
      </c>
      <c r="W33" s="797">
        <f t="shared" si="16"/>
        <v>2.8616111611510196E-3</v>
      </c>
      <c r="X33" s="779">
        <v>0.82478200000000002</v>
      </c>
      <c r="Y33" s="723">
        <v>2.7059799999999998E-2</v>
      </c>
      <c r="Z33" s="723">
        <v>0.32471699999999998</v>
      </c>
      <c r="AA33" s="723">
        <v>8.2478199999999995E-3</v>
      </c>
      <c r="AB33" s="723">
        <v>5.12495786040101E-6</v>
      </c>
      <c r="AC33" s="723">
        <v>8.2478200000000008</v>
      </c>
      <c r="AD33" s="723">
        <v>9.0199300000000007E-3</v>
      </c>
      <c r="AE33" s="779">
        <v>8247.82</v>
      </c>
      <c r="AF33" s="786">
        <v>1.8461970567281901E-8</v>
      </c>
      <c r="AG33" s="723">
        <v>4.5620522796637798E-10</v>
      </c>
      <c r="AH33" s="723">
        <v>1.8461999999999999E-2</v>
      </c>
      <c r="AI33" s="723">
        <v>1.8462E-4</v>
      </c>
      <c r="AJ33" s="723">
        <v>1.84619705672819E-10</v>
      </c>
      <c r="AK33" s="723">
        <v>1.8461970567281899E-6</v>
      </c>
      <c r="AL33" s="723">
        <v>1.8462000000000001</v>
      </c>
      <c r="AM33" s="723">
        <v>1.9872299730215401E-5</v>
      </c>
      <c r="AN33" s="825">
        <v>2.8616100000000001E-3</v>
      </c>
      <c r="AO33" s="805">
        <f t="shared" si="17"/>
        <v>2.2174247357021929E-8</v>
      </c>
      <c r="AP33" s="691">
        <f t="shared" si="17"/>
        <v>-8.3138461355155829E-7</v>
      </c>
      <c r="AQ33" s="691">
        <f t="shared" si="17"/>
        <v>1.0163763297289328E-6</v>
      </c>
      <c r="AR33" s="691">
        <f t="shared" si="17"/>
        <v>2.2174247432738958E-8</v>
      </c>
      <c r="AS33" s="691">
        <f t="shared" si="17"/>
        <v>1.6527608037503412E-16</v>
      </c>
      <c r="AT33" s="691">
        <f t="shared" si="17"/>
        <v>2.2174247276257096E-8</v>
      </c>
      <c r="AU33" s="691">
        <f t="shared" si="17"/>
        <v>-4.6183242486126951E-7</v>
      </c>
      <c r="AV33" s="805">
        <f t="shared" si="17"/>
        <v>2.2174247426156626E-8</v>
      </c>
      <c r="AW33" s="693">
        <f t="shared" si="17"/>
        <v>8.9609135659543005E-16</v>
      </c>
      <c r="AX33" s="691">
        <f t="shared" si="17"/>
        <v>-6.7994119903037718E-16</v>
      </c>
      <c r="AY33" s="691">
        <f t="shared" si="17"/>
        <v>-1.5942349152241108E-6</v>
      </c>
      <c r="AZ33" s="691">
        <f t="shared" si="17"/>
        <v>-1.5942349153533085E-6</v>
      </c>
      <c r="BA33" s="691">
        <f t="shared" si="17"/>
        <v>8.4008564680821573E-16</v>
      </c>
      <c r="BB33" s="691">
        <f t="shared" si="17"/>
        <v>9.1759754915372028E-16</v>
      </c>
      <c r="BC33" s="691">
        <f t="shared" si="17"/>
        <v>-1.59423491537445E-6</v>
      </c>
      <c r="BD33" s="691">
        <f t="shared" si="17"/>
        <v>6.819808145034403E-16</v>
      </c>
      <c r="BE33" s="694">
        <f t="shared" si="20"/>
        <v>4.0576827323118297E-7</v>
      </c>
    </row>
    <row r="34" spans="1:57" ht="15.75" thickTop="1" x14ac:dyDescent="0.25"/>
    <row r="35" spans="1:57" ht="15.75" thickBot="1" x14ac:dyDescent="0.3"/>
    <row r="36" spans="1:57" ht="21.75" thickBot="1" x14ac:dyDescent="0.3">
      <c r="A36" s="894" t="s">
        <v>136</v>
      </c>
      <c r="B36" s="895"/>
      <c r="C36" s="895"/>
      <c r="D36" s="895"/>
      <c r="E36" s="895"/>
      <c r="F36" s="895"/>
      <c r="G36" s="895"/>
      <c r="H36" s="895"/>
      <c r="I36" s="895"/>
      <c r="J36" s="895"/>
      <c r="K36" s="895"/>
      <c r="L36" s="895"/>
      <c r="M36" s="895"/>
      <c r="N36" s="895"/>
      <c r="O36" s="895"/>
      <c r="P36" s="895"/>
      <c r="Q36" s="895"/>
      <c r="R36" s="895"/>
      <c r="S36" s="895"/>
      <c r="T36" s="895"/>
      <c r="U36" s="895"/>
      <c r="V36" s="895"/>
      <c r="W36" s="895"/>
      <c r="X36" s="895"/>
      <c r="Y36" s="896"/>
    </row>
    <row r="37" spans="1:57" x14ac:dyDescent="0.25">
      <c r="A37" t="s">
        <v>133</v>
      </c>
      <c r="I37" t="s">
        <v>118</v>
      </c>
    </row>
    <row r="39" spans="1:57" x14ac:dyDescent="0.25">
      <c r="A39" s="884" t="s">
        <v>119</v>
      </c>
    </row>
    <row r="64" spans="1:1" x14ac:dyDescent="0.25">
      <c r="A64" s="884" t="s">
        <v>120</v>
      </c>
    </row>
    <row r="89" spans="1:1" x14ac:dyDescent="0.25">
      <c r="A89" s="884" t="s">
        <v>121</v>
      </c>
    </row>
    <row r="113" spans="1:1" x14ac:dyDescent="0.25">
      <c r="A113" s="884" t="s">
        <v>122</v>
      </c>
    </row>
    <row r="137" spans="1:1" x14ac:dyDescent="0.25">
      <c r="A137" s="884" t="s">
        <v>123</v>
      </c>
    </row>
    <row r="161" spans="1:1" x14ac:dyDescent="0.25">
      <c r="A161" s="884" t="s">
        <v>124</v>
      </c>
    </row>
    <row r="185" spans="1:1" x14ac:dyDescent="0.25">
      <c r="A185" s="884" t="s">
        <v>125</v>
      </c>
    </row>
    <row r="209" spans="1:1" x14ac:dyDescent="0.25">
      <c r="A209" s="884" t="s">
        <v>126</v>
      </c>
    </row>
    <row r="234" spans="1:1" x14ac:dyDescent="0.25">
      <c r="A234" s="884" t="s">
        <v>127</v>
      </c>
    </row>
    <row r="261" spans="1:1" x14ac:dyDescent="0.25">
      <c r="A261" s="884" t="s">
        <v>128</v>
      </c>
    </row>
    <row r="288" spans="2:3" x14ac:dyDescent="0.25">
      <c r="B288" s="145" t="s">
        <v>2</v>
      </c>
      <c r="C288" s="885" t="s">
        <v>137</v>
      </c>
    </row>
    <row r="289" spans="2:3" x14ac:dyDescent="0.25">
      <c r="B289" s="145" t="s">
        <v>44</v>
      </c>
      <c r="C289" s="507" t="s">
        <v>138</v>
      </c>
    </row>
  </sheetData>
  <mergeCells count="25">
    <mergeCell ref="AW2:BE2"/>
    <mergeCell ref="B7:F7"/>
    <mergeCell ref="G7:N8"/>
    <mergeCell ref="O7:W8"/>
    <mergeCell ref="X7:AE8"/>
    <mergeCell ref="AF7:AN8"/>
    <mergeCell ref="AO7:AV8"/>
    <mergeCell ref="AW7:BE8"/>
    <mergeCell ref="B8:B9"/>
    <mergeCell ref="AF2:AN2"/>
    <mergeCell ref="C8:C9"/>
    <mergeCell ref="D8:D9"/>
    <mergeCell ref="E8:E9"/>
    <mergeCell ref="F8:F9"/>
    <mergeCell ref="AO2:AV2"/>
    <mergeCell ref="G2:N2"/>
    <mergeCell ref="A36:Y36"/>
    <mergeCell ref="O2:W2"/>
    <mergeCell ref="X2:AE2"/>
    <mergeCell ref="C1:E1"/>
    <mergeCell ref="D4:F4"/>
    <mergeCell ref="B5:C5"/>
    <mergeCell ref="B4:C4"/>
    <mergeCell ref="D5:F5"/>
    <mergeCell ref="B2:F2"/>
  </mergeCells>
  <conditionalFormatting sqref="AO10:BE33">
    <cfRule type="cellIs" dxfId="0" priority="1" operator="notBetween">
      <formula>0.0001</formula>
      <formula>-0.0001</formula>
    </cfRule>
  </conditionalFormatting>
  <pageMargins left="0.7" right="0.7" top="0.78740157499999996" bottom="0.78740157499999996" header="0.3" footer="0.3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Čtverec</vt:lpstr>
      <vt:lpstr>Čtyřúhelník</vt:lpstr>
      <vt:lpstr>Kruh</vt:lpstr>
      <vt:lpstr>Kruhová úseč</vt:lpstr>
      <vt:lpstr>Kruhová výseč</vt:lpstr>
      <vt:lpstr>Mnohoúhelník</vt:lpstr>
      <vt:lpstr>Obdélník</vt:lpstr>
      <vt:lpstr>Trojúhelník</vt:lpstr>
      <vt:lpstr>Výseč mezikruží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Kubinek</dc:creator>
  <cp:lastModifiedBy>Jan Šváb</cp:lastModifiedBy>
  <dcterms:created xsi:type="dcterms:W3CDTF">2011-06-26T07:47:15Z</dcterms:created>
  <dcterms:modified xsi:type="dcterms:W3CDTF">2014-11-10T11:34:16Z</dcterms:modified>
</cp:coreProperties>
</file>