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2520" windowWidth="23715" windowHeight="13080" tabRatio="890"/>
  </bookViews>
  <sheets>
    <sheet name="Čas" sheetId="1" r:id="rId1"/>
    <sheet name="Délka" sheetId="5" r:id="rId2"/>
    <sheet name="Elektrická kapacita" sheetId="16" r:id="rId3"/>
    <sheet name="Elektrická vodivost" sheetId="17" r:id="rId4"/>
    <sheet name="Elektrické napětí" sheetId="18" r:id="rId5"/>
    <sheet name="Elektrický náboj" sheetId="19" r:id="rId6"/>
    <sheet name="Elektrický odpor" sheetId="20" r:id="rId7"/>
    <sheet name="Elektrický proud" sheetId="21" r:id="rId8"/>
    <sheet name="Energie" sheetId="6" r:id="rId9"/>
    <sheet name="Hmotnost" sheetId="7" r:id="rId10"/>
    <sheet name="Intenzita magn. pole" sheetId="22" r:id="rId11"/>
    <sheet name="Intenzita osvětlení" sheetId="23" r:id="rId12"/>
    <sheet name="Magnetická indukce" sheetId="24" r:id="rId13"/>
    <sheet name="Magnetický tok" sheetId="25" r:id="rId14"/>
    <sheet name="Objem" sheetId="8" r:id="rId15"/>
    <sheet name="Obsah plochy" sheetId="9" r:id="rId16"/>
    <sheet name="Práce" sheetId="10" r:id="rId17"/>
    <sheet name="Průtok" sheetId="11" r:id="rId18"/>
    <sheet name="Rovinný úhel" sheetId="12" r:id="rId19"/>
    <sheet name="Rychlost" sheetId="13" r:id="rId20"/>
    <sheet name="Síla" sheetId="4" r:id="rId21"/>
    <sheet name="Teplota" sheetId="2" r:id="rId22"/>
    <sheet name="Tlak" sheetId="3" r:id="rId23"/>
    <sheet name="Výkon" sheetId="15" r:id="rId24"/>
    <sheet name="Průtok vzduchu" sheetId="26" r:id="rId25"/>
  </sheet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S141" i="3" l="1"/>
  <c r="AT141" i="3" s="1"/>
  <c r="AS140" i="3"/>
  <c r="AT140" i="3" s="1"/>
  <c r="AS139" i="3"/>
  <c r="AT139" i="3" s="1"/>
  <c r="AS138" i="3"/>
  <c r="AT138" i="3" s="1"/>
  <c r="AS137" i="3"/>
  <c r="AT137" i="3" s="1"/>
  <c r="AS136" i="3"/>
  <c r="AT136" i="3" s="1"/>
  <c r="AS108" i="3"/>
  <c r="AT108" i="3" s="1"/>
  <c r="AS107" i="3"/>
  <c r="AT107" i="3" s="1"/>
  <c r="AS106" i="3"/>
  <c r="AT106" i="3" s="1"/>
  <c r="AS105" i="3"/>
  <c r="AT105" i="3" s="1"/>
  <c r="AS104" i="3"/>
  <c r="AT104" i="3" s="1"/>
  <c r="AS103" i="3"/>
  <c r="AT103" i="3" s="1"/>
  <c r="AT130" i="3"/>
  <c r="AS130" i="3"/>
  <c r="AS129" i="3"/>
  <c r="AT129" i="3" s="1"/>
  <c r="AT128" i="3"/>
  <c r="AS128" i="3"/>
  <c r="AS127" i="3"/>
  <c r="AT127" i="3" s="1"/>
  <c r="AT126" i="3"/>
  <c r="AS126" i="3"/>
  <c r="AS125" i="3"/>
  <c r="AT125" i="3" s="1"/>
  <c r="AT119" i="3"/>
  <c r="AS119" i="3"/>
  <c r="AS118" i="3"/>
  <c r="AT118" i="3" s="1"/>
  <c r="AT117" i="3"/>
  <c r="AS117" i="3"/>
  <c r="AS116" i="3"/>
  <c r="AT116" i="3" s="1"/>
  <c r="AT115" i="3"/>
  <c r="AS115" i="3"/>
  <c r="AS114" i="3"/>
  <c r="AT114" i="3" s="1"/>
  <c r="AS97" i="3"/>
  <c r="AT97" i="3" s="1"/>
  <c r="AS96" i="3"/>
  <c r="AT96" i="3" s="1"/>
  <c r="AS93" i="3"/>
  <c r="AT93" i="3" s="1"/>
  <c r="AS92" i="3"/>
  <c r="AT92" i="3" s="1"/>
  <c r="AS95" i="3"/>
  <c r="AT95" i="3" s="1"/>
  <c r="AS94" i="3"/>
  <c r="AT94" i="3" s="1"/>
  <c r="AS86" i="3"/>
  <c r="AT86" i="3" s="1"/>
  <c r="AS85" i="3"/>
  <c r="AT85" i="3" s="1"/>
  <c r="AS84" i="3"/>
  <c r="AT84" i="3" s="1"/>
  <c r="AS83" i="3"/>
  <c r="AT83" i="3" s="1"/>
  <c r="AS82" i="3"/>
  <c r="AT82" i="3" s="1"/>
  <c r="AS81" i="3"/>
  <c r="AT81" i="3" s="1"/>
  <c r="AS75" i="3"/>
  <c r="AT75" i="3" s="1"/>
  <c r="AS74" i="3"/>
  <c r="AT74" i="3" s="1"/>
  <c r="AS73" i="3"/>
  <c r="AT73" i="3" s="1"/>
  <c r="AS72" i="3"/>
  <c r="AT72" i="3" s="1"/>
  <c r="AS71" i="3"/>
  <c r="AT71" i="3" s="1"/>
  <c r="AS70" i="3"/>
  <c r="AT70" i="3" s="1"/>
  <c r="AS64" i="3"/>
  <c r="AT64" i="3" s="1"/>
  <c r="AS63" i="3"/>
  <c r="AT63" i="3" s="1"/>
  <c r="AS62" i="3"/>
  <c r="AT62" i="3" s="1"/>
  <c r="AS61" i="3"/>
  <c r="AT61" i="3" s="1"/>
  <c r="AS60" i="3"/>
  <c r="AT60" i="3" s="1"/>
  <c r="AS59" i="3"/>
  <c r="AT59" i="3" s="1"/>
  <c r="AS53" i="3"/>
  <c r="AT53" i="3" s="1"/>
  <c r="AS52" i="3"/>
  <c r="AT52" i="3" s="1"/>
  <c r="AS51" i="3"/>
  <c r="AT51" i="3" s="1"/>
  <c r="AS50" i="3"/>
  <c r="AT50" i="3" s="1"/>
  <c r="AS49" i="3"/>
  <c r="AT49" i="3" s="1"/>
  <c r="AS48" i="3"/>
  <c r="AT48" i="3" s="1"/>
  <c r="AS42" i="3"/>
  <c r="AT42" i="3" s="1"/>
  <c r="AS41" i="3"/>
  <c r="AT41" i="3" s="1"/>
  <c r="AS40" i="3"/>
  <c r="AT40" i="3" s="1"/>
  <c r="AS39" i="3"/>
  <c r="AT39" i="3" s="1"/>
  <c r="AS38" i="3"/>
  <c r="AT38" i="3" s="1"/>
  <c r="AS37" i="3"/>
  <c r="AT37" i="3" s="1"/>
  <c r="AR31" i="3"/>
  <c r="AS31" i="3" s="1"/>
  <c r="AT31" i="3" s="1"/>
  <c r="AS30" i="3"/>
  <c r="AT30" i="3" s="1"/>
  <c r="AR30" i="3"/>
  <c r="AR29" i="3"/>
  <c r="AS29" i="3" s="1"/>
  <c r="AT29" i="3" s="1"/>
  <c r="AR28" i="3"/>
  <c r="AS28" i="3" s="1"/>
  <c r="AT28" i="3" s="1"/>
  <c r="AR27" i="3"/>
  <c r="AS27" i="3" s="1"/>
  <c r="AT27" i="3" s="1"/>
  <c r="AS26" i="3"/>
  <c r="AT26" i="3" s="1"/>
  <c r="AR26" i="3"/>
  <c r="AR25" i="3"/>
  <c r="AS25" i="3" s="1"/>
  <c r="AT25" i="3" s="1"/>
  <c r="AR24" i="3"/>
  <c r="AS24" i="3" s="1"/>
  <c r="AT24" i="3" s="1"/>
  <c r="AR23" i="3"/>
  <c r="AS23" i="3" s="1"/>
  <c r="AT23" i="3" s="1"/>
  <c r="AS16" i="3"/>
  <c r="AT16" i="3" s="1"/>
  <c r="AS15" i="3"/>
  <c r="AT15" i="3" s="1"/>
  <c r="AS14" i="3"/>
  <c r="AT14" i="3" s="1"/>
  <c r="AS13" i="3"/>
  <c r="AT13" i="3" s="1"/>
  <c r="AS12" i="3"/>
  <c r="AT12" i="3" s="1"/>
  <c r="AS11" i="3"/>
  <c r="AT11" i="3" s="1"/>
  <c r="AS10" i="3"/>
  <c r="AT10" i="3" s="1"/>
  <c r="AS9" i="3"/>
  <c r="AT9" i="3" s="1"/>
  <c r="AS8" i="3"/>
  <c r="AT8" i="3" s="1"/>
  <c r="AO141" i="3"/>
  <c r="AP141" i="3" s="1"/>
  <c r="AK141" i="3"/>
  <c r="AL141" i="3" s="1"/>
  <c r="AB141" i="3"/>
  <c r="AC141" i="3" s="1"/>
  <c r="AD141" i="3" s="1"/>
  <c r="X141" i="3"/>
  <c r="Y141" i="3" s="1"/>
  <c r="Z141" i="3" s="1"/>
  <c r="L141" i="3"/>
  <c r="M141" i="3" s="1"/>
  <c r="N141" i="3" s="1"/>
  <c r="H141" i="3"/>
  <c r="I141" i="3" s="1"/>
  <c r="J141" i="3" s="1"/>
  <c r="D141" i="3"/>
  <c r="AF141" i="3" s="1"/>
  <c r="AG141" i="3" s="1"/>
  <c r="AH141" i="3" s="1"/>
  <c r="AO140" i="3"/>
  <c r="AP140" i="3" s="1"/>
  <c r="AK140" i="3"/>
  <c r="AL140" i="3" s="1"/>
  <c r="AB140" i="3"/>
  <c r="AC140" i="3" s="1"/>
  <c r="AD140" i="3" s="1"/>
  <c r="X140" i="3"/>
  <c r="Y140" i="3" s="1"/>
  <c r="Z140" i="3" s="1"/>
  <c r="L140" i="3"/>
  <c r="M140" i="3" s="1"/>
  <c r="N140" i="3" s="1"/>
  <c r="H140" i="3"/>
  <c r="I140" i="3" s="1"/>
  <c r="J140" i="3" s="1"/>
  <c r="D140" i="3"/>
  <c r="AF140" i="3" s="1"/>
  <c r="AG140" i="3" s="1"/>
  <c r="AH140" i="3" s="1"/>
  <c r="AO139" i="3"/>
  <c r="AP139" i="3" s="1"/>
  <c r="AK139" i="3"/>
  <c r="AL139" i="3" s="1"/>
  <c r="AG139" i="3"/>
  <c r="AH139" i="3" s="1"/>
  <c r="AB139" i="3"/>
  <c r="AC139" i="3" s="1"/>
  <c r="AD139" i="3" s="1"/>
  <c r="X139" i="3"/>
  <c r="Y139" i="3" s="1"/>
  <c r="Z139" i="3" s="1"/>
  <c r="L139" i="3"/>
  <c r="M139" i="3" s="1"/>
  <c r="N139" i="3" s="1"/>
  <c r="H139" i="3"/>
  <c r="I139" i="3" s="1"/>
  <c r="J139" i="3" s="1"/>
  <c r="D139" i="3"/>
  <c r="AF139" i="3" s="1"/>
  <c r="AO138" i="3"/>
  <c r="AP138" i="3" s="1"/>
  <c r="AK138" i="3"/>
  <c r="AL138" i="3" s="1"/>
  <c r="AG138" i="3"/>
  <c r="AH138" i="3" s="1"/>
  <c r="AB138" i="3"/>
  <c r="AC138" i="3" s="1"/>
  <c r="AD138" i="3" s="1"/>
  <c r="X138" i="3"/>
  <c r="Y138" i="3" s="1"/>
  <c r="Z138" i="3" s="1"/>
  <c r="L138" i="3"/>
  <c r="M138" i="3" s="1"/>
  <c r="N138" i="3" s="1"/>
  <c r="H138" i="3"/>
  <c r="I138" i="3" s="1"/>
  <c r="J138" i="3" s="1"/>
  <c r="D138" i="3"/>
  <c r="AF138" i="3" s="1"/>
  <c r="AO137" i="3"/>
  <c r="AP137" i="3" s="1"/>
  <c r="AK137" i="3"/>
  <c r="AL137" i="3" s="1"/>
  <c r="AG137" i="3"/>
  <c r="AH137" i="3" s="1"/>
  <c r="AB137" i="3"/>
  <c r="AC137" i="3" s="1"/>
  <c r="AD137" i="3" s="1"/>
  <c r="X137" i="3"/>
  <c r="Y137" i="3" s="1"/>
  <c r="Z137" i="3" s="1"/>
  <c r="L137" i="3"/>
  <c r="M137" i="3" s="1"/>
  <c r="N137" i="3" s="1"/>
  <c r="H137" i="3"/>
  <c r="I137" i="3" s="1"/>
  <c r="J137" i="3" s="1"/>
  <c r="D137" i="3"/>
  <c r="AF137" i="3" s="1"/>
  <c r="AO136" i="3"/>
  <c r="AP136" i="3" s="1"/>
  <c r="AK136" i="3"/>
  <c r="AL136" i="3" s="1"/>
  <c r="AG136" i="3"/>
  <c r="AH136" i="3" s="1"/>
  <c r="AB136" i="3"/>
  <c r="AC136" i="3" s="1"/>
  <c r="AD136" i="3" s="1"/>
  <c r="X136" i="3"/>
  <c r="Y136" i="3" s="1"/>
  <c r="Z136" i="3" s="1"/>
  <c r="L136" i="3"/>
  <c r="M136" i="3" s="1"/>
  <c r="N136" i="3" s="1"/>
  <c r="H136" i="3"/>
  <c r="I136" i="3" s="1"/>
  <c r="J136" i="3" s="1"/>
  <c r="D136" i="3"/>
  <c r="AF136" i="3" s="1"/>
  <c r="T136" i="3" l="1"/>
  <c r="U136" i="3" s="1"/>
  <c r="V136" i="3" s="1"/>
  <c r="T137" i="3"/>
  <c r="U137" i="3" s="1"/>
  <c r="V137" i="3" s="1"/>
  <c r="T138" i="3"/>
  <c r="U138" i="3" s="1"/>
  <c r="V138" i="3" s="1"/>
  <c r="T139" i="3"/>
  <c r="U139" i="3" s="1"/>
  <c r="V139" i="3" s="1"/>
  <c r="T140" i="3"/>
  <c r="U140" i="3" s="1"/>
  <c r="V140" i="3" s="1"/>
  <c r="T141" i="3"/>
  <c r="U141" i="3" s="1"/>
  <c r="V141" i="3" s="1"/>
  <c r="E136" i="3"/>
  <c r="F136" i="3" s="1"/>
  <c r="P136" i="3"/>
  <c r="Q136" i="3" s="1"/>
  <c r="R136" i="3" s="1"/>
  <c r="E137" i="3"/>
  <c r="F137" i="3" s="1"/>
  <c r="P137" i="3"/>
  <c r="Q137" i="3" s="1"/>
  <c r="R137" i="3" s="1"/>
  <c r="E138" i="3"/>
  <c r="F138" i="3" s="1"/>
  <c r="P138" i="3"/>
  <c r="Q138" i="3" s="1"/>
  <c r="R138" i="3" s="1"/>
  <c r="E139" i="3"/>
  <c r="F139" i="3" s="1"/>
  <c r="P139" i="3"/>
  <c r="Q139" i="3" s="1"/>
  <c r="R139" i="3" s="1"/>
  <c r="E140" i="3"/>
  <c r="F140" i="3" s="1"/>
  <c r="P140" i="3"/>
  <c r="Q140" i="3" s="1"/>
  <c r="R140" i="3" s="1"/>
  <c r="E141" i="3"/>
  <c r="F141" i="3" s="1"/>
  <c r="P141" i="3"/>
  <c r="Q141" i="3" s="1"/>
  <c r="R141" i="3" s="1"/>
  <c r="AO130" i="3"/>
  <c r="AP130" i="3" s="1"/>
  <c r="AK130" i="3"/>
  <c r="AL130" i="3" s="1"/>
  <c r="AG130" i="3"/>
  <c r="AH130" i="3" s="1"/>
  <c r="AC130" i="3"/>
  <c r="AD130" i="3" s="1"/>
  <c r="Y130" i="3"/>
  <c r="Z130" i="3" s="1"/>
  <c r="U130" i="3"/>
  <c r="V130" i="3" s="1"/>
  <c r="Q130" i="3"/>
  <c r="R130" i="3" s="1"/>
  <c r="M130" i="3"/>
  <c r="N130" i="3" s="1"/>
  <c r="I130" i="3"/>
  <c r="J130" i="3" s="1"/>
  <c r="E130" i="3"/>
  <c r="F130" i="3" s="1"/>
  <c r="AO129" i="3"/>
  <c r="AP129" i="3" s="1"/>
  <c r="AK129" i="3"/>
  <c r="AL129" i="3" s="1"/>
  <c r="AG129" i="3"/>
  <c r="AH129" i="3" s="1"/>
  <c r="AC129" i="3"/>
  <c r="AD129" i="3" s="1"/>
  <c r="Y129" i="3"/>
  <c r="Z129" i="3" s="1"/>
  <c r="U129" i="3"/>
  <c r="V129" i="3" s="1"/>
  <c r="Q129" i="3"/>
  <c r="R129" i="3" s="1"/>
  <c r="M129" i="3"/>
  <c r="N129" i="3" s="1"/>
  <c r="I129" i="3"/>
  <c r="J129" i="3" s="1"/>
  <c r="E129" i="3"/>
  <c r="F129" i="3" s="1"/>
  <c r="AO128" i="3"/>
  <c r="AP128" i="3" s="1"/>
  <c r="AK128" i="3"/>
  <c r="AL128" i="3" s="1"/>
  <c r="AG128" i="3"/>
  <c r="AH128" i="3" s="1"/>
  <c r="AC128" i="3"/>
  <c r="AD128" i="3" s="1"/>
  <c r="Y128" i="3"/>
  <c r="Z128" i="3" s="1"/>
  <c r="U128" i="3"/>
  <c r="V128" i="3" s="1"/>
  <c r="Q128" i="3"/>
  <c r="R128" i="3" s="1"/>
  <c r="M128" i="3"/>
  <c r="N128" i="3" s="1"/>
  <c r="I128" i="3"/>
  <c r="J128" i="3" s="1"/>
  <c r="E128" i="3"/>
  <c r="F128" i="3" s="1"/>
  <c r="AO127" i="3"/>
  <c r="AP127" i="3" s="1"/>
  <c r="AK127" i="3"/>
  <c r="AL127" i="3" s="1"/>
  <c r="AG127" i="3"/>
  <c r="AH127" i="3" s="1"/>
  <c r="AC127" i="3"/>
  <c r="AD127" i="3" s="1"/>
  <c r="Y127" i="3"/>
  <c r="Z127" i="3" s="1"/>
  <c r="U127" i="3"/>
  <c r="V127" i="3" s="1"/>
  <c r="Q127" i="3"/>
  <c r="R127" i="3" s="1"/>
  <c r="M127" i="3"/>
  <c r="N127" i="3" s="1"/>
  <c r="I127" i="3"/>
  <c r="J127" i="3" s="1"/>
  <c r="E127" i="3"/>
  <c r="F127" i="3" s="1"/>
  <c r="AO126" i="3"/>
  <c r="AP126" i="3" s="1"/>
  <c r="AK126" i="3"/>
  <c r="AL126" i="3" s="1"/>
  <c r="AG126" i="3"/>
  <c r="AH126" i="3" s="1"/>
  <c r="AC126" i="3"/>
  <c r="AD126" i="3" s="1"/>
  <c r="Y126" i="3"/>
  <c r="Z126" i="3" s="1"/>
  <c r="U126" i="3"/>
  <c r="V126" i="3" s="1"/>
  <c r="Q126" i="3"/>
  <c r="R126" i="3" s="1"/>
  <c r="M126" i="3"/>
  <c r="N126" i="3" s="1"/>
  <c r="I126" i="3"/>
  <c r="J126" i="3" s="1"/>
  <c r="E126" i="3"/>
  <c r="F126" i="3" s="1"/>
  <c r="AO125" i="3"/>
  <c r="AP125" i="3" s="1"/>
  <c r="AK125" i="3"/>
  <c r="AL125" i="3" s="1"/>
  <c r="AG125" i="3"/>
  <c r="AH125" i="3" s="1"/>
  <c r="AC125" i="3"/>
  <c r="AD125" i="3" s="1"/>
  <c r="Y125" i="3"/>
  <c r="Z125" i="3" s="1"/>
  <c r="U125" i="3"/>
  <c r="V125" i="3" s="1"/>
  <c r="Q125" i="3"/>
  <c r="R125" i="3" s="1"/>
  <c r="M125" i="3"/>
  <c r="N125" i="3" s="1"/>
  <c r="I125" i="3"/>
  <c r="J125" i="3" s="1"/>
  <c r="E125" i="3"/>
  <c r="F125" i="3" s="1"/>
  <c r="AO119" i="3"/>
  <c r="AP119" i="3" s="1"/>
  <c r="AO118" i="3"/>
  <c r="AP118" i="3" s="1"/>
  <c r="AO117" i="3"/>
  <c r="AP117" i="3" s="1"/>
  <c r="AO116" i="3"/>
  <c r="AP116" i="3" s="1"/>
  <c r="AO115" i="3"/>
  <c r="AP115" i="3" s="1"/>
  <c r="AO114" i="3"/>
  <c r="AP114" i="3" s="1"/>
  <c r="AO108" i="3"/>
  <c r="AP108" i="3" s="1"/>
  <c r="AO107" i="3"/>
  <c r="AP107" i="3" s="1"/>
  <c r="AO106" i="3"/>
  <c r="AP106" i="3" s="1"/>
  <c r="AO105" i="3"/>
  <c r="AP105" i="3" s="1"/>
  <c r="AO104" i="3"/>
  <c r="AP104" i="3" s="1"/>
  <c r="AO103" i="3"/>
  <c r="AP103" i="3" s="1"/>
  <c r="AO97" i="3"/>
  <c r="AP97" i="3" s="1"/>
  <c r="AO96" i="3"/>
  <c r="AP96" i="3" s="1"/>
  <c r="AO95" i="3"/>
  <c r="AP95" i="3" s="1"/>
  <c r="AO94" i="3"/>
  <c r="AP94" i="3" s="1"/>
  <c r="AO93" i="3"/>
  <c r="AP93" i="3" s="1"/>
  <c r="AO92" i="3"/>
  <c r="AP92" i="3" s="1"/>
  <c r="AO86" i="3"/>
  <c r="AP86" i="3" s="1"/>
  <c r="AO85" i="3"/>
  <c r="AP85" i="3" s="1"/>
  <c r="AO84" i="3"/>
  <c r="AP84" i="3" s="1"/>
  <c r="AO83" i="3"/>
  <c r="AP83" i="3" s="1"/>
  <c r="AO82" i="3"/>
  <c r="AP82" i="3" s="1"/>
  <c r="AO81" i="3"/>
  <c r="AP81" i="3" s="1"/>
  <c r="AO75" i="3"/>
  <c r="AP75" i="3" s="1"/>
  <c r="AO74" i="3"/>
  <c r="AP74" i="3" s="1"/>
  <c r="AO73" i="3"/>
  <c r="AP73" i="3" s="1"/>
  <c r="AO72" i="3"/>
  <c r="AP72" i="3" s="1"/>
  <c r="AO71" i="3"/>
  <c r="AP71" i="3" s="1"/>
  <c r="AO70" i="3"/>
  <c r="AP70" i="3" s="1"/>
  <c r="AO64" i="3"/>
  <c r="AP64" i="3" s="1"/>
  <c r="AO63" i="3"/>
  <c r="AP63" i="3" s="1"/>
  <c r="AO62" i="3"/>
  <c r="AP62" i="3" s="1"/>
  <c r="AO61" i="3"/>
  <c r="AP61" i="3" s="1"/>
  <c r="AO60" i="3"/>
  <c r="AP60" i="3" s="1"/>
  <c r="AO59" i="3"/>
  <c r="AP59" i="3" s="1"/>
  <c r="AO53" i="3"/>
  <c r="AP53" i="3" s="1"/>
  <c r="AO52" i="3"/>
  <c r="AP52" i="3" s="1"/>
  <c r="AO51" i="3"/>
  <c r="AP51" i="3" s="1"/>
  <c r="AO50" i="3"/>
  <c r="AP50" i="3" s="1"/>
  <c r="AO49" i="3"/>
  <c r="AP49" i="3" s="1"/>
  <c r="AO48" i="3"/>
  <c r="AP48" i="3" s="1"/>
  <c r="AO42" i="3"/>
  <c r="AP42" i="3" s="1"/>
  <c r="AO41" i="3"/>
  <c r="AP41" i="3" s="1"/>
  <c r="AO40" i="3"/>
  <c r="AP40" i="3" s="1"/>
  <c r="AO39" i="3"/>
  <c r="AP39" i="3" s="1"/>
  <c r="AO38" i="3"/>
  <c r="AP38" i="3" s="1"/>
  <c r="AO37" i="3"/>
  <c r="AP37" i="3" s="1"/>
  <c r="AO31" i="3"/>
  <c r="AP31" i="3" s="1"/>
  <c r="AO30" i="3"/>
  <c r="AP30" i="3" s="1"/>
  <c r="AO29" i="3"/>
  <c r="AP29" i="3" s="1"/>
  <c r="AO28" i="3"/>
  <c r="AP28" i="3" s="1"/>
  <c r="AO27" i="3"/>
  <c r="AP27" i="3" s="1"/>
  <c r="AO26" i="3"/>
  <c r="AP26" i="3" s="1"/>
  <c r="AO25" i="3"/>
  <c r="AP25" i="3" s="1"/>
  <c r="AO24" i="3"/>
  <c r="AP24" i="3" s="1"/>
  <c r="AO23" i="3"/>
  <c r="AP23" i="3" s="1"/>
  <c r="AO16" i="3" l="1"/>
  <c r="AP16" i="3" s="1"/>
  <c r="AO15" i="3"/>
  <c r="AP15" i="3" s="1"/>
  <c r="AO14" i="3"/>
  <c r="AP14" i="3" s="1"/>
  <c r="AO13" i="3"/>
  <c r="AP13" i="3" s="1"/>
  <c r="AO12" i="3"/>
  <c r="AP12" i="3" s="1"/>
  <c r="AO11" i="3"/>
  <c r="AP11" i="3" s="1"/>
  <c r="AO10" i="3"/>
  <c r="AP10" i="3" s="1"/>
  <c r="AO9" i="3"/>
  <c r="AP9" i="3" s="1"/>
  <c r="AO8" i="3"/>
  <c r="AP8" i="3" s="1"/>
  <c r="AK119" i="3"/>
  <c r="AL119" i="3" s="1"/>
  <c r="AC119" i="3"/>
  <c r="AD119" i="3" s="1"/>
  <c r="M119" i="3"/>
  <c r="N119" i="3" s="1"/>
  <c r="AG119" i="3"/>
  <c r="AH119" i="3" s="1"/>
  <c r="AK118" i="3"/>
  <c r="AL118" i="3" s="1"/>
  <c r="Y118" i="3"/>
  <c r="Z118" i="3" s="1"/>
  <c r="AK117" i="3"/>
  <c r="AL117" i="3" s="1"/>
  <c r="AC117" i="3"/>
  <c r="AD117" i="3" s="1"/>
  <c r="M117" i="3"/>
  <c r="N117" i="3" s="1"/>
  <c r="AG117" i="3"/>
  <c r="AH117" i="3" s="1"/>
  <c r="AK116" i="3"/>
  <c r="AL116" i="3" s="1"/>
  <c r="Y116" i="3"/>
  <c r="Z116" i="3" s="1"/>
  <c r="AK115" i="3"/>
  <c r="AL115" i="3" s="1"/>
  <c r="AC115" i="3"/>
  <c r="AD115" i="3" s="1"/>
  <c r="M115" i="3"/>
  <c r="N115" i="3" s="1"/>
  <c r="AG115" i="3"/>
  <c r="AH115" i="3" s="1"/>
  <c r="AK114" i="3"/>
  <c r="AL114" i="3" s="1"/>
  <c r="Y114" i="3"/>
  <c r="Z114" i="3" s="1"/>
  <c r="AK107" i="3"/>
  <c r="AL107" i="3" s="1"/>
  <c r="AK108" i="3"/>
  <c r="AL108" i="3" s="1"/>
  <c r="AK105" i="3"/>
  <c r="AL105" i="3" s="1"/>
  <c r="AK106" i="3"/>
  <c r="AL106" i="3" s="1"/>
  <c r="AK104" i="3"/>
  <c r="AL104" i="3" s="1"/>
  <c r="AK103" i="3"/>
  <c r="AL103" i="3" s="1"/>
  <c r="AK97" i="3"/>
  <c r="AL97" i="3" s="1"/>
  <c r="AK96" i="3"/>
  <c r="AL96" i="3" s="1"/>
  <c r="AK95" i="3"/>
  <c r="AL95" i="3" s="1"/>
  <c r="AK94" i="3"/>
  <c r="AL94" i="3" s="1"/>
  <c r="AK93" i="3"/>
  <c r="AL93" i="3" s="1"/>
  <c r="AK92" i="3"/>
  <c r="AL92" i="3" s="1"/>
  <c r="AK86" i="3"/>
  <c r="AL86" i="3" s="1"/>
  <c r="AK85" i="3"/>
  <c r="AL85" i="3" s="1"/>
  <c r="AK84" i="3"/>
  <c r="AL84" i="3" s="1"/>
  <c r="AK83" i="3"/>
  <c r="AL83" i="3" s="1"/>
  <c r="AK82" i="3"/>
  <c r="AL82" i="3" s="1"/>
  <c r="AK81" i="3"/>
  <c r="AL81" i="3" s="1"/>
  <c r="AK75" i="3"/>
  <c r="AL75" i="3" s="1"/>
  <c r="AK74" i="3"/>
  <c r="AL74" i="3" s="1"/>
  <c r="AK73" i="3"/>
  <c r="AL73" i="3" s="1"/>
  <c r="AK72" i="3"/>
  <c r="AL72" i="3" s="1"/>
  <c r="AK71" i="3"/>
  <c r="AL71" i="3" s="1"/>
  <c r="AK70" i="3"/>
  <c r="AL70" i="3" s="1"/>
  <c r="AK64" i="3"/>
  <c r="AL64" i="3" s="1"/>
  <c r="AK63" i="3"/>
  <c r="AL63" i="3" s="1"/>
  <c r="AK62" i="3"/>
  <c r="AL62" i="3" s="1"/>
  <c r="AK61" i="3"/>
  <c r="AL61" i="3" s="1"/>
  <c r="AK60" i="3"/>
  <c r="AL60" i="3" s="1"/>
  <c r="AK59" i="3"/>
  <c r="AL59" i="3" s="1"/>
  <c r="AK53" i="3"/>
  <c r="AL53" i="3" s="1"/>
  <c r="AK52" i="3"/>
  <c r="AL52" i="3" s="1"/>
  <c r="AK51" i="3"/>
  <c r="AL51" i="3" s="1"/>
  <c r="AK50" i="3"/>
  <c r="AL50" i="3" s="1"/>
  <c r="AK49" i="3"/>
  <c r="AL49" i="3" s="1"/>
  <c r="AK48" i="3"/>
  <c r="AL48" i="3" s="1"/>
  <c r="AK42" i="3"/>
  <c r="AL42" i="3" s="1"/>
  <c r="AK41" i="3"/>
  <c r="AL41" i="3" s="1"/>
  <c r="AK40" i="3"/>
  <c r="AL40" i="3" s="1"/>
  <c r="AK39" i="3"/>
  <c r="AL39" i="3" s="1"/>
  <c r="AK38" i="3"/>
  <c r="AL38" i="3" s="1"/>
  <c r="AK37" i="3"/>
  <c r="AL37" i="3" s="1"/>
  <c r="AK23" i="3"/>
  <c r="AL23" i="3" s="1"/>
  <c r="AK31" i="3"/>
  <c r="AL31" i="3" s="1"/>
  <c r="AK30" i="3"/>
  <c r="AL30" i="3" s="1"/>
  <c r="AK29" i="3"/>
  <c r="AL29" i="3" s="1"/>
  <c r="AK28" i="3"/>
  <c r="AL28" i="3" s="1"/>
  <c r="AK27" i="3"/>
  <c r="AL27" i="3" s="1"/>
  <c r="AK26" i="3"/>
  <c r="AL26" i="3" s="1"/>
  <c r="AK25" i="3"/>
  <c r="AL25" i="3" s="1"/>
  <c r="AK24" i="3"/>
  <c r="AL24" i="3" s="1"/>
  <c r="AK16" i="3"/>
  <c r="AL16" i="3" s="1"/>
  <c r="AK15" i="3"/>
  <c r="AL15" i="3" s="1"/>
  <c r="AK14" i="3"/>
  <c r="AL14" i="3" s="1"/>
  <c r="AK13" i="3"/>
  <c r="AL13" i="3" s="1"/>
  <c r="AK12" i="3"/>
  <c r="AL12" i="3" s="1"/>
  <c r="AK11" i="3"/>
  <c r="AL11" i="3" s="1"/>
  <c r="AK10" i="3"/>
  <c r="AL10" i="3" s="1"/>
  <c r="AK9" i="3"/>
  <c r="AL9" i="3" s="1"/>
  <c r="AK8" i="3"/>
  <c r="AL8" i="3" s="1"/>
  <c r="U118" i="3" l="1"/>
  <c r="V118" i="3" s="1"/>
  <c r="E114" i="3"/>
  <c r="F114" i="3" s="1"/>
  <c r="Q114" i="3"/>
  <c r="R114" i="3" s="1"/>
  <c r="AG114" i="3"/>
  <c r="AH114" i="3" s="1"/>
  <c r="I115" i="3"/>
  <c r="J115" i="3" s="1"/>
  <c r="Y115" i="3"/>
  <c r="Z115" i="3" s="1"/>
  <c r="E116" i="3"/>
  <c r="F116" i="3" s="1"/>
  <c r="Q116" i="3"/>
  <c r="R116" i="3" s="1"/>
  <c r="AG116" i="3"/>
  <c r="AH116" i="3" s="1"/>
  <c r="I117" i="3"/>
  <c r="J117" i="3" s="1"/>
  <c r="Y117" i="3"/>
  <c r="Z117" i="3" s="1"/>
  <c r="E118" i="3"/>
  <c r="F118" i="3" s="1"/>
  <c r="Q118" i="3"/>
  <c r="R118" i="3" s="1"/>
  <c r="AG118" i="3"/>
  <c r="AH118" i="3" s="1"/>
  <c r="I119" i="3"/>
  <c r="J119" i="3" s="1"/>
  <c r="Y119" i="3"/>
  <c r="Z119" i="3" s="1"/>
  <c r="U114" i="3"/>
  <c r="V114" i="3" s="1"/>
  <c r="U116" i="3"/>
  <c r="V116" i="3" s="1"/>
  <c r="M114" i="3"/>
  <c r="N114" i="3" s="1"/>
  <c r="AC114" i="3"/>
  <c r="AD114" i="3" s="1"/>
  <c r="U115" i="3"/>
  <c r="V115" i="3" s="1"/>
  <c r="M116" i="3"/>
  <c r="N116" i="3" s="1"/>
  <c r="AC116" i="3"/>
  <c r="AD116" i="3" s="1"/>
  <c r="U117" i="3"/>
  <c r="V117" i="3" s="1"/>
  <c r="M118" i="3"/>
  <c r="N118" i="3" s="1"/>
  <c r="AC118" i="3"/>
  <c r="AD118" i="3" s="1"/>
  <c r="U119" i="3"/>
  <c r="V119" i="3" s="1"/>
  <c r="I114" i="3"/>
  <c r="J114" i="3" s="1"/>
  <c r="E115" i="3"/>
  <c r="F115" i="3" s="1"/>
  <c r="Q115" i="3"/>
  <c r="R115" i="3" s="1"/>
  <c r="I116" i="3"/>
  <c r="J116" i="3" s="1"/>
  <c r="E117" i="3"/>
  <c r="F117" i="3" s="1"/>
  <c r="Q117" i="3"/>
  <c r="R117" i="3" s="1"/>
  <c r="I118" i="3"/>
  <c r="J118" i="3" s="1"/>
  <c r="E119" i="3"/>
  <c r="F119" i="3" s="1"/>
  <c r="Q119" i="3"/>
  <c r="R119" i="3" s="1"/>
  <c r="E69" i="26"/>
  <c r="E70" i="26"/>
  <c r="E71" i="26"/>
  <c r="E72" i="26"/>
  <c r="E73" i="26"/>
  <c r="E74" i="26"/>
  <c r="E75" i="26"/>
  <c r="E76" i="26"/>
  <c r="E77" i="26"/>
  <c r="E78" i="26"/>
  <c r="E79" i="26"/>
  <c r="E68" i="26"/>
  <c r="E53" i="26"/>
  <c r="G53" i="26" s="1"/>
  <c r="E54" i="26"/>
  <c r="G54" i="26" s="1"/>
  <c r="E55" i="26"/>
  <c r="G55" i="26" s="1"/>
  <c r="E56" i="26"/>
  <c r="G56" i="26" s="1"/>
  <c r="E57" i="26"/>
  <c r="E58" i="26"/>
  <c r="G58" i="26" s="1"/>
  <c r="E59" i="26"/>
  <c r="G59" i="26" s="1"/>
  <c r="E60" i="26"/>
  <c r="G60" i="26" s="1"/>
  <c r="E61" i="26"/>
  <c r="G61" i="26" s="1"/>
  <c r="E62" i="26"/>
  <c r="G62" i="26" s="1"/>
  <c r="E63" i="26"/>
  <c r="G63" i="26" s="1"/>
  <c r="E52" i="26"/>
  <c r="G57" i="26"/>
  <c r="E23" i="1" l="1"/>
  <c r="E24" i="1"/>
  <c r="E25" i="1"/>
  <c r="E26" i="1"/>
  <c r="E27" i="1"/>
  <c r="E28" i="1"/>
  <c r="E29" i="1"/>
  <c r="P56" i="5"/>
  <c r="G68" i="26" l="1"/>
  <c r="I68" i="26" s="1"/>
  <c r="G69" i="26"/>
  <c r="I69" i="26" s="1"/>
  <c r="G70" i="26"/>
  <c r="I70" i="26" s="1"/>
  <c r="G71" i="26"/>
  <c r="I71" i="26" s="1"/>
  <c r="G72" i="26"/>
  <c r="I72" i="26" s="1"/>
  <c r="G73" i="26"/>
  <c r="I73" i="26" s="1"/>
  <c r="G74" i="26"/>
  <c r="I74" i="26" s="1"/>
  <c r="G75" i="26"/>
  <c r="I75" i="26" s="1"/>
  <c r="G76" i="26"/>
  <c r="I76" i="26" s="1"/>
  <c r="G77" i="26"/>
  <c r="I77" i="26" s="1"/>
  <c r="G78" i="26"/>
  <c r="I78" i="26" s="1"/>
  <c r="G79" i="26"/>
  <c r="I79" i="26" s="1"/>
  <c r="I53" i="26"/>
  <c r="I54" i="26"/>
  <c r="I55" i="26"/>
  <c r="I56" i="26"/>
  <c r="I57" i="26"/>
  <c r="I58" i="26"/>
  <c r="I59" i="26"/>
  <c r="I60" i="26"/>
  <c r="I61" i="26"/>
  <c r="I62" i="26"/>
  <c r="I63" i="26"/>
  <c r="G52" i="26"/>
  <c r="I52" i="26" s="1"/>
  <c r="Q7" i="26"/>
  <c r="Q8" i="26"/>
  <c r="Q9" i="26"/>
  <c r="Q10" i="26"/>
  <c r="Q11" i="26"/>
  <c r="Q12" i="26"/>
  <c r="Q13" i="26"/>
  <c r="Q14" i="26"/>
  <c r="Q15" i="26"/>
  <c r="Q16" i="26"/>
  <c r="Q17" i="26"/>
  <c r="Q18" i="26"/>
  <c r="Q19" i="26"/>
  <c r="Q20" i="26"/>
  <c r="Q21" i="26"/>
  <c r="Q22" i="26"/>
  <c r="Q23" i="26"/>
  <c r="Q6" i="26"/>
  <c r="Q45" i="26"/>
  <c r="Q38" i="26"/>
  <c r="Q34" i="26"/>
  <c r="Q32" i="26"/>
  <c r="Q30" i="26"/>
  <c r="Q29" i="26"/>
  <c r="Q31" i="26"/>
  <c r="Q33" i="26"/>
  <c r="Q35" i="26"/>
  <c r="Q36" i="26"/>
  <c r="Q37" i="26"/>
  <c r="Q39" i="26"/>
  <c r="Q40" i="26"/>
  <c r="Q41" i="26"/>
  <c r="Q42" i="26"/>
  <c r="Q43" i="26"/>
  <c r="Q44" i="26"/>
  <c r="Q28" i="26"/>
  <c r="U45" i="26"/>
  <c r="V45" i="26" s="1"/>
  <c r="U44" i="26"/>
  <c r="V44" i="26" s="1"/>
  <c r="U43" i="26"/>
  <c r="V43" i="26" s="1"/>
  <c r="U42" i="26"/>
  <c r="V42" i="26" s="1"/>
  <c r="U41" i="26"/>
  <c r="V41" i="26" s="1"/>
  <c r="U40" i="26"/>
  <c r="V40" i="26" s="1"/>
  <c r="U39" i="26"/>
  <c r="V39" i="26" s="1"/>
  <c r="U38" i="26"/>
  <c r="V38" i="26" s="1"/>
  <c r="U37" i="26"/>
  <c r="V37" i="26" s="1"/>
  <c r="U36" i="26"/>
  <c r="V36" i="26" s="1"/>
  <c r="U35" i="26"/>
  <c r="V35" i="26" s="1"/>
  <c r="U34" i="26"/>
  <c r="V34" i="26" s="1"/>
  <c r="U33" i="26"/>
  <c r="V33" i="26" s="1"/>
  <c r="U32" i="26"/>
  <c r="V32" i="26" s="1"/>
  <c r="U31" i="26"/>
  <c r="V31" i="26" s="1"/>
  <c r="U30" i="26"/>
  <c r="V30" i="26" s="1"/>
  <c r="U29" i="26"/>
  <c r="V29" i="26" s="1"/>
  <c r="U28" i="26"/>
  <c r="V28" i="26" s="1"/>
  <c r="U7" i="26"/>
  <c r="V7" i="26" s="1"/>
  <c r="U8" i="26"/>
  <c r="V8" i="26" s="1"/>
  <c r="U9" i="26"/>
  <c r="V9" i="26" s="1"/>
  <c r="U10" i="26"/>
  <c r="V10" i="26" s="1"/>
  <c r="U11" i="26"/>
  <c r="V11" i="26" s="1"/>
  <c r="U12" i="26"/>
  <c r="V12" i="26" s="1"/>
  <c r="U13" i="26"/>
  <c r="V13" i="26" s="1"/>
  <c r="U14" i="26"/>
  <c r="V14" i="26" s="1"/>
  <c r="U15" i="26"/>
  <c r="V15" i="26" s="1"/>
  <c r="U16" i="26"/>
  <c r="V16" i="26" s="1"/>
  <c r="U17" i="26"/>
  <c r="V17" i="26" s="1"/>
  <c r="U18" i="26"/>
  <c r="V18" i="26" s="1"/>
  <c r="U19" i="26"/>
  <c r="V19" i="26" s="1"/>
  <c r="U20" i="26"/>
  <c r="V20" i="26" s="1"/>
  <c r="U21" i="26"/>
  <c r="V21" i="26" s="1"/>
  <c r="U22" i="26"/>
  <c r="V22" i="26" s="1"/>
  <c r="U23" i="26"/>
  <c r="V23" i="26" s="1"/>
  <c r="U6" i="26"/>
  <c r="V6" i="26" s="1"/>
  <c r="AF98" i="11" l="1"/>
  <c r="AF99" i="11"/>
  <c r="AG99" i="11" s="1"/>
  <c r="AH99" i="11" s="1"/>
  <c r="AF100" i="11"/>
  <c r="AF101" i="11"/>
  <c r="AG101" i="11" s="1"/>
  <c r="AH101" i="11" s="1"/>
  <c r="AF102" i="11"/>
  <c r="AF97" i="11"/>
  <c r="AG97" i="11" s="1"/>
  <c r="AH97" i="11" s="1"/>
  <c r="AB98" i="11"/>
  <c r="AB99" i="11"/>
  <c r="AB100" i="11"/>
  <c r="AB101" i="11"/>
  <c r="AC101" i="11" s="1"/>
  <c r="AD101" i="11" s="1"/>
  <c r="AB102" i="11"/>
  <c r="AB97" i="11"/>
  <c r="AC97" i="11" s="1"/>
  <c r="AD97" i="11" s="1"/>
  <c r="X97" i="11"/>
  <c r="X98" i="11"/>
  <c r="X99" i="11"/>
  <c r="X100" i="11"/>
  <c r="Y100" i="11" s="1"/>
  <c r="Z100" i="11" s="1"/>
  <c r="X101" i="11"/>
  <c r="X102" i="11"/>
  <c r="Y97" i="11"/>
  <c r="Z97" i="11" s="1"/>
  <c r="AG102" i="11"/>
  <c r="AH102" i="11" s="1"/>
  <c r="AC102" i="11"/>
  <c r="AD102" i="11" s="1"/>
  <c r="Y102" i="11"/>
  <c r="Z102" i="11" s="1"/>
  <c r="Y101" i="11"/>
  <c r="Z101" i="11" s="1"/>
  <c r="AG100" i="11"/>
  <c r="AH100" i="11" s="1"/>
  <c r="AC100" i="11"/>
  <c r="AD100" i="11" s="1"/>
  <c r="AC99" i="11"/>
  <c r="AD99" i="11" s="1"/>
  <c r="Y99" i="11"/>
  <c r="Z99" i="11" s="1"/>
  <c r="AG98" i="11"/>
  <c r="AH98" i="11" s="1"/>
  <c r="AC98" i="11"/>
  <c r="AD98" i="11" s="1"/>
  <c r="Y98" i="11"/>
  <c r="Z98" i="11" s="1"/>
  <c r="T98" i="11"/>
  <c r="U98" i="11" s="1"/>
  <c r="V98" i="11" s="1"/>
  <c r="T99" i="11"/>
  <c r="T100" i="11"/>
  <c r="U100" i="11" s="1"/>
  <c r="V100" i="11" s="1"/>
  <c r="T101" i="11"/>
  <c r="T102" i="11"/>
  <c r="T97" i="11"/>
  <c r="U97" i="11" s="1"/>
  <c r="V97" i="11" s="1"/>
  <c r="P98" i="11"/>
  <c r="P99" i="11"/>
  <c r="P100" i="11"/>
  <c r="P101" i="11"/>
  <c r="P102" i="11"/>
  <c r="Q102" i="11" s="1"/>
  <c r="R102" i="11" s="1"/>
  <c r="P97" i="11"/>
  <c r="Q97" i="11" s="1"/>
  <c r="R97" i="11" s="1"/>
  <c r="L98" i="11"/>
  <c r="M98" i="11" s="1"/>
  <c r="N98" i="11" s="1"/>
  <c r="L99" i="11"/>
  <c r="L100" i="11"/>
  <c r="M100" i="11" s="1"/>
  <c r="N100" i="11" s="1"/>
  <c r="L101" i="11"/>
  <c r="L102" i="11"/>
  <c r="M102" i="11" s="1"/>
  <c r="N102" i="11" s="1"/>
  <c r="L97" i="11"/>
  <c r="M97" i="11" s="1"/>
  <c r="N97" i="11" s="1"/>
  <c r="U102" i="11"/>
  <c r="V102" i="11" s="1"/>
  <c r="U101" i="11"/>
  <c r="V101" i="11" s="1"/>
  <c r="Q101" i="11"/>
  <c r="R101" i="11" s="1"/>
  <c r="M101" i="11"/>
  <c r="N101" i="11" s="1"/>
  <c r="Q100" i="11"/>
  <c r="R100" i="11" s="1"/>
  <c r="U99" i="11"/>
  <c r="V99" i="11" s="1"/>
  <c r="Q99" i="11"/>
  <c r="R99" i="11" s="1"/>
  <c r="M99" i="11"/>
  <c r="N99" i="11" s="1"/>
  <c r="Q98" i="11"/>
  <c r="R98" i="11" s="1"/>
  <c r="H98" i="11" l="1"/>
  <c r="H99" i="11"/>
  <c r="H100" i="11"/>
  <c r="H101" i="11"/>
  <c r="I101" i="11" s="1"/>
  <c r="J101" i="11" s="1"/>
  <c r="H102" i="11"/>
  <c r="H97" i="11"/>
  <c r="I97" i="11" s="1"/>
  <c r="J97" i="11" s="1"/>
  <c r="D98" i="11"/>
  <c r="E98" i="11" s="1"/>
  <c r="F98" i="11" s="1"/>
  <c r="D99" i="11"/>
  <c r="D100" i="11"/>
  <c r="E100" i="11" s="1"/>
  <c r="F100" i="11" s="1"/>
  <c r="D101" i="11"/>
  <c r="D102" i="11"/>
  <c r="E102" i="11" s="1"/>
  <c r="F102" i="11" s="1"/>
  <c r="D97" i="11"/>
  <c r="E97" i="11" s="1"/>
  <c r="F97" i="11" s="1"/>
  <c r="I102" i="11"/>
  <c r="J102" i="11" s="1"/>
  <c r="I100" i="11"/>
  <c r="J100" i="11" s="1"/>
  <c r="I99" i="11"/>
  <c r="J99" i="11" s="1"/>
  <c r="I98" i="11"/>
  <c r="J98" i="11" s="1"/>
  <c r="E101" i="11"/>
  <c r="F101" i="11" s="1"/>
  <c r="E99" i="11"/>
  <c r="F99" i="11" s="1"/>
  <c r="AF86" i="11"/>
  <c r="AF87" i="11"/>
  <c r="AF88" i="11"/>
  <c r="AF89" i="11"/>
  <c r="AG89" i="11" s="1"/>
  <c r="AH89" i="11" s="1"/>
  <c r="AF90" i="11"/>
  <c r="AF91" i="11"/>
  <c r="AB87" i="11"/>
  <c r="AB88" i="11"/>
  <c r="AB89" i="11"/>
  <c r="AB90" i="11"/>
  <c r="AB91" i="11"/>
  <c r="AC91" i="11" s="1"/>
  <c r="AD91" i="11" s="1"/>
  <c r="AB86" i="11"/>
  <c r="AC86" i="11" s="1"/>
  <c r="AD86" i="11" s="1"/>
  <c r="X87" i="11"/>
  <c r="Y87" i="11" s="1"/>
  <c r="Z87" i="11" s="1"/>
  <c r="X88" i="11"/>
  <c r="X89" i="11"/>
  <c r="Y89" i="11" s="1"/>
  <c r="Z89" i="11" s="1"/>
  <c r="X90" i="11"/>
  <c r="Y90" i="11" s="1"/>
  <c r="Z90" i="11" s="1"/>
  <c r="X91" i="11"/>
  <c r="Y91" i="11" s="1"/>
  <c r="Z91" i="11" s="1"/>
  <c r="X86" i="11"/>
  <c r="Y86" i="11" s="1"/>
  <c r="Z86" i="11" s="1"/>
  <c r="AG91" i="11"/>
  <c r="AH91" i="11" s="1"/>
  <c r="AG90" i="11"/>
  <c r="AH90" i="11" s="1"/>
  <c r="AC90" i="11"/>
  <c r="AD90" i="11" s="1"/>
  <c r="AC89" i="11"/>
  <c r="AD89" i="11" s="1"/>
  <c r="AG88" i="11"/>
  <c r="AH88" i="11" s="1"/>
  <c r="AC88" i="11"/>
  <c r="AD88" i="11" s="1"/>
  <c r="Y88" i="11"/>
  <c r="Z88" i="11" s="1"/>
  <c r="AG87" i="11"/>
  <c r="AH87" i="11" s="1"/>
  <c r="AC87" i="11"/>
  <c r="AD87" i="11" s="1"/>
  <c r="AG86" i="11"/>
  <c r="AH86" i="11" s="1"/>
  <c r="T87" i="11"/>
  <c r="T88" i="11"/>
  <c r="U88" i="11" s="1"/>
  <c r="V88" i="11" s="1"/>
  <c r="T89" i="11"/>
  <c r="T90" i="11"/>
  <c r="T91" i="11"/>
  <c r="T86" i="11"/>
  <c r="U86" i="11" s="1"/>
  <c r="V86" i="11" s="1"/>
  <c r="P87" i="11"/>
  <c r="P88" i="11"/>
  <c r="Q88" i="11" s="1"/>
  <c r="R88" i="11" s="1"/>
  <c r="P89" i="11"/>
  <c r="P90" i="11"/>
  <c r="Q90" i="11" s="1"/>
  <c r="R90" i="11" s="1"/>
  <c r="P91" i="11"/>
  <c r="P86" i="11"/>
  <c r="Q86" i="11" s="1"/>
  <c r="R86" i="11" s="1"/>
  <c r="L86" i="11"/>
  <c r="L87" i="11"/>
  <c r="M87" i="11" s="1"/>
  <c r="N87" i="11" s="1"/>
  <c r="L88" i="11"/>
  <c r="L89" i="11"/>
  <c r="M89" i="11" s="1"/>
  <c r="N89" i="11" s="1"/>
  <c r="L90" i="11"/>
  <c r="L91" i="11"/>
  <c r="M91" i="11" s="1"/>
  <c r="N91" i="11" s="1"/>
  <c r="U91" i="11"/>
  <c r="V91" i="11" s="1"/>
  <c r="Q91" i="11"/>
  <c r="R91" i="11" s="1"/>
  <c r="U90" i="11"/>
  <c r="V90" i="11" s="1"/>
  <c r="M90" i="11"/>
  <c r="N90" i="11" s="1"/>
  <c r="U89" i="11"/>
  <c r="V89" i="11" s="1"/>
  <c r="Q89" i="11"/>
  <c r="R89" i="11" s="1"/>
  <c r="M88" i="11"/>
  <c r="N88" i="11" s="1"/>
  <c r="U87" i="11"/>
  <c r="V87" i="11" s="1"/>
  <c r="Q87" i="11"/>
  <c r="R87" i="11" s="1"/>
  <c r="M86" i="11"/>
  <c r="N86" i="11" s="1"/>
  <c r="H86" i="11"/>
  <c r="I86" i="11" s="1"/>
  <c r="J86" i="11" s="1"/>
  <c r="H87" i="11"/>
  <c r="I87" i="11" s="1"/>
  <c r="J87" i="11" s="1"/>
  <c r="H88" i="11"/>
  <c r="I88" i="11" s="1"/>
  <c r="J88" i="11" s="1"/>
  <c r="H89" i="11"/>
  <c r="I89" i="11" s="1"/>
  <c r="J89" i="11" s="1"/>
  <c r="H90" i="11"/>
  <c r="I90" i="11" s="1"/>
  <c r="J90" i="11" s="1"/>
  <c r="H91" i="11"/>
  <c r="I91" i="11" s="1"/>
  <c r="J91" i="11" s="1"/>
  <c r="D87" i="11"/>
  <c r="D88" i="11"/>
  <c r="E88" i="11" s="1"/>
  <c r="F88" i="11" s="1"/>
  <c r="D89" i="11"/>
  <c r="D90" i="11"/>
  <c r="E90" i="11" s="1"/>
  <c r="F90" i="11" s="1"/>
  <c r="D91" i="11"/>
  <c r="D86" i="11"/>
  <c r="E86" i="11" s="1"/>
  <c r="F86" i="11" s="1"/>
  <c r="E91" i="11"/>
  <c r="F91" i="11" s="1"/>
  <c r="E89" i="11"/>
  <c r="F89" i="11" s="1"/>
  <c r="E87" i="11"/>
  <c r="F87" i="11" s="1"/>
  <c r="AF76" i="11"/>
  <c r="AF77" i="11"/>
  <c r="AF78" i="11"/>
  <c r="AF79" i="11"/>
  <c r="AF80" i="11"/>
  <c r="AF75" i="11"/>
  <c r="AB75" i="11"/>
  <c r="AB76" i="11"/>
  <c r="AB77" i="11"/>
  <c r="AB78" i="11"/>
  <c r="AB79" i="11"/>
  <c r="AB80" i="11"/>
  <c r="X75" i="11"/>
  <c r="X76" i="11"/>
  <c r="Y76" i="11" s="1"/>
  <c r="Z76" i="11" s="1"/>
  <c r="X77" i="11"/>
  <c r="X78" i="11"/>
  <c r="Y78" i="11" s="1"/>
  <c r="Z78" i="11" s="1"/>
  <c r="X79" i="11"/>
  <c r="X80" i="11"/>
  <c r="Y80" i="11" s="1"/>
  <c r="Z80" i="11" s="1"/>
  <c r="Y75" i="11"/>
  <c r="Z75" i="11" s="1"/>
  <c r="X31" i="11"/>
  <c r="T75" i="11"/>
  <c r="T76" i="11"/>
  <c r="T77" i="11"/>
  <c r="T78" i="11"/>
  <c r="T79" i="11"/>
  <c r="T80" i="11"/>
  <c r="P75" i="11"/>
  <c r="P76" i="11"/>
  <c r="Q76" i="11" s="1"/>
  <c r="R76" i="11" s="1"/>
  <c r="P77" i="11"/>
  <c r="P78" i="11"/>
  <c r="Q78" i="11" s="1"/>
  <c r="R78" i="11" s="1"/>
  <c r="P79" i="11"/>
  <c r="P80" i="11"/>
  <c r="Q80" i="11" s="1"/>
  <c r="R80" i="11" s="1"/>
  <c r="Q75" i="11"/>
  <c r="R75" i="11" s="1"/>
  <c r="L75" i="11"/>
  <c r="H76" i="11"/>
  <c r="H77" i="11"/>
  <c r="I77" i="11" s="1"/>
  <c r="J77" i="11" s="1"/>
  <c r="H78" i="11"/>
  <c r="H79" i="11"/>
  <c r="I79" i="11" s="1"/>
  <c r="J79" i="11" s="1"/>
  <c r="H80" i="11"/>
  <c r="H75" i="11"/>
  <c r="I75" i="11" s="1"/>
  <c r="J75" i="11" s="1"/>
  <c r="D76" i="11"/>
  <c r="D77" i="11"/>
  <c r="D78" i="11"/>
  <c r="D79" i="11"/>
  <c r="D80" i="11"/>
  <c r="D75" i="11"/>
  <c r="AG80" i="11"/>
  <c r="AH80" i="11" s="1"/>
  <c r="AC80" i="11"/>
  <c r="AD80" i="11" s="1"/>
  <c r="AG79" i="11"/>
  <c r="AH79" i="11" s="1"/>
  <c r="AC79" i="11"/>
  <c r="AD79" i="11" s="1"/>
  <c r="Y79" i="11"/>
  <c r="Z79" i="11" s="1"/>
  <c r="AG78" i="11"/>
  <c r="AH78" i="11" s="1"/>
  <c r="AC78" i="11"/>
  <c r="AD78" i="11" s="1"/>
  <c r="AG77" i="11"/>
  <c r="AH77" i="11" s="1"/>
  <c r="AC77" i="11"/>
  <c r="AD77" i="11" s="1"/>
  <c r="Y77" i="11"/>
  <c r="Z77" i="11" s="1"/>
  <c r="AG76" i="11"/>
  <c r="AH76" i="11" s="1"/>
  <c r="AC76" i="11"/>
  <c r="AD76" i="11" s="1"/>
  <c r="AG75" i="11"/>
  <c r="AH75" i="11" s="1"/>
  <c r="AC75" i="11"/>
  <c r="AD75" i="11" s="1"/>
  <c r="U80" i="11"/>
  <c r="V80" i="11" s="1"/>
  <c r="L80" i="11"/>
  <c r="M80" i="11" s="1"/>
  <c r="N80" i="11" s="1"/>
  <c r="U79" i="11"/>
  <c r="V79" i="11" s="1"/>
  <c r="Q79" i="11"/>
  <c r="R79" i="11" s="1"/>
  <c r="L79" i="11"/>
  <c r="M79" i="11" s="1"/>
  <c r="N79" i="11" s="1"/>
  <c r="U78" i="11"/>
  <c r="V78" i="11" s="1"/>
  <c r="L78" i="11"/>
  <c r="M78" i="11" s="1"/>
  <c r="N78" i="11" s="1"/>
  <c r="U77" i="11"/>
  <c r="V77" i="11" s="1"/>
  <c r="Q77" i="11"/>
  <c r="R77" i="11" s="1"/>
  <c r="L77" i="11"/>
  <c r="M77" i="11" s="1"/>
  <c r="N77" i="11" s="1"/>
  <c r="U76" i="11"/>
  <c r="V76" i="11" s="1"/>
  <c r="L76" i="11"/>
  <c r="M76" i="11" s="1"/>
  <c r="N76" i="11" s="1"/>
  <c r="U75" i="11"/>
  <c r="V75" i="11" s="1"/>
  <c r="M75" i="11"/>
  <c r="N75" i="11" s="1"/>
  <c r="I80" i="11"/>
  <c r="J80" i="11" s="1"/>
  <c r="E80" i="11"/>
  <c r="F80" i="11" s="1"/>
  <c r="E79" i="11"/>
  <c r="F79" i="11" s="1"/>
  <c r="I78" i="11"/>
  <c r="J78" i="11" s="1"/>
  <c r="E78" i="11"/>
  <c r="F78" i="11" s="1"/>
  <c r="E77" i="11"/>
  <c r="F77" i="11" s="1"/>
  <c r="I76" i="11"/>
  <c r="J76" i="11" s="1"/>
  <c r="E76" i="11"/>
  <c r="F76" i="11" s="1"/>
  <c r="E75" i="11"/>
  <c r="F75" i="11" s="1"/>
  <c r="X53" i="11"/>
  <c r="AF65" i="11"/>
  <c r="AG65" i="11" s="1"/>
  <c r="AH65" i="11" s="1"/>
  <c r="AF66" i="11"/>
  <c r="AF67" i="11"/>
  <c r="AG67" i="11" s="1"/>
  <c r="AH67" i="11" s="1"/>
  <c r="AF68" i="11"/>
  <c r="AF69" i="11"/>
  <c r="AG69" i="11" s="1"/>
  <c r="AH69" i="11" s="1"/>
  <c r="AF64" i="11"/>
  <c r="AG64" i="11" s="1"/>
  <c r="AH64" i="11" s="1"/>
  <c r="AB64" i="11"/>
  <c r="AB65" i="11"/>
  <c r="AB66" i="11"/>
  <c r="AC66" i="11" s="1"/>
  <c r="AD66" i="11" s="1"/>
  <c r="AB67" i="11"/>
  <c r="AB68" i="11"/>
  <c r="AC68" i="11" s="1"/>
  <c r="AD68" i="11" s="1"/>
  <c r="AB69" i="11"/>
  <c r="AC64" i="11"/>
  <c r="AD64" i="11" s="1"/>
  <c r="X64" i="11"/>
  <c r="X65" i="11"/>
  <c r="Y65" i="11" s="1"/>
  <c r="Z65" i="11" s="1"/>
  <c r="X66" i="11"/>
  <c r="X67" i="11"/>
  <c r="Y67" i="11" s="1"/>
  <c r="Z67" i="11" s="1"/>
  <c r="X68" i="11"/>
  <c r="X69" i="11"/>
  <c r="Y69" i="11" s="1"/>
  <c r="Z69" i="11" s="1"/>
  <c r="AB53" i="11"/>
  <c r="T64" i="11"/>
  <c r="T65" i="11"/>
  <c r="T66" i="11"/>
  <c r="T67" i="11"/>
  <c r="T68" i="11"/>
  <c r="T69" i="11"/>
  <c r="U64" i="11"/>
  <c r="V64" i="11" s="1"/>
  <c r="P65" i="11"/>
  <c r="P66" i="11"/>
  <c r="Q66" i="11" s="1"/>
  <c r="R66" i="11" s="1"/>
  <c r="P67" i="11"/>
  <c r="P68" i="11"/>
  <c r="Q68" i="11" s="1"/>
  <c r="R68" i="11" s="1"/>
  <c r="P69" i="11"/>
  <c r="P64" i="11"/>
  <c r="Q64" i="11" s="1"/>
  <c r="R64" i="11" s="1"/>
  <c r="L65" i="11"/>
  <c r="L66" i="11"/>
  <c r="M66" i="11" s="1"/>
  <c r="N66" i="11" s="1"/>
  <c r="L67" i="11"/>
  <c r="L68" i="11"/>
  <c r="M68" i="11" s="1"/>
  <c r="N68" i="11" s="1"/>
  <c r="L69" i="11"/>
  <c r="L64" i="11"/>
  <c r="M64" i="11" s="1"/>
  <c r="N64" i="11" s="1"/>
  <c r="AG68" i="11"/>
  <c r="AH68" i="11" s="1"/>
  <c r="AG66" i="11"/>
  <c r="AH66" i="11" s="1"/>
  <c r="AC69" i="11"/>
  <c r="AD69" i="11" s="1"/>
  <c r="AC67" i="11"/>
  <c r="AD67" i="11" s="1"/>
  <c r="AC65" i="11"/>
  <c r="AD65" i="11" s="1"/>
  <c r="Y68" i="11"/>
  <c r="Z68" i="11" s="1"/>
  <c r="Y66" i="11"/>
  <c r="Z66" i="11" s="1"/>
  <c r="Y64" i="11"/>
  <c r="Z64" i="11" s="1"/>
  <c r="U69" i="11"/>
  <c r="V69" i="11" s="1"/>
  <c r="U68" i="11"/>
  <c r="V68" i="11" s="1"/>
  <c r="U67" i="11"/>
  <c r="V67" i="11" s="1"/>
  <c r="U66" i="11"/>
  <c r="V66" i="11" s="1"/>
  <c r="U65" i="11"/>
  <c r="V65" i="11" s="1"/>
  <c r="Q69" i="11"/>
  <c r="R69" i="11" s="1"/>
  <c r="Q67" i="11"/>
  <c r="R67" i="11" s="1"/>
  <c r="Q65" i="11"/>
  <c r="R65" i="11" s="1"/>
  <c r="M69" i="11"/>
  <c r="N69" i="11" s="1"/>
  <c r="M67" i="11"/>
  <c r="N67" i="11" s="1"/>
  <c r="M65" i="11"/>
  <c r="N65" i="11" s="1"/>
  <c r="D65" i="11"/>
  <c r="D66" i="11"/>
  <c r="D67" i="11"/>
  <c r="D68" i="11"/>
  <c r="D69" i="11"/>
  <c r="D64" i="11"/>
  <c r="E64" i="11" s="1"/>
  <c r="F64" i="11" s="1"/>
  <c r="AF54" i="11"/>
  <c r="AF55" i="11"/>
  <c r="AF56" i="11"/>
  <c r="AF57" i="11"/>
  <c r="AF58" i="11"/>
  <c r="AF53" i="11"/>
  <c r="AB54" i="11"/>
  <c r="AB55" i="11"/>
  <c r="AB56" i="11"/>
  <c r="AB57" i="11"/>
  <c r="AB58" i="11"/>
  <c r="X54" i="11"/>
  <c r="Y54" i="11" s="1"/>
  <c r="Z54" i="11" s="1"/>
  <c r="X55" i="11"/>
  <c r="X56" i="11"/>
  <c r="Y56" i="11" s="1"/>
  <c r="Z56" i="11" s="1"/>
  <c r="X57" i="11"/>
  <c r="X58" i="11"/>
  <c r="Y58" i="11" s="1"/>
  <c r="Z58" i="11" s="1"/>
  <c r="Y53" i="11"/>
  <c r="Z53" i="11" s="1"/>
  <c r="X20" i="11"/>
  <c r="T54" i="11"/>
  <c r="T55" i="11"/>
  <c r="U55" i="11" s="1"/>
  <c r="V55" i="11" s="1"/>
  <c r="T56" i="11"/>
  <c r="T57" i="11"/>
  <c r="U57" i="11" s="1"/>
  <c r="V57" i="11" s="1"/>
  <c r="T58" i="11"/>
  <c r="T53" i="11"/>
  <c r="U53" i="11" s="1"/>
  <c r="V53" i="11" s="1"/>
  <c r="P54" i="11"/>
  <c r="P55" i="11"/>
  <c r="Q55" i="11" s="1"/>
  <c r="R55" i="11" s="1"/>
  <c r="P56" i="11"/>
  <c r="P57" i="11"/>
  <c r="Q57" i="11" s="1"/>
  <c r="R57" i="11" s="1"/>
  <c r="P58" i="11"/>
  <c r="P53" i="11"/>
  <c r="Q53" i="11" s="1"/>
  <c r="R53" i="11" s="1"/>
  <c r="L54" i="11"/>
  <c r="L55" i="11"/>
  <c r="L56" i="11"/>
  <c r="L57" i="11"/>
  <c r="L58" i="11"/>
  <c r="L53" i="11"/>
  <c r="AG58" i="11"/>
  <c r="AH58" i="11" s="1"/>
  <c r="AG57" i="11"/>
  <c r="AH57" i="11" s="1"/>
  <c r="AG56" i="11"/>
  <c r="AH56" i="11" s="1"/>
  <c r="AG55" i="11"/>
  <c r="AH55" i="11" s="1"/>
  <c r="AG54" i="11"/>
  <c r="AH54" i="11" s="1"/>
  <c r="AG53" i="11"/>
  <c r="AH53" i="11" s="1"/>
  <c r="AC58" i="11"/>
  <c r="AD58" i="11" s="1"/>
  <c r="AC57" i="11"/>
  <c r="AD57" i="11" s="1"/>
  <c r="AC56" i="11"/>
  <c r="AD56" i="11" s="1"/>
  <c r="AC55" i="11"/>
  <c r="AD55" i="11" s="1"/>
  <c r="AC54" i="11"/>
  <c r="AD54" i="11" s="1"/>
  <c r="AC53" i="11"/>
  <c r="AD53" i="11" s="1"/>
  <c r="Y57" i="11"/>
  <c r="Z57" i="11" s="1"/>
  <c r="Y55" i="11"/>
  <c r="Z55" i="11" s="1"/>
  <c r="U58" i="11"/>
  <c r="V58" i="11" s="1"/>
  <c r="U56" i="11"/>
  <c r="V56" i="11" s="1"/>
  <c r="U54" i="11"/>
  <c r="V54" i="11" s="1"/>
  <c r="Q58" i="11"/>
  <c r="R58" i="11" s="1"/>
  <c r="Q56" i="11"/>
  <c r="R56" i="11" s="1"/>
  <c r="Q54" i="11"/>
  <c r="R54" i="11" s="1"/>
  <c r="M58" i="11"/>
  <c r="N58" i="11" s="1"/>
  <c r="M57" i="11"/>
  <c r="N57" i="11" s="1"/>
  <c r="M56" i="11"/>
  <c r="N56" i="11" s="1"/>
  <c r="M55" i="11"/>
  <c r="N55" i="11" s="1"/>
  <c r="M54" i="11"/>
  <c r="N54" i="11" s="1"/>
  <c r="M53" i="11"/>
  <c r="N53" i="11" s="1"/>
  <c r="H65" i="11"/>
  <c r="H66" i="11"/>
  <c r="H67" i="11"/>
  <c r="H68" i="11"/>
  <c r="I68" i="11" s="1"/>
  <c r="J68" i="11" s="1"/>
  <c r="H69" i="11"/>
  <c r="H64" i="11"/>
  <c r="H54" i="11"/>
  <c r="H55" i="11"/>
  <c r="I55" i="11" s="1"/>
  <c r="J55" i="11" s="1"/>
  <c r="H56" i="11"/>
  <c r="I56" i="11" s="1"/>
  <c r="J56" i="11" s="1"/>
  <c r="H57" i="11"/>
  <c r="I57" i="11" s="1"/>
  <c r="J57" i="11" s="1"/>
  <c r="H58" i="11"/>
  <c r="H53" i="11"/>
  <c r="I53" i="11" s="1"/>
  <c r="J53" i="11" s="1"/>
  <c r="I69" i="11"/>
  <c r="J69" i="11" s="1"/>
  <c r="I67" i="11"/>
  <c r="J67" i="11" s="1"/>
  <c r="I66" i="11"/>
  <c r="J66" i="11" s="1"/>
  <c r="I65" i="11"/>
  <c r="J65" i="11" s="1"/>
  <c r="I64" i="11"/>
  <c r="J64" i="11" s="1"/>
  <c r="I58" i="11"/>
  <c r="J58" i="11" s="1"/>
  <c r="I54" i="11"/>
  <c r="J54" i="11" s="1"/>
  <c r="D54" i="11"/>
  <c r="D55" i="11"/>
  <c r="E55" i="11" s="1"/>
  <c r="F55" i="11" s="1"/>
  <c r="D56" i="11"/>
  <c r="E56" i="11" s="1"/>
  <c r="F56" i="11" s="1"/>
  <c r="D57" i="11"/>
  <c r="E57" i="11" s="1"/>
  <c r="F57" i="11" s="1"/>
  <c r="D58" i="11"/>
  <c r="E58" i="11" s="1"/>
  <c r="F58" i="11" s="1"/>
  <c r="D53" i="11"/>
  <c r="E53" i="11" s="1"/>
  <c r="F53" i="11" s="1"/>
  <c r="E69" i="11"/>
  <c r="F69" i="11" s="1"/>
  <c r="E68" i="11"/>
  <c r="F68" i="11" s="1"/>
  <c r="E67" i="11"/>
  <c r="F67" i="11" s="1"/>
  <c r="E66" i="11"/>
  <c r="F66" i="11" s="1"/>
  <c r="E65" i="11"/>
  <c r="F65" i="11" s="1"/>
  <c r="E54" i="11"/>
  <c r="F54" i="11" s="1"/>
  <c r="AF43" i="11"/>
  <c r="AF44" i="11"/>
  <c r="AF45" i="11"/>
  <c r="AF46" i="11"/>
  <c r="AF47" i="11"/>
  <c r="AF42" i="11"/>
  <c r="X42" i="11"/>
  <c r="Y42" i="11" s="1"/>
  <c r="Z42" i="11" s="1"/>
  <c r="AB43" i="11"/>
  <c r="AB44" i="11"/>
  <c r="AB45" i="11"/>
  <c r="AB46" i="11"/>
  <c r="AB47" i="11"/>
  <c r="AB42" i="11"/>
  <c r="X43" i="11"/>
  <c r="Y43" i="11" s="1"/>
  <c r="Z43" i="11" s="1"/>
  <c r="X44" i="11"/>
  <c r="Y44" i="11" s="1"/>
  <c r="Z44" i="11" s="1"/>
  <c r="X45" i="11"/>
  <c r="Y45" i="11" s="1"/>
  <c r="Z45" i="11" s="1"/>
  <c r="X46" i="11"/>
  <c r="Y46" i="11" s="1"/>
  <c r="Z46" i="11" s="1"/>
  <c r="X47" i="11"/>
  <c r="Y47" i="11" s="1"/>
  <c r="Z47" i="11" s="1"/>
  <c r="T43" i="11"/>
  <c r="T44" i="11"/>
  <c r="U44" i="11" s="1"/>
  <c r="V44" i="11" s="1"/>
  <c r="AG44" i="11" s="1"/>
  <c r="AH44" i="11" s="1"/>
  <c r="T45" i="11"/>
  <c r="U45" i="11" s="1"/>
  <c r="V45" i="11" s="1"/>
  <c r="AG45" i="11" s="1"/>
  <c r="AH45" i="11" s="1"/>
  <c r="T46" i="11"/>
  <c r="U46" i="11" s="1"/>
  <c r="V46" i="11" s="1"/>
  <c r="AG46" i="11" s="1"/>
  <c r="AH46" i="11" s="1"/>
  <c r="T47" i="11"/>
  <c r="T42" i="11"/>
  <c r="U42" i="11" s="1"/>
  <c r="V42" i="11" s="1"/>
  <c r="P43" i="11"/>
  <c r="Q43" i="11" s="1"/>
  <c r="R43" i="11" s="1"/>
  <c r="AC43" i="11" s="1"/>
  <c r="AD43" i="11" s="1"/>
  <c r="P44" i="11"/>
  <c r="Q44" i="11" s="1"/>
  <c r="R44" i="11" s="1"/>
  <c r="P45" i="11"/>
  <c r="P46" i="11"/>
  <c r="Q46" i="11" s="1"/>
  <c r="R46" i="11" s="1"/>
  <c r="AC46" i="11" s="1"/>
  <c r="AD46" i="11" s="1"/>
  <c r="P47" i="11"/>
  <c r="Q47" i="11" s="1"/>
  <c r="R47" i="11" s="1"/>
  <c r="AC47" i="11" s="1"/>
  <c r="AD47" i="11" s="1"/>
  <c r="P42" i="11"/>
  <c r="Q42" i="11" s="1"/>
  <c r="R42" i="11" s="1"/>
  <c r="U47" i="11"/>
  <c r="V47" i="11" s="1"/>
  <c r="AG47" i="11" s="1"/>
  <c r="AH47" i="11" s="1"/>
  <c r="U43" i="11"/>
  <c r="V43" i="11" s="1"/>
  <c r="AG43" i="11" s="1"/>
  <c r="AH43" i="11" s="1"/>
  <c r="Q45" i="11"/>
  <c r="R45" i="11" s="1"/>
  <c r="AF32" i="11"/>
  <c r="AF33" i="11"/>
  <c r="AF34" i="11"/>
  <c r="AF35" i="11"/>
  <c r="AF36" i="11"/>
  <c r="AF31" i="11"/>
  <c r="AB31" i="11"/>
  <c r="AB32" i="11"/>
  <c r="AB33" i="11"/>
  <c r="AB34" i="11"/>
  <c r="AB35" i="11"/>
  <c r="AB36" i="11"/>
  <c r="X32" i="11"/>
  <c r="Y32" i="11" s="1"/>
  <c r="Z32" i="11" s="1"/>
  <c r="X33" i="11"/>
  <c r="X34" i="11"/>
  <c r="X35" i="11"/>
  <c r="X36" i="11"/>
  <c r="Y36" i="11" s="1"/>
  <c r="Z36" i="11" s="1"/>
  <c r="Y31" i="11"/>
  <c r="Z31" i="11" s="1"/>
  <c r="T31" i="11"/>
  <c r="T32" i="11"/>
  <c r="T33" i="11"/>
  <c r="U33" i="11" s="1"/>
  <c r="V33" i="11" s="1"/>
  <c r="T34" i="11"/>
  <c r="T35" i="11"/>
  <c r="T36" i="11"/>
  <c r="P31" i="11"/>
  <c r="Q31" i="11" s="1"/>
  <c r="R31" i="11" s="1"/>
  <c r="AC31" i="11" s="1"/>
  <c r="AD31" i="11" s="1"/>
  <c r="P32" i="11"/>
  <c r="P33" i="11"/>
  <c r="P34" i="11"/>
  <c r="P35" i="11"/>
  <c r="Q35" i="11" s="1"/>
  <c r="R35" i="11" s="1"/>
  <c r="AC35" i="11" s="1"/>
  <c r="AD35" i="11" s="1"/>
  <c r="P36" i="11"/>
  <c r="Y35" i="11"/>
  <c r="Z35" i="11" s="1"/>
  <c r="Y34" i="11"/>
  <c r="Z34" i="11" s="1"/>
  <c r="Y33" i="11"/>
  <c r="Z33" i="11" s="1"/>
  <c r="U36" i="11"/>
  <c r="V36" i="11" s="1"/>
  <c r="U35" i="11"/>
  <c r="V35" i="11" s="1"/>
  <c r="U34" i="11"/>
  <c r="V34" i="11" s="1"/>
  <c r="AG34" i="11" s="1"/>
  <c r="AH34" i="11" s="1"/>
  <c r="U32" i="11"/>
  <c r="V32" i="11" s="1"/>
  <c r="AG32" i="11" s="1"/>
  <c r="AH32" i="11" s="1"/>
  <c r="U31" i="11"/>
  <c r="V31" i="11" s="1"/>
  <c r="Q36" i="11"/>
  <c r="R36" i="11" s="1"/>
  <c r="AC36" i="11" s="1"/>
  <c r="AD36" i="11" s="1"/>
  <c r="Q34" i="11"/>
  <c r="R34" i="11" s="1"/>
  <c r="AC34" i="11" s="1"/>
  <c r="AD34" i="11" s="1"/>
  <c r="Q33" i="11"/>
  <c r="R33" i="11" s="1"/>
  <c r="AC33" i="11" s="1"/>
  <c r="AD33" i="11" s="1"/>
  <c r="Q32" i="11"/>
  <c r="R32" i="11" s="1"/>
  <c r="AC32" i="11" s="1"/>
  <c r="AD32" i="11" s="1"/>
  <c r="AF21" i="11"/>
  <c r="AF22" i="11"/>
  <c r="AF23" i="11"/>
  <c r="AF24" i="11"/>
  <c r="AF25" i="11"/>
  <c r="AF20" i="11"/>
  <c r="AB20" i="11"/>
  <c r="AB21" i="11"/>
  <c r="AB22" i="11"/>
  <c r="AB23" i="11"/>
  <c r="AB24" i="11"/>
  <c r="AB25" i="11"/>
  <c r="X21" i="11"/>
  <c r="Y21" i="11" s="1"/>
  <c r="Z21" i="11" s="1"/>
  <c r="X22" i="11"/>
  <c r="X23" i="11"/>
  <c r="Y23" i="11" s="1"/>
  <c r="Z23" i="11" s="1"/>
  <c r="X24" i="11"/>
  <c r="X25" i="11"/>
  <c r="Y25" i="11" s="1"/>
  <c r="Z25" i="11" s="1"/>
  <c r="AF10" i="11"/>
  <c r="AF11" i="11"/>
  <c r="AG11" i="11" s="1"/>
  <c r="AH11" i="11" s="1"/>
  <c r="AF12" i="11"/>
  <c r="AF13" i="11"/>
  <c r="AG13" i="11" s="1"/>
  <c r="AH13" i="11" s="1"/>
  <c r="AF14" i="11"/>
  <c r="AF9" i="11"/>
  <c r="AG9" i="11" s="1"/>
  <c r="AH9" i="11" s="1"/>
  <c r="AB9" i="11"/>
  <c r="AB10" i="11"/>
  <c r="AC10" i="11" s="1"/>
  <c r="AD10" i="11" s="1"/>
  <c r="AB11" i="11"/>
  <c r="AB12" i="11"/>
  <c r="AC12" i="11" s="1"/>
  <c r="AD12" i="11" s="1"/>
  <c r="AB13" i="11"/>
  <c r="AB14" i="11"/>
  <c r="AC14" i="11" s="1"/>
  <c r="AD14" i="11" s="1"/>
  <c r="X9" i="11"/>
  <c r="Y9" i="11" s="1"/>
  <c r="Z9" i="11" s="1"/>
  <c r="X10" i="11"/>
  <c r="Y10" i="11" s="1"/>
  <c r="Z10" i="11" s="1"/>
  <c r="X11" i="11"/>
  <c r="X12" i="11"/>
  <c r="Y12" i="11" s="1"/>
  <c r="Z12" i="11" s="1"/>
  <c r="X13" i="11"/>
  <c r="X14" i="11"/>
  <c r="Y14" i="11" s="1"/>
  <c r="Z14" i="11" s="1"/>
  <c r="Y20" i="11"/>
  <c r="Z20" i="11" s="1"/>
  <c r="T21" i="11"/>
  <c r="T22" i="11"/>
  <c r="U22" i="11" s="1"/>
  <c r="V22" i="11" s="1"/>
  <c r="AG22" i="11" s="1"/>
  <c r="AH22" i="11" s="1"/>
  <c r="T23" i="11"/>
  <c r="T24" i="11"/>
  <c r="U24" i="11" s="1"/>
  <c r="V24" i="11" s="1"/>
  <c r="AG24" i="11" s="1"/>
  <c r="AH24" i="11" s="1"/>
  <c r="T25" i="11"/>
  <c r="U25" i="11" s="1"/>
  <c r="V25" i="11" s="1"/>
  <c r="T20" i="11"/>
  <c r="U20" i="11" s="1"/>
  <c r="V20" i="11" s="1"/>
  <c r="AG20" i="11" s="1"/>
  <c r="AH20" i="11" s="1"/>
  <c r="P21" i="11"/>
  <c r="P22" i="11"/>
  <c r="Q22" i="11" s="1"/>
  <c r="R22" i="11" s="1"/>
  <c r="AC22" i="11" s="1"/>
  <c r="AD22" i="11" s="1"/>
  <c r="P23" i="11"/>
  <c r="Q23" i="11" s="1"/>
  <c r="R23" i="11" s="1"/>
  <c r="AC23" i="11" s="1"/>
  <c r="AD23" i="11" s="1"/>
  <c r="P24" i="11"/>
  <c r="Q24" i="11" s="1"/>
  <c r="R24" i="11" s="1"/>
  <c r="AC24" i="11" s="1"/>
  <c r="AD24" i="11" s="1"/>
  <c r="P25" i="11"/>
  <c r="P20" i="11"/>
  <c r="Q20" i="11" s="1"/>
  <c r="R20" i="11" s="1"/>
  <c r="AC20" i="11" s="1"/>
  <c r="AD20" i="11" s="1"/>
  <c r="Y24" i="11"/>
  <c r="Z24" i="11" s="1"/>
  <c r="Y22" i="11"/>
  <c r="Z22" i="11" s="1"/>
  <c r="U23" i="11"/>
  <c r="V23" i="11" s="1"/>
  <c r="AG23" i="11" s="1"/>
  <c r="AH23" i="11" s="1"/>
  <c r="U21" i="11"/>
  <c r="V21" i="11" s="1"/>
  <c r="Q25" i="11"/>
  <c r="R25" i="11" s="1"/>
  <c r="AC25" i="11" s="1"/>
  <c r="AD25" i="11" s="1"/>
  <c r="Q21" i="11"/>
  <c r="R21" i="11" s="1"/>
  <c r="AC21" i="11" s="1"/>
  <c r="AD21" i="11" s="1"/>
  <c r="AC9" i="11"/>
  <c r="AD9" i="11" s="1"/>
  <c r="AG14" i="11"/>
  <c r="AH14" i="11" s="1"/>
  <c r="AG12" i="11"/>
  <c r="AH12" i="11" s="1"/>
  <c r="AG10" i="11"/>
  <c r="AH10" i="11" s="1"/>
  <c r="AC13" i="11"/>
  <c r="AD13" i="11" s="1"/>
  <c r="AC11" i="11"/>
  <c r="AD11" i="11" s="1"/>
  <c r="T10" i="11"/>
  <c r="U10" i="11" s="1"/>
  <c r="V10" i="11" s="1"/>
  <c r="T11" i="11"/>
  <c r="U11" i="11" s="1"/>
  <c r="V11" i="11" s="1"/>
  <c r="T12" i="11"/>
  <c r="U12" i="11" s="1"/>
  <c r="V12" i="11" s="1"/>
  <c r="T13" i="11"/>
  <c r="T14" i="11"/>
  <c r="U14" i="11" s="1"/>
  <c r="V14" i="11" s="1"/>
  <c r="T9" i="11"/>
  <c r="U9" i="11" s="1"/>
  <c r="V9" i="11" s="1"/>
  <c r="P9" i="11"/>
  <c r="Q9" i="11" s="1"/>
  <c r="R9" i="11" s="1"/>
  <c r="P10" i="11"/>
  <c r="Q10" i="11" s="1"/>
  <c r="R10" i="11" s="1"/>
  <c r="P11" i="11"/>
  <c r="Q11" i="11" s="1"/>
  <c r="R11" i="11" s="1"/>
  <c r="P12" i="11"/>
  <c r="Q12" i="11" s="1"/>
  <c r="R12" i="11" s="1"/>
  <c r="P13" i="11"/>
  <c r="Q13" i="11" s="1"/>
  <c r="R13" i="11" s="1"/>
  <c r="P14" i="11"/>
  <c r="Q14" i="11" s="1"/>
  <c r="R14" i="11" s="1"/>
  <c r="Y13" i="11"/>
  <c r="Z13" i="11" s="1"/>
  <c r="Y11" i="11"/>
  <c r="Z11" i="11" s="1"/>
  <c r="U13" i="11"/>
  <c r="V13" i="11" s="1"/>
  <c r="AC44" i="11" l="1"/>
  <c r="AD44" i="11" s="1"/>
  <c r="AC45" i="11"/>
  <c r="AD45" i="11" s="1"/>
  <c r="AG36" i="11"/>
  <c r="AH36" i="11" s="1"/>
  <c r="AG21" i="11"/>
  <c r="AH21" i="11" s="1"/>
  <c r="AG25" i="11"/>
  <c r="AH25" i="11" s="1"/>
  <c r="AG31" i="11"/>
  <c r="AH31" i="11" s="1"/>
  <c r="AG33" i="11"/>
  <c r="AH33" i="11" s="1"/>
  <c r="AG35" i="11"/>
  <c r="AH35" i="11" s="1"/>
  <c r="AG42" i="11"/>
  <c r="AH42" i="11" s="1"/>
  <c r="AC42" i="11"/>
  <c r="AD42" i="11" s="1"/>
  <c r="E65" i="15"/>
  <c r="F65" i="15" s="1"/>
  <c r="I65" i="15"/>
  <c r="J65" i="15" s="1"/>
  <c r="M65" i="15"/>
  <c r="N65" i="15" s="1"/>
  <c r="Q65" i="15"/>
  <c r="R65" i="15" s="1"/>
  <c r="U65" i="15"/>
  <c r="V65" i="15" s="1"/>
  <c r="Y65" i="15"/>
  <c r="Z65" i="15" s="1"/>
  <c r="E66" i="15"/>
  <c r="F66" i="15" s="1"/>
  <c r="I66" i="15"/>
  <c r="J66" i="15" s="1"/>
  <c r="M66" i="15"/>
  <c r="N66" i="15" s="1"/>
  <c r="Q66" i="15"/>
  <c r="R66" i="15" s="1"/>
  <c r="U66" i="15"/>
  <c r="V66" i="15" s="1"/>
  <c r="Y66" i="15"/>
  <c r="Z66" i="15" s="1"/>
  <c r="Y11" i="15"/>
  <c r="Z11" i="15" s="1"/>
  <c r="U9" i="15"/>
  <c r="V9" i="15" s="1"/>
  <c r="L53" i="15"/>
  <c r="P53" i="15" s="1"/>
  <c r="L54" i="15"/>
  <c r="D54" i="15" s="1"/>
  <c r="E54" i="15" s="1"/>
  <c r="F54" i="15" s="1"/>
  <c r="L55" i="15"/>
  <c r="H55" i="15" s="1"/>
  <c r="I55" i="15" s="1"/>
  <c r="J55" i="15" s="1"/>
  <c r="U55" i="15" s="1"/>
  <c r="V55" i="15" s="1"/>
  <c r="L56" i="15"/>
  <c r="P56" i="15" s="1"/>
  <c r="L57" i="15"/>
  <c r="P57" i="15" s="1"/>
  <c r="L52" i="15"/>
  <c r="D52" i="15" s="1"/>
  <c r="E52" i="15" s="1"/>
  <c r="F52" i="15" s="1"/>
  <c r="P42" i="15"/>
  <c r="Q42" i="15" s="1"/>
  <c r="R42" i="15" s="1"/>
  <c r="P43" i="15"/>
  <c r="Q43" i="15" s="1"/>
  <c r="R43" i="15" s="1"/>
  <c r="P44" i="15"/>
  <c r="Q44" i="15" s="1"/>
  <c r="R44" i="15" s="1"/>
  <c r="P45" i="15"/>
  <c r="Q45" i="15" s="1"/>
  <c r="R45" i="15" s="1"/>
  <c r="P46" i="15"/>
  <c r="Q46" i="15" s="1"/>
  <c r="R46" i="15" s="1"/>
  <c r="P41" i="15"/>
  <c r="Q41" i="15" s="1"/>
  <c r="R41" i="15" s="1"/>
  <c r="P32" i="15"/>
  <c r="Q32" i="15" s="1"/>
  <c r="R32" i="15" s="1"/>
  <c r="P33" i="15"/>
  <c r="Q33" i="15" s="1"/>
  <c r="R33" i="15" s="1"/>
  <c r="P34" i="15"/>
  <c r="Q34" i="15" s="1"/>
  <c r="R34" i="15" s="1"/>
  <c r="P35" i="15"/>
  <c r="Q35" i="15" s="1"/>
  <c r="R35" i="15" s="1"/>
  <c r="P31" i="15"/>
  <c r="Q31" i="15" s="1"/>
  <c r="R31" i="15" s="1"/>
  <c r="P30" i="15"/>
  <c r="Q30" i="15" s="1"/>
  <c r="R30" i="15" s="1"/>
  <c r="Y45" i="15"/>
  <c r="Z45" i="15" s="1"/>
  <c r="Y44" i="15"/>
  <c r="Z44" i="15" s="1"/>
  <c r="Y43" i="15"/>
  <c r="Z43" i="15" s="1"/>
  <c r="Y42" i="15"/>
  <c r="Z42" i="15" s="1"/>
  <c r="Y41" i="15"/>
  <c r="Y34" i="15"/>
  <c r="Z34" i="15" s="1"/>
  <c r="Y33" i="15"/>
  <c r="Z33" i="15" s="1"/>
  <c r="Y32" i="15"/>
  <c r="Z32" i="15" s="1"/>
  <c r="Y31" i="15"/>
  <c r="Z31" i="15" s="1"/>
  <c r="Y30" i="15"/>
  <c r="Z30" i="15" s="1"/>
  <c r="Y19" i="15"/>
  <c r="Z19" i="15" s="1"/>
  <c r="Y8" i="15"/>
  <c r="Z8" i="15" s="1"/>
  <c r="U63" i="15"/>
  <c r="V63" i="15" s="1"/>
  <c r="U45" i="15"/>
  <c r="V45" i="15" s="1"/>
  <c r="U44" i="15"/>
  <c r="V44" i="15" s="1"/>
  <c r="U43" i="15"/>
  <c r="V43" i="15" s="1"/>
  <c r="U42" i="15"/>
  <c r="V42" i="15" s="1"/>
  <c r="U41" i="15"/>
  <c r="V41" i="15" s="1"/>
  <c r="U34" i="15"/>
  <c r="V34" i="15" s="1"/>
  <c r="U33" i="15"/>
  <c r="V33" i="15" s="1"/>
  <c r="U32" i="15"/>
  <c r="V32" i="15" s="1"/>
  <c r="U31" i="15"/>
  <c r="V31" i="15" s="1"/>
  <c r="U30" i="15"/>
  <c r="V30" i="15" s="1"/>
  <c r="U23" i="15"/>
  <c r="V23" i="15" s="1"/>
  <c r="Y22" i="15"/>
  <c r="Z22" i="15" s="1"/>
  <c r="U21" i="15"/>
  <c r="V21" i="15" s="1"/>
  <c r="U19" i="15"/>
  <c r="V19" i="15" s="1"/>
  <c r="U12" i="15"/>
  <c r="V12" i="15" s="1"/>
  <c r="U10" i="15"/>
  <c r="V10" i="15" s="1"/>
  <c r="Y9" i="15"/>
  <c r="Z9" i="15" s="1"/>
  <c r="U8" i="15"/>
  <c r="V8" i="15" s="1"/>
  <c r="M75" i="15"/>
  <c r="N75" i="15" s="1"/>
  <c r="Y75" i="15" s="1"/>
  <c r="Z75" i="15" s="1"/>
  <c r="I75" i="15"/>
  <c r="J75" i="15" s="1"/>
  <c r="U75" i="15" s="1"/>
  <c r="V75" i="15" s="1"/>
  <c r="E75" i="15"/>
  <c r="F75" i="15" s="1"/>
  <c r="Q75" i="15" s="1"/>
  <c r="R75" i="15" s="1"/>
  <c r="M74" i="15"/>
  <c r="N74" i="15" s="1"/>
  <c r="Y74" i="15" s="1"/>
  <c r="Z74" i="15" s="1"/>
  <c r="E74" i="15"/>
  <c r="F74" i="15" s="1"/>
  <c r="Q74" i="15" s="1"/>
  <c r="R74" i="15" s="1"/>
  <c r="M73" i="15"/>
  <c r="N73" i="15" s="1"/>
  <c r="Y73" i="15" s="1"/>
  <c r="Z73" i="15" s="1"/>
  <c r="I73" i="15"/>
  <c r="J73" i="15" s="1"/>
  <c r="U73" i="15" s="1"/>
  <c r="V73" i="15" s="1"/>
  <c r="E73" i="15"/>
  <c r="F73" i="15" s="1"/>
  <c r="Q73" i="15" s="1"/>
  <c r="R73" i="15" s="1"/>
  <c r="M72" i="15"/>
  <c r="N72" i="15" s="1"/>
  <c r="Y72" i="15" s="1"/>
  <c r="Z72" i="15" s="1"/>
  <c r="E72" i="15"/>
  <c r="F72" i="15" s="1"/>
  <c r="Q72" i="15" s="1"/>
  <c r="R72" i="15" s="1"/>
  <c r="M64" i="15"/>
  <c r="N64" i="15" s="1"/>
  <c r="Y64" i="15" s="1"/>
  <c r="Z64" i="15" s="1"/>
  <c r="I64" i="15"/>
  <c r="J64" i="15" s="1"/>
  <c r="U64" i="15" s="1"/>
  <c r="V64" i="15" s="1"/>
  <c r="E64" i="15"/>
  <c r="F64" i="15" s="1"/>
  <c r="Q64" i="15" s="1"/>
  <c r="R64" i="15" s="1"/>
  <c r="M63" i="15"/>
  <c r="N63" i="15" s="1"/>
  <c r="Y63" i="15" s="1"/>
  <c r="Z63" i="15" s="1"/>
  <c r="E63" i="15"/>
  <c r="F63" i="15" s="1"/>
  <c r="Q63" i="15" s="1"/>
  <c r="R63" i="15" s="1"/>
  <c r="D20" i="25"/>
  <c r="D21" i="25"/>
  <c r="D22" i="25"/>
  <c r="D23" i="25"/>
  <c r="D24" i="25"/>
  <c r="D19" i="25"/>
  <c r="E19" i="25" s="1"/>
  <c r="F19" i="25" s="1"/>
  <c r="D9" i="25"/>
  <c r="E9" i="25" s="1"/>
  <c r="F9" i="25" s="1"/>
  <c r="D10" i="25"/>
  <c r="E10" i="25" s="1"/>
  <c r="F10" i="25" s="1"/>
  <c r="D11" i="25"/>
  <c r="E11" i="25" s="1"/>
  <c r="F11" i="25" s="1"/>
  <c r="D12" i="25"/>
  <c r="E12" i="25" s="1"/>
  <c r="F12" i="25" s="1"/>
  <c r="D13" i="25"/>
  <c r="E13" i="25" s="1"/>
  <c r="F13" i="25" s="1"/>
  <c r="D8" i="25"/>
  <c r="E8" i="25" s="1"/>
  <c r="F8" i="25" s="1"/>
  <c r="E24" i="25"/>
  <c r="F24" i="25" s="1"/>
  <c r="E23" i="25"/>
  <c r="F23" i="25" s="1"/>
  <c r="E22" i="25"/>
  <c r="F22" i="25" s="1"/>
  <c r="E21" i="25"/>
  <c r="F21" i="25" s="1"/>
  <c r="E20" i="25"/>
  <c r="F20" i="25" s="1"/>
  <c r="H31" i="24"/>
  <c r="D31" i="24" s="1"/>
  <c r="E31" i="24" s="1"/>
  <c r="H32" i="24"/>
  <c r="D32" i="24" s="1"/>
  <c r="E32" i="24" s="1"/>
  <c r="H33" i="24"/>
  <c r="D33" i="24" s="1"/>
  <c r="E33" i="24" s="1"/>
  <c r="H34" i="24"/>
  <c r="D34" i="24" s="1"/>
  <c r="E34" i="24" s="1"/>
  <c r="H35" i="24"/>
  <c r="D35" i="24" s="1"/>
  <c r="E35" i="24" s="1"/>
  <c r="H30" i="24"/>
  <c r="D30" i="24" s="1"/>
  <c r="E30" i="24" s="1"/>
  <c r="H20" i="24"/>
  <c r="H21" i="24"/>
  <c r="H22" i="24"/>
  <c r="H23" i="24"/>
  <c r="H24" i="24"/>
  <c r="H19" i="24"/>
  <c r="D20" i="24"/>
  <c r="E20" i="24" s="1"/>
  <c r="F20" i="24" s="1"/>
  <c r="I20" i="24" s="1"/>
  <c r="J20" i="24" s="1"/>
  <c r="D21" i="24"/>
  <c r="E21" i="24" s="1"/>
  <c r="F21" i="24" s="1"/>
  <c r="I21" i="24" s="1"/>
  <c r="J21" i="24" s="1"/>
  <c r="D22" i="24"/>
  <c r="D23" i="24"/>
  <c r="E23" i="24" s="1"/>
  <c r="F23" i="24" s="1"/>
  <c r="D24" i="24"/>
  <c r="E24" i="24" s="1"/>
  <c r="F24" i="24" s="1"/>
  <c r="D19" i="24"/>
  <c r="E19" i="24" s="1"/>
  <c r="F19" i="24" s="1"/>
  <c r="D9" i="24"/>
  <c r="H9" i="24" s="1"/>
  <c r="D10" i="24"/>
  <c r="H10" i="24" s="1"/>
  <c r="D11" i="24"/>
  <c r="H11" i="24" s="1"/>
  <c r="D12" i="24"/>
  <c r="D13" i="24"/>
  <c r="D8" i="24"/>
  <c r="H8" i="24" s="1"/>
  <c r="E22" i="24"/>
  <c r="F22" i="24" s="1"/>
  <c r="E11" i="24"/>
  <c r="F11" i="24" s="1"/>
  <c r="E9" i="24"/>
  <c r="F9" i="24" s="1"/>
  <c r="D20" i="23"/>
  <c r="D21" i="23"/>
  <c r="E21" i="23" s="1"/>
  <c r="F21" i="23" s="1"/>
  <c r="D22" i="23"/>
  <c r="E22" i="23" s="1"/>
  <c r="F22" i="23" s="1"/>
  <c r="D23" i="23"/>
  <c r="D24" i="23"/>
  <c r="D19" i="23"/>
  <c r="E19" i="23" s="1"/>
  <c r="F19" i="23" s="1"/>
  <c r="D9" i="23"/>
  <c r="E9" i="23" s="1"/>
  <c r="F9" i="23" s="1"/>
  <c r="D10" i="23"/>
  <c r="D11" i="23"/>
  <c r="E11" i="23" s="1"/>
  <c r="F11" i="23" s="1"/>
  <c r="D12" i="23"/>
  <c r="D13" i="23"/>
  <c r="E13" i="23" s="1"/>
  <c r="F13" i="23" s="1"/>
  <c r="D8" i="23"/>
  <c r="E24" i="23"/>
  <c r="F24" i="23" s="1"/>
  <c r="E23" i="23"/>
  <c r="F23" i="23" s="1"/>
  <c r="E20" i="23"/>
  <c r="F20" i="23" s="1"/>
  <c r="H42" i="22"/>
  <c r="H43" i="22"/>
  <c r="L43" i="22" s="1"/>
  <c r="M43" i="22" s="1"/>
  <c r="N43" i="22" s="1"/>
  <c r="H44" i="22"/>
  <c r="H45" i="22"/>
  <c r="L45" i="22" s="1"/>
  <c r="H46" i="22"/>
  <c r="H41" i="22"/>
  <c r="L41" i="22" s="1"/>
  <c r="H31" i="22"/>
  <c r="H32" i="22"/>
  <c r="L32" i="22" s="1"/>
  <c r="H33" i="22"/>
  <c r="D33" i="22" s="1"/>
  <c r="H34" i="22"/>
  <c r="H35" i="22"/>
  <c r="H30" i="22"/>
  <c r="D30" i="22" s="1"/>
  <c r="L20" i="22"/>
  <c r="L21" i="22"/>
  <c r="M21" i="22" s="1"/>
  <c r="N21" i="22" s="1"/>
  <c r="L22" i="22"/>
  <c r="L23" i="22"/>
  <c r="M23" i="22" s="1"/>
  <c r="N23" i="22" s="1"/>
  <c r="L24" i="22"/>
  <c r="L19" i="22"/>
  <c r="M19" i="22" s="1"/>
  <c r="N19" i="22" s="1"/>
  <c r="H20" i="22"/>
  <c r="I20" i="22" s="1"/>
  <c r="J20" i="22" s="1"/>
  <c r="H21" i="22"/>
  <c r="H22" i="22"/>
  <c r="I22" i="22" s="1"/>
  <c r="J22" i="22" s="1"/>
  <c r="H23" i="22"/>
  <c r="H24" i="22"/>
  <c r="I24" i="22" s="1"/>
  <c r="J24" i="22" s="1"/>
  <c r="H19" i="22"/>
  <c r="D20" i="22"/>
  <c r="D21" i="22"/>
  <c r="D22" i="22"/>
  <c r="D23" i="22"/>
  <c r="D24" i="22"/>
  <c r="D19" i="22"/>
  <c r="D9" i="22"/>
  <c r="L9" i="22" s="1"/>
  <c r="M9" i="22" s="1"/>
  <c r="N9" i="22" s="1"/>
  <c r="D10" i="22"/>
  <c r="D11" i="22"/>
  <c r="L11" i="22" s="1"/>
  <c r="M11" i="22" s="1"/>
  <c r="N11" i="22" s="1"/>
  <c r="D12" i="22"/>
  <c r="D13" i="22"/>
  <c r="D8" i="22"/>
  <c r="L8" i="22" s="1"/>
  <c r="M8" i="22" s="1"/>
  <c r="N8" i="22" s="1"/>
  <c r="M45" i="22"/>
  <c r="N45" i="22" s="1"/>
  <c r="M32" i="22"/>
  <c r="N32" i="22" s="1"/>
  <c r="E12" i="22"/>
  <c r="F12" i="22" s="1"/>
  <c r="E11" i="22"/>
  <c r="F11" i="22" s="1"/>
  <c r="E8" i="22"/>
  <c r="F8" i="22" s="1"/>
  <c r="D42" i="21"/>
  <c r="D43" i="21"/>
  <c r="L43" i="21" s="1"/>
  <c r="D44" i="21"/>
  <c r="D45" i="21"/>
  <c r="D46" i="21"/>
  <c r="D41" i="21"/>
  <c r="E41" i="21" s="1"/>
  <c r="F41" i="21" s="1"/>
  <c r="D19" i="21"/>
  <c r="L19" i="21" s="1"/>
  <c r="M19" i="21" s="1"/>
  <c r="N19" i="21" s="1"/>
  <c r="D20" i="21"/>
  <c r="L20" i="21" s="1"/>
  <c r="D21" i="21"/>
  <c r="D22" i="21"/>
  <c r="H22" i="21" s="1"/>
  <c r="D23" i="21"/>
  <c r="H23" i="21" s="1"/>
  <c r="D24" i="21"/>
  <c r="L24" i="21" s="1"/>
  <c r="M24" i="21" s="1"/>
  <c r="N24" i="21" s="1"/>
  <c r="L9" i="21"/>
  <c r="M9" i="21" s="1"/>
  <c r="N9" i="21" s="1"/>
  <c r="L10" i="21"/>
  <c r="L11" i="21"/>
  <c r="M11" i="21" s="1"/>
  <c r="N11" i="21" s="1"/>
  <c r="L12" i="21"/>
  <c r="L13" i="21"/>
  <c r="M13" i="21" s="1"/>
  <c r="N13" i="21" s="1"/>
  <c r="L8" i="21"/>
  <c r="H8" i="21"/>
  <c r="D9" i="21"/>
  <c r="E9" i="21" s="1"/>
  <c r="F9" i="21" s="1"/>
  <c r="D10" i="21"/>
  <c r="D11" i="21"/>
  <c r="E11" i="21" s="1"/>
  <c r="F11" i="21" s="1"/>
  <c r="D12" i="21"/>
  <c r="D13" i="21"/>
  <c r="E13" i="21" s="1"/>
  <c r="F13" i="21" s="1"/>
  <c r="D8" i="21"/>
  <c r="E45" i="21"/>
  <c r="F45" i="21" s="1"/>
  <c r="E44" i="21"/>
  <c r="F44" i="21" s="1"/>
  <c r="M43" i="21"/>
  <c r="N43" i="21" s="1"/>
  <c r="D35" i="21"/>
  <c r="D34" i="21"/>
  <c r="H34" i="21" s="1"/>
  <c r="I34" i="21" s="1"/>
  <c r="J34" i="21" s="1"/>
  <c r="D33" i="21"/>
  <c r="E33" i="21" s="1"/>
  <c r="F33" i="21" s="1"/>
  <c r="D32" i="21"/>
  <c r="H32" i="21" s="1"/>
  <c r="I32" i="21" s="1"/>
  <c r="J32" i="21" s="1"/>
  <c r="D31" i="21"/>
  <c r="E31" i="21" s="1"/>
  <c r="F31" i="21" s="1"/>
  <c r="D30" i="21"/>
  <c r="I22" i="21"/>
  <c r="J22" i="21" s="1"/>
  <c r="M20" i="21"/>
  <c r="N20" i="21" s="1"/>
  <c r="H13" i="21"/>
  <c r="I13" i="21" s="1"/>
  <c r="J13" i="21" s="1"/>
  <c r="H12" i="21"/>
  <c r="H11" i="21"/>
  <c r="I11" i="21" s="1"/>
  <c r="J11" i="21" s="1"/>
  <c r="H10" i="21"/>
  <c r="H9" i="21"/>
  <c r="I9" i="21" s="1"/>
  <c r="J9" i="21" s="1"/>
  <c r="M8" i="21"/>
  <c r="N8" i="21" s="1"/>
  <c r="P53" i="20"/>
  <c r="P54" i="20"/>
  <c r="P55" i="20"/>
  <c r="P56" i="20"/>
  <c r="P57" i="20"/>
  <c r="P52" i="20"/>
  <c r="H53" i="20"/>
  <c r="H54" i="20"/>
  <c r="H55" i="20"/>
  <c r="H56" i="20"/>
  <c r="H57" i="20"/>
  <c r="H52" i="20"/>
  <c r="D53" i="20"/>
  <c r="E53" i="20" s="1"/>
  <c r="F53" i="20" s="1"/>
  <c r="D54" i="20"/>
  <c r="E54" i="20" s="1"/>
  <c r="F54" i="20" s="1"/>
  <c r="D55" i="20"/>
  <c r="D56" i="20"/>
  <c r="E56" i="20" s="1"/>
  <c r="F56" i="20" s="1"/>
  <c r="D57" i="20"/>
  <c r="E57" i="20" s="1"/>
  <c r="F57" i="20" s="1"/>
  <c r="D52" i="20"/>
  <c r="E52" i="20" s="1"/>
  <c r="F52" i="20" s="1"/>
  <c r="P42" i="20"/>
  <c r="L42" i="20" s="1"/>
  <c r="M42" i="20" s="1"/>
  <c r="N42" i="20" s="1"/>
  <c r="P43" i="20"/>
  <c r="P44" i="20"/>
  <c r="L44" i="20" s="1"/>
  <c r="P45" i="20"/>
  <c r="H45" i="20" s="1"/>
  <c r="P46" i="20"/>
  <c r="Q46" i="20" s="1"/>
  <c r="R46" i="20" s="1"/>
  <c r="P41" i="20"/>
  <c r="Q41" i="20" s="1"/>
  <c r="R41" i="20" s="1"/>
  <c r="P31" i="20"/>
  <c r="P32" i="20"/>
  <c r="L32" i="20" s="1"/>
  <c r="M32" i="20" s="1"/>
  <c r="N32" i="20" s="1"/>
  <c r="P33" i="20"/>
  <c r="L33" i="20" s="1"/>
  <c r="M33" i="20" s="1"/>
  <c r="N33" i="20" s="1"/>
  <c r="P34" i="20"/>
  <c r="H34" i="20" s="1"/>
  <c r="P35" i="20"/>
  <c r="H35" i="20" s="1"/>
  <c r="P30" i="20"/>
  <c r="D30" i="20" s="1"/>
  <c r="E30" i="20" s="1"/>
  <c r="F30" i="20" s="1"/>
  <c r="P20" i="20"/>
  <c r="H20" i="20" s="1"/>
  <c r="P21" i="20"/>
  <c r="L21" i="20" s="1"/>
  <c r="M21" i="20" s="1"/>
  <c r="N21" i="20" s="1"/>
  <c r="P22" i="20"/>
  <c r="P23" i="20"/>
  <c r="P24" i="20"/>
  <c r="D24" i="20" s="1"/>
  <c r="P19" i="20"/>
  <c r="H19" i="20" s="1"/>
  <c r="P9" i="20"/>
  <c r="P10" i="20"/>
  <c r="H10" i="20" s="1"/>
  <c r="P11" i="20"/>
  <c r="H11" i="20" s="1"/>
  <c r="P12" i="20"/>
  <c r="D12" i="20" s="1"/>
  <c r="P13" i="20"/>
  <c r="D13" i="20" s="1"/>
  <c r="P8" i="20"/>
  <c r="L57" i="20"/>
  <c r="L56" i="20"/>
  <c r="Q56" i="20" s="1"/>
  <c r="R56" i="20" s="1"/>
  <c r="L55" i="20"/>
  <c r="Q55" i="20" s="1"/>
  <c r="R55" i="20" s="1"/>
  <c r="E55" i="20"/>
  <c r="F55" i="20" s="1"/>
  <c r="L54" i="20"/>
  <c r="L53" i="20"/>
  <c r="L52" i="20"/>
  <c r="Q42" i="20"/>
  <c r="R42" i="20" s="1"/>
  <c r="L53" i="19"/>
  <c r="P53" i="19" s="1"/>
  <c r="Q53" i="19" s="1"/>
  <c r="R53" i="19" s="1"/>
  <c r="L54" i="19"/>
  <c r="L55" i="19"/>
  <c r="H55" i="19" s="1"/>
  <c r="I55" i="19" s="1"/>
  <c r="J55" i="19" s="1"/>
  <c r="L56" i="19"/>
  <c r="L57" i="19"/>
  <c r="P57" i="19" s="1"/>
  <c r="L52" i="19"/>
  <c r="H52" i="19" s="1"/>
  <c r="I52" i="19" s="1"/>
  <c r="J52" i="19" s="1"/>
  <c r="L42" i="19"/>
  <c r="D42" i="19" s="1"/>
  <c r="E42" i="19" s="1"/>
  <c r="F42" i="19" s="1"/>
  <c r="L43" i="19"/>
  <c r="L44" i="19"/>
  <c r="P44" i="19" s="1"/>
  <c r="Q44" i="19" s="1"/>
  <c r="R44" i="19" s="1"/>
  <c r="L45" i="19"/>
  <c r="L46" i="19"/>
  <c r="L41" i="19"/>
  <c r="H31" i="19"/>
  <c r="P31" i="19" s="1"/>
  <c r="H32" i="19"/>
  <c r="P32" i="19" s="1"/>
  <c r="H33" i="19"/>
  <c r="P33" i="19" s="1"/>
  <c r="H34" i="19"/>
  <c r="P34" i="19" s="1"/>
  <c r="H35" i="19"/>
  <c r="H30" i="19"/>
  <c r="D31" i="19"/>
  <c r="E31" i="19" s="1"/>
  <c r="F31" i="19" s="1"/>
  <c r="D32" i="19"/>
  <c r="E32" i="19" s="1"/>
  <c r="F32" i="19" s="1"/>
  <c r="D33" i="19"/>
  <c r="E33" i="19" s="1"/>
  <c r="F33" i="19" s="1"/>
  <c r="D34" i="19"/>
  <c r="D35" i="19"/>
  <c r="E35" i="19" s="1"/>
  <c r="F35" i="19" s="1"/>
  <c r="D30" i="19"/>
  <c r="E30" i="19" s="1"/>
  <c r="F30" i="19" s="1"/>
  <c r="H20" i="19"/>
  <c r="P20" i="19" s="1"/>
  <c r="Q20" i="19" s="1"/>
  <c r="R20" i="19" s="1"/>
  <c r="H21" i="19"/>
  <c r="D21" i="19" s="1"/>
  <c r="H22" i="19"/>
  <c r="H23" i="19"/>
  <c r="P23" i="19" s="1"/>
  <c r="Q23" i="19" s="1"/>
  <c r="R23" i="19" s="1"/>
  <c r="H24" i="19"/>
  <c r="D24" i="19" s="1"/>
  <c r="E24" i="19" s="1"/>
  <c r="F24" i="19" s="1"/>
  <c r="H19" i="19"/>
  <c r="P19" i="19" s="1"/>
  <c r="H9" i="19"/>
  <c r="H10" i="19"/>
  <c r="P10" i="19" s="1"/>
  <c r="Q10" i="19" s="1"/>
  <c r="R10" i="19" s="1"/>
  <c r="H11" i="19"/>
  <c r="P11" i="19" s="1"/>
  <c r="Q11" i="19" s="1"/>
  <c r="R11" i="19" s="1"/>
  <c r="H12" i="19"/>
  <c r="L12" i="19" s="1"/>
  <c r="H13" i="19"/>
  <c r="H8" i="19"/>
  <c r="L8" i="19" s="1"/>
  <c r="Q57" i="19"/>
  <c r="R57" i="19" s="1"/>
  <c r="M55" i="19"/>
  <c r="N55" i="19" s="1"/>
  <c r="M44" i="19"/>
  <c r="N44" i="19" s="1"/>
  <c r="E34" i="19"/>
  <c r="F34" i="19" s="1"/>
  <c r="E21" i="19"/>
  <c r="F21" i="19" s="1"/>
  <c r="Q19" i="19"/>
  <c r="R19" i="19" s="1"/>
  <c r="P53" i="18"/>
  <c r="P54" i="18"/>
  <c r="P55" i="18"/>
  <c r="D55" i="18" s="1"/>
  <c r="E55" i="18" s="1"/>
  <c r="F55" i="18" s="1"/>
  <c r="P56" i="18"/>
  <c r="Q56" i="18" s="1"/>
  <c r="R56" i="18" s="1"/>
  <c r="P57" i="18"/>
  <c r="Q57" i="18" s="1"/>
  <c r="R57" i="18" s="1"/>
  <c r="P52" i="18"/>
  <c r="P42" i="18"/>
  <c r="Q42" i="18" s="1"/>
  <c r="R42" i="18" s="1"/>
  <c r="P43" i="18"/>
  <c r="Q43" i="18" s="1"/>
  <c r="R43" i="18" s="1"/>
  <c r="P44" i="18"/>
  <c r="Q44" i="18" s="1"/>
  <c r="R44" i="18" s="1"/>
  <c r="P45" i="18"/>
  <c r="Q45" i="18" s="1"/>
  <c r="R45" i="18" s="1"/>
  <c r="P46" i="18"/>
  <c r="P41" i="18"/>
  <c r="Q41" i="18" s="1"/>
  <c r="R41" i="18" s="1"/>
  <c r="L42" i="18"/>
  <c r="L43" i="18"/>
  <c r="L44" i="18"/>
  <c r="L45" i="18"/>
  <c r="L46" i="18"/>
  <c r="L41" i="18"/>
  <c r="H42" i="18"/>
  <c r="H43" i="18"/>
  <c r="I43" i="18" s="1"/>
  <c r="J43" i="18" s="1"/>
  <c r="H44" i="18"/>
  <c r="H45" i="18"/>
  <c r="I45" i="18" s="1"/>
  <c r="J45" i="18" s="1"/>
  <c r="H46" i="18"/>
  <c r="I46" i="18" s="1"/>
  <c r="J46" i="18" s="1"/>
  <c r="H41" i="18"/>
  <c r="I41" i="18" s="1"/>
  <c r="J41" i="18" s="1"/>
  <c r="D42" i="18"/>
  <c r="D43" i="18"/>
  <c r="D44" i="18"/>
  <c r="D45" i="18"/>
  <c r="D46" i="18"/>
  <c r="D41" i="18"/>
  <c r="L31" i="18"/>
  <c r="L32" i="18"/>
  <c r="P32" i="18" s="1"/>
  <c r="Q32" i="18" s="1"/>
  <c r="R32" i="18" s="1"/>
  <c r="L33" i="18"/>
  <c r="L34" i="18"/>
  <c r="P34" i="18" s="1"/>
  <c r="H34" i="18" s="1"/>
  <c r="I34" i="18" s="1"/>
  <c r="J34" i="18" s="1"/>
  <c r="L35" i="18"/>
  <c r="D35" i="18" s="1"/>
  <c r="L30" i="18"/>
  <c r="D30" i="18" s="1"/>
  <c r="L20" i="18"/>
  <c r="L21" i="18"/>
  <c r="L22" i="18"/>
  <c r="L23" i="18"/>
  <c r="L24" i="18"/>
  <c r="H24" i="18" s="1"/>
  <c r="I24" i="18" s="1"/>
  <c r="J24" i="18" s="1"/>
  <c r="L19" i="18"/>
  <c r="P19" i="18" s="1"/>
  <c r="Q19" i="18" s="1"/>
  <c r="R19" i="18" s="1"/>
  <c r="L8" i="18"/>
  <c r="P8" i="18" s="1"/>
  <c r="Q8" i="18" s="1"/>
  <c r="R8" i="18" s="1"/>
  <c r="L9" i="18"/>
  <c r="P9" i="18" s="1"/>
  <c r="Q9" i="18" s="1"/>
  <c r="R9" i="18" s="1"/>
  <c r="L10" i="18"/>
  <c r="M10" i="18" s="1"/>
  <c r="N10" i="18" s="1"/>
  <c r="L11" i="18"/>
  <c r="L12" i="18"/>
  <c r="H12" i="18" s="1"/>
  <c r="I12" i="18" s="1"/>
  <c r="J12" i="18" s="1"/>
  <c r="L13" i="18"/>
  <c r="M13" i="18" s="1"/>
  <c r="N13" i="18" s="1"/>
  <c r="Q55" i="18"/>
  <c r="R55" i="18" s="1"/>
  <c r="Q46" i="18"/>
  <c r="R46" i="18" s="1"/>
  <c r="I44" i="18"/>
  <c r="J44" i="18" s="1"/>
  <c r="I42" i="18"/>
  <c r="J42" i="18" s="1"/>
  <c r="H32" i="18"/>
  <c r="I32" i="18" s="1"/>
  <c r="J32" i="18" s="1"/>
  <c r="M11" i="18"/>
  <c r="N11" i="18" s="1"/>
  <c r="M9" i="18"/>
  <c r="N9" i="18" s="1"/>
  <c r="L42" i="17"/>
  <c r="L43" i="17"/>
  <c r="H43" i="17" s="1"/>
  <c r="I43" i="17" s="1"/>
  <c r="J43" i="17" s="1"/>
  <c r="L44" i="17"/>
  <c r="L45" i="17"/>
  <c r="D45" i="17" s="1"/>
  <c r="E45" i="17" s="1"/>
  <c r="F45" i="17" s="1"/>
  <c r="L46" i="17"/>
  <c r="L41" i="17"/>
  <c r="H46" i="17"/>
  <c r="I46" i="17" s="1"/>
  <c r="J46" i="17" s="1"/>
  <c r="D43" i="17"/>
  <c r="E43" i="17" s="1"/>
  <c r="F43" i="17" s="1"/>
  <c r="L31" i="17"/>
  <c r="M31" i="17" s="1"/>
  <c r="N31" i="17" s="1"/>
  <c r="L32" i="17"/>
  <c r="L33" i="17"/>
  <c r="M33" i="17" s="1"/>
  <c r="N33" i="17" s="1"/>
  <c r="L34" i="17"/>
  <c r="L35" i="17"/>
  <c r="M35" i="17" s="1"/>
  <c r="N35" i="17" s="1"/>
  <c r="L30" i="17"/>
  <c r="H31" i="17"/>
  <c r="I31" i="17" s="1"/>
  <c r="J31" i="17" s="1"/>
  <c r="H32" i="17"/>
  <c r="I32" i="17" s="1"/>
  <c r="J32" i="17" s="1"/>
  <c r="H33" i="17"/>
  <c r="I33" i="17" s="1"/>
  <c r="J33" i="17" s="1"/>
  <c r="H34" i="17"/>
  <c r="H35" i="17"/>
  <c r="I35" i="17" s="1"/>
  <c r="J35" i="17" s="1"/>
  <c r="H30" i="17"/>
  <c r="D31" i="17"/>
  <c r="D32" i="17"/>
  <c r="D33" i="17"/>
  <c r="E33" i="17" s="1"/>
  <c r="F33" i="17" s="1"/>
  <c r="D34" i="17"/>
  <c r="D35" i="17"/>
  <c r="E35" i="17" s="1"/>
  <c r="F35" i="17" s="1"/>
  <c r="D30" i="17"/>
  <c r="H20" i="17"/>
  <c r="D20" i="17" s="1"/>
  <c r="E20" i="17" s="1"/>
  <c r="F20" i="17" s="1"/>
  <c r="H21" i="17"/>
  <c r="D21" i="17" s="1"/>
  <c r="E21" i="17" s="1"/>
  <c r="F21" i="17" s="1"/>
  <c r="H22" i="17"/>
  <c r="I22" i="17" s="1"/>
  <c r="J22" i="17" s="1"/>
  <c r="H23" i="17"/>
  <c r="H24" i="17"/>
  <c r="H19" i="17"/>
  <c r="L19" i="17" s="1"/>
  <c r="M19" i="17" s="1"/>
  <c r="N19" i="17" s="1"/>
  <c r="H9" i="17"/>
  <c r="H10" i="17"/>
  <c r="H11" i="17"/>
  <c r="D11" i="17" s="1"/>
  <c r="E11" i="17" s="1"/>
  <c r="F11" i="17" s="1"/>
  <c r="H12" i="17"/>
  <c r="I12" i="17" s="1"/>
  <c r="J12" i="17" s="1"/>
  <c r="H13" i="17"/>
  <c r="L13" i="17" s="1"/>
  <c r="M13" i="17" s="1"/>
  <c r="N13" i="17" s="1"/>
  <c r="H8" i="17"/>
  <c r="M45" i="17"/>
  <c r="N45" i="17" s="1"/>
  <c r="M34" i="17"/>
  <c r="N34" i="17" s="1"/>
  <c r="I34" i="17"/>
  <c r="J34" i="17" s="1"/>
  <c r="E34" i="17"/>
  <c r="F34" i="17" s="1"/>
  <c r="M32" i="17"/>
  <c r="N32" i="17" s="1"/>
  <c r="E32" i="17"/>
  <c r="F32" i="17" s="1"/>
  <c r="E31" i="17"/>
  <c r="F31" i="17" s="1"/>
  <c r="M30" i="17"/>
  <c r="N30" i="17" s="1"/>
  <c r="I30" i="17"/>
  <c r="J30" i="17" s="1"/>
  <c r="E30" i="17"/>
  <c r="F30" i="17" s="1"/>
  <c r="I20" i="17"/>
  <c r="J20" i="17" s="1"/>
  <c r="I10" i="17"/>
  <c r="J10" i="17" s="1"/>
  <c r="P53" i="16"/>
  <c r="P54" i="16"/>
  <c r="P55" i="16"/>
  <c r="P56" i="16"/>
  <c r="P57" i="16"/>
  <c r="P52" i="16"/>
  <c r="L53" i="16"/>
  <c r="L54" i="16"/>
  <c r="L55" i="16"/>
  <c r="M55" i="16" s="1"/>
  <c r="N55" i="16" s="1"/>
  <c r="L56" i="16"/>
  <c r="M56" i="16" s="1"/>
  <c r="N56" i="16" s="1"/>
  <c r="L57" i="16"/>
  <c r="L52" i="16"/>
  <c r="M52" i="16" s="1"/>
  <c r="N52" i="16" s="1"/>
  <c r="H53" i="16"/>
  <c r="H54" i="16"/>
  <c r="H55" i="16"/>
  <c r="H56" i="16"/>
  <c r="H57" i="16"/>
  <c r="H52" i="16"/>
  <c r="D53" i="16"/>
  <c r="E53" i="16" s="1"/>
  <c r="F53" i="16" s="1"/>
  <c r="D54" i="16"/>
  <c r="E54" i="16" s="1"/>
  <c r="F54" i="16" s="1"/>
  <c r="Q54" i="16" s="1"/>
  <c r="R54" i="16" s="1"/>
  <c r="D55" i="16"/>
  <c r="D56" i="16"/>
  <c r="D57" i="16"/>
  <c r="E57" i="16" s="1"/>
  <c r="F57" i="16" s="1"/>
  <c r="Q57" i="16" s="1"/>
  <c r="R57" i="16" s="1"/>
  <c r="D52" i="16"/>
  <c r="E52" i="16" s="1"/>
  <c r="F52" i="16" s="1"/>
  <c r="Q52" i="16" s="1"/>
  <c r="R52" i="16" s="1"/>
  <c r="P42" i="16"/>
  <c r="D42" i="16" s="1"/>
  <c r="P43" i="16"/>
  <c r="P44" i="16"/>
  <c r="H44" i="16" s="1"/>
  <c r="P45" i="16"/>
  <c r="D45" i="16" s="1"/>
  <c r="E45" i="16" s="1"/>
  <c r="F45" i="16" s="1"/>
  <c r="Q45" i="16" s="1"/>
  <c r="R45" i="16" s="1"/>
  <c r="P46" i="16"/>
  <c r="D46" i="16" s="1"/>
  <c r="E46" i="16" s="1"/>
  <c r="F46" i="16" s="1"/>
  <c r="Q46" i="16" s="1"/>
  <c r="R46" i="16" s="1"/>
  <c r="P41" i="16"/>
  <c r="L41" i="16" s="1"/>
  <c r="M41" i="16" s="1"/>
  <c r="N41" i="16" s="1"/>
  <c r="P31" i="16"/>
  <c r="H31" i="16" s="1"/>
  <c r="P32" i="16"/>
  <c r="L32" i="16" s="1"/>
  <c r="M32" i="16" s="1"/>
  <c r="N32" i="16" s="1"/>
  <c r="P33" i="16"/>
  <c r="P34" i="16"/>
  <c r="P35" i="16"/>
  <c r="H35" i="16" s="1"/>
  <c r="P30" i="16"/>
  <c r="P20" i="16"/>
  <c r="D20" i="16" s="1"/>
  <c r="E20" i="16" s="1"/>
  <c r="F20" i="16" s="1"/>
  <c r="Q20" i="16" s="1"/>
  <c r="R20" i="16" s="1"/>
  <c r="P21" i="16"/>
  <c r="P22" i="16"/>
  <c r="L22" i="16" s="1"/>
  <c r="M22" i="16" s="1"/>
  <c r="N22" i="16" s="1"/>
  <c r="P23" i="16"/>
  <c r="P24" i="16"/>
  <c r="H24" i="16" s="1"/>
  <c r="P19" i="16"/>
  <c r="P9" i="16"/>
  <c r="P10" i="16"/>
  <c r="P11" i="16"/>
  <c r="P12" i="16"/>
  <c r="P13" i="16"/>
  <c r="P8" i="16"/>
  <c r="L9" i="16"/>
  <c r="M9" i="16" s="1"/>
  <c r="N9" i="16" s="1"/>
  <c r="L10" i="16"/>
  <c r="M10" i="16" s="1"/>
  <c r="N10" i="16" s="1"/>
  <c r="L11" i="16"/>
  <c r="L12" i="16"/>
  <c r="M12" i="16" s="1"/>
  <c r="N12" i="16" s="1"/>
  <c r="L13" i="16"/>
  <c r="M13" i="16" s="1"/>
  <c r="N13" i="16" s="1"/>
  <c r="L8" i="16"/>
  <c r="M8" i="16" s="1"/>
  <c r="N8" i="16" s="1"/>
  <c r="H9" i="16"/>
  <c r="H10" i="16"/>
  <c r="I10" i="16" s="1"/>
  <c r="J10" i="16" s="1"/>
  <c r="H11" i="16"/>
  <c r="I11" i="16" s="1"/>
  <c r="J11" i="16" s="1"/>
  <c r="H12" i="16"/>
  <c r="I12" i="16" s="1"/>
  <c r="J12" i="16" s="1"/>
  <c r="H13" i="16"/>
  <c r="H8" i="16"/>
  <c r="I8" i="16" s="1"/>
  <c r="J8" i="16" s="1"/>
  <c r="D8" i="16"/>
  <c r="D9" i="16"/>
  <c r="D10" i="16"/>
  <c r="D12" i="16"/>
  <c r="E12" i="16" s="1"/>
  <c r="F12" i="16" s="1"/>
  <c r="Q12" i="16" s="1"/>
  <c r="R12" i="16" s="1"/>
  <c r="D13" i="16"/>
  <c r="E13" i="16" s="1"/>
  <c r="F13" i="16" s="1"/>
  <c r="Q13" i="16" s="1"/>
  <c r="R13" i="16" s="1"/>
  <c r="M57" i="16"/>
  <c r="N57" i="16" s="1"/>
  <c r="E56" i="16"/>
  <c r="F56" i="16" s="1"/>
  <c r="Q56" i="16" s="1"/>
  <c r="R56" i="16" s="1"/>
  <c r="E55" i="16"/>
  <c r="F55" i="16" s="1"/>
  <c r="M54" i="16"/>
  <c r="N54" i="16" s="1"/>
  <c r="M53" i="16"/>
  <c r="N53" i="16" s="1"/>
  <c r="E42" i="16"/>
  <c r="F42" i="16" s="1"/>
  <c r="Q42" i="16" s="1"/>
  <c r="R42" i="16" s="1"/>
  <c r="I13" i="16"/>
  <c r="J13" i="16" s="1"/>
  <c r="M11" i="16"/>
  <c r="N11" i="16" s="1"/>
  <c r="E11" i="16"/>
  <c r="F11" i="16" s="1"/>
  <c r="Q11" i="16" s="1"/>
  <c r="R11" i="16" s="1"/>
  <c r="E10" i="16"/>
  <c r="F10" i="16" s="1"/>
  <c r="Q10" i="16" s="1"/>
  <c r="R10" i="16" s="1"/>
  <c r="I9" i="16"/>
  <c r="J9" i="16" s="1"/>
  <c r="E9" i="16"/>
  <c r="F9" i="16" s="1"/>
  <c r="Q9" i="16" s="1"/>
  <c r="R9" i="16" s="1"/>
  <c r="E8" i="16"/>
  <c r="F8" i="16" s="1"/>
  <c r="E28" i="2"/>
  <c r="F28" i="2" s="1"/>
  <c r="E27" i="2"/>
  <c r="F27" i="2" s="1"/>
  <c r="E26" i="2"/>
  <c r="E25" i="2"/>
  <c r="E24" i="2"/>
  <c r="E23" i="2"/>
  <c r="F23" i="2" s="1"/>
  <c r="F26" i="2"/>
  <c r="F25" i="2"/>
  <c r="F24" i="2"/>
  <c r="L46" i="10"/>
  <c r="L45" i="10"/>
  <c r="D45" i="10" s="1"/>
  <c r="L44" i="10"/>
  <c r="M44" i="10" s="1"/>
  <c r="N44" i="10" s="1"/>
  <c r="L43" i="10"/>
  <c r="D43" i="10" s="1"/>
  <c r="L42" i="10"/>
  <c r="M42" i="10" s="1"/>
  <c r="N42" i="10" s="1"/>
  <c r="L41" i="10"/>
  <c r="D41" i="10" s="1"/>
  <c r="L35" i="10"/>
  <c r="M35" i="10" s="1"/>
  <c r="N35" i="10" s="1"/>
  <c r="H35" i="10"/>
  <c r="D35" i="10"/>
  <c r="E35" i="10" s="1"/>
  <c r="F35" i="10" s="1"/>
  <c r="L34" i="10"/>
  <c r="H34" i="10"/>
  <c r="I34" i="10" s="1"/>
  <c r="J34" i="10" s="1"/>
  <c r="D34" i="10"/>
  <c r="L33" i="10"/>
  <c r="M33" i="10" s="1"/>
  <c r="N33" i="10" s="1"/>
  <c r="H33" i="10"/>
  <c r="E33" i="10"/>
  <c r="F33" i="10" s="1"/>
  <c r="D33" i="10"/>
  <c r="L32" i="10"/>
  <c r="H32" i="10"/>
  <c r="I32" i="10" s="1"/>
  <c r="J32" i="10" s="1"/>
  <c r="D32" i="10"/>
  <c r="L31" i="10"/>
  <c r="M31" i="10" s="1"/>
  <c r="N31" i="10" s="1"/>
  <c r="H31" i="10"/>
  <c r="D31" i="10"/>
  <c r="E31" i="10" s="1"/>
  <c r="F31" i="10" s="1"/>
  <c r="L30" i="10"/>
  <c r="H30" i="10"/>
  <c r="I30" i="10" s="1"/>
  <c r="J30" i="10" s="1"/>
  <c r="D30" i="10"/>
  <c r="H24" i="10"/>
  <c r="H23" i="10"/>
  <c r="H22" i="10"/>
  <c r="H21" i="10"/>
  <c r="L21" i="10" s="1"/>
  <c r="H20" i="10"/>
  <c r="H19" i="10"/>
  <c r="L19" i="10" s="1"/>
  <c r="H13" i="10"/>
  <c r="H12" i="10"/>
  <c r="L12" i="10" s="1"/>
  <c r="H11" i="10"/>
  <c r="H10" i="10"/>
  <c r="H9" i="10"/>
  <c r="H8" i="10"/>
  <c r="I8" i="10" s="1"/>
  <c r="J8" i="10" s="1"/>
  <c r="E16" i="2"/>
  <c r="F16" i="2" s="1"/>
  <c r="E17" i="2"/>
  <c r="F17" i="2" s="1"/>
  <c r="M24" i="3"/>
  <c r="N24" i="3" s="1"/>
  <c r="M25" i="3"/>
  <c r="N25" i="3" s="1"/>
  <c r="M26" i="3"/>
  <c r="N26" i="3" s="1"/>
  <c r="M23" i="3"/>
  <c r="N23" i="3" s="1"/>
  <c r="I24" i="3"/>
  <c r="J24" i="3" s="1"/>
  <c r="I25" i="3"/>
  <c r="J25" i="3" s="1"/>
  <c r="I26" i="3"/>
  <c r="J26" i="3" s="1"/>
  <c r="I27" i="3"/>
  <c r="J27" i="3" s="1"/>
  <c r="I28" i="3"/>
  <c r="J28" i="3" s="1"/>
  <c r="I29" i="3"/>
  <c r="J29" i="3" s="1"/>
  <c r="I30" i="3"/>
  <c r="J30" i="3" s="1"/>
  <c r="I31" i="3"/>
  <c r="J31" i="3" s="1"/>
  <c r="I23" i="3"/>
  <c r="J23" i="3" s="1"/>
  <c r="E24" i="3"/>
  <c r="F24" i="3" s="1"/>
  <c r="E25" i="3"/>
  <c r="F25" i="3" s="1"/>
  <c r="E26" i="3"/>
  <c r="F26" i="3" s="1"/>
  <c r="E27" i="3"/>
  <c r="F27" i="3" s="1"/>
  <c r="E28" i="3"/>
  <c r="F28" i="3" s="1"/>
  <c r="E29" i="3"/>
  <c r="F29" i="3" s="1"/>
  <c r="E30" i="3"/>
  <c r="F30" i="3" s="1"/>
  <c r="E31" i="3"/>
  <c r="F31" i="3" s="1"/>
  <c r="E23" i="3"/>
  <c r="F23" i="3" s="1"/>
  <c r="AG9" i="3"/>
  <c r="AH9" i="3" s="1"/>
  <c r="AG10" i="3"/>
  <c r="AH10" i="3" s="1"/>
  <c r="AG11" i="3"/>
  <c r="AH11" i="3" s="1"/>
  <c r="AG12" i="3"/>
  <c r="AH12" i="3" s="1"/>
  <c r="AG13" i="3"/>
  <c r="AH13" i="3" s="1"/>
  <c r="AG14" i="3"/>
  <c r="AH14" i="3" s="1"/>
  <c r="AG15" i="3"/>
  <c r="AH15" i="3" s="1"/>
  <c r="AG16" i="3"/>
  <c r="AH16" i="3" s="1"/>
  <c r="AG8" i="3"/>
  <c r="AH8" i="3" s="1"/>
  <c r="AC9" i="3"/>
  <c r="AD9" i="3" s="1"/>
  <c r="AC10" i="3"/>
  <c r="AD10" i="3" s="1"/>
  <c r="AC11" i="3"/>
  <c r="AD11" i="3" s="1"/>
  <c r="AC12" i="3"/>
  <c r="AD12" i="3" s="1"/>
  <c r="AC13" i="3"/>
  <c r="AD13" i="3" s="1"/>
  <c r="AC14" i="3"/>
  <c r="AD14" i="3" s="1"/>
  <c r="AC15" i="3"/>
  <c r="AD15" i="3" s="1"/>
  <c r="AC16" i="3"/>
  <c r="AD16" i="3" s="1"/>
  <c r="AC8" i="3"/>
  <c r="AD8" i="3" s="1"/>
  <c r="Y9" i="3"/>
  <c r="Z9" i="3" s="1"/>
  <c r="Y10" i="3"/>
  <c r="Z10" i="3" s="1"/>
  <c r="Y11" i="3"/>
  <c r="Z11" i="3" s="1"/>
  <c r="Y12" i="3"/>
  <c r="Z12" i="3" s="1"/>
  <c r="Y13" i="3"/>
  <c r="Z13" i="3" s="1"/>
  <c r="Y14" i="3"/>
  <c r="Z14" i="3" s="1"/>
  <c r="Y15" i="3"/>
  <c r="Z15" i="3" s="1"/>
  <c r="Y16" i="3"/>
  <c r="Z16" i="3" s="1"/>
  <c r="Y8" i="3"/>
  <c r="Z8" i="3" s="1"/>
  <c r="U9" i="3"/>
  <c r="V9" i="3" s="1"/>
  <c r="U10" i="3"/>
  <c r="V10" i="3" s="1"/>
  <c r="U11" i="3"/>
  <c r="V11" i="3" s="1"/>
  <c r="U12" i="3"/>
  <c r="V12" i="3" s="1"/>
  <c r="U13" i="3"/>
  <c r="V13" i="3" s="1"/>
  <c r="U14" i="3"/>
  <c r="V14" i="3" s="1"/>
  <c r="U15" i="3"/>
  <c r="V15" i="3" s="1"/>
  <c r="U16" i="3"/>
  <c r="V16" i="3" s="1"/>
  <c r="U8" i="3"/>
  <c r="V8" i="3" s="1"/>
  <c r="Q9" i="3"/>
  <c r="R9" i="3" s="1"/>
  <c r="Q10" i="3"/>
  <c r="R10" i="3" s="1"/>
  <c r="Q11" i="3"/>
  <c r="R11" i="3" s="1"/>
  <c r="Q12" i="3"/>
  <c r="R12" i="3" s="1"/>
  <c r="Q13" i="3"/>
  <c r="R13" i="3" s="1"/>
  <c r="Q14" i="3"/>
  <c r="R14" i="3" s="1"/>
  <c r="Q15" i="3"/>
  <c r="R15" i="3" s="1"/>
  <c r="Q16" i="3"/>
  <c r="R16" i="3" s="1"/>
  <c r="Q8" i="3"/>
  <c r="R8" i="3" s="1"/>
  <c r="M9" i="3"/>
  <c r="N9" i="3" s="1"/>
  <c r="M10" i="3"/>
  <c r="N10" i="3" s="1"/>
  <c r="M11" i="3"/>
  <c r="N11" i="3" s="1"/>
  <c r="M12" i="3"/>
  <c r="N12" i="3" s="1"/>
  <c r="M13" i="3"/>
  <c r="N13" i="3" s="1"/>
  <c r="M14" i="3"/>
  <c r="N14" i="3" s="1"/>
  <c r="M15" i="3"/>
  <c r="N15" i="3" s="1"/>
  <c r="M16" i="3"/>
  <c r="N16" i="3" s="1"/>
  <c r="M8" i="3"/>
  <c r="N8" i="3" s="1"/>
  <c r="I9" i="3"/>
  <c r="J9" i="3" s="1"/>
  <c r="I10" i="3"/>
  <c r="J10" i="3" s="1"/>
  <c r="I11" i="3"/>
  <c r="J11" i="3" s="1"/>
  <c r="I12" i="3"/>
  <c r="J12" i="3" s="1"/>
  <c r="I13" i="3"/>
  <c r="J13" i="3" s="1"/>
  <c r="I14" i="3"/>
  <c r="J14" i="3" s="1"/>
  <c r="I15" i="3"/>
  <c r="J15" i="3" s="1"/>
  <c r="I16" i="3"/>
  <c r="J16" i="3" s="1"/>
  <c r="I8" i="3"/>
  <c r="J8" i="3" s="1"/>
  <c r="E9" i="3"/>
  <c r="F9" i="3" s="1"/>
  <c r="E10" i="3"/>
  <c r="F10" i="3" s="1"/>
  <c r="E11" i="3"/>
  <c r="F11" i="3" s="1"/>
  <c r="E12" i="3"/>
  <c r="F12" i="3" s="1"/>
  <c r="E13" i="3"/>
  <c r="F13" i="3" s="1"/>
  <c r="E14" i="3"/>
  <c r="F14" i="3" s="1"/>
  <c r="E15" i="3"/>
  <c r="F15" i="3" s="1"/>
  <c r="E16" i="3"/>
  <c r="F16" i="3" s="1"/>
  <c r="E8" i="3"/>
  <c r="F8" i="3" s="1"/>
  <c r="I39" i="2"/>
  <c r="J39" i="2" s="1"/>
  <c r="I40" i="2"/>
  <c r="J40" i="2" s="1"/>
  <c r="I41" i="2"/>
  <c r="J41" i="2" s="1"/>
  <c r="I42" i="2"/>
  <c r="J42" i="2" s="1"/>
  <c r="I43" i="2"/>
  <c r="J43" i="2" s="1"/>
  <c r="I44" i="2"/>
  <c r="J44" i="2" s="1"/>
  <c r="I45" i="2"/>
  <c r="J45" i="2" s="1"/>
  <c r="I46" i="2"/>
  <c r="J46" i="2" s="1"/>
  <c r="I38" i="2"/>
  <c r="J38" i="2" s="1"/>
  <c r="I24" i="2"/>
  <c r="J24" i="2" s="1"/>
  <c r="I25" i="2"/>
  <c r="J25" i="2" s="1"/>
  <c r="I26" i="2"/>
  <c r="J26" i="2" s="1"/>
  <c r="I27" i="2"/>
  <c r="J27" i="2" s="1"/>
  <c r="I28" i="2"/>
  <c r="J28" i="2" s="1"/>
  <c r="I29" i="2"/>
  <c r="J29" i="2" s="1"/>
  <c r="I30" i="2"/>
  <c r="J30" i="2" s="1"/>
  <c r="I31" i="2"/>
  <c r="J31" i="2" s="1"/>
  <c r="I32" i="2"/>
  <c r="J32" i="2" s="1"/>
  <c r="I23" i="2"/>
  <c r="J23" i="2" s="1"/>
  <c r="I9" i="2"/>
  <c r="J9" i="2" s="1"/>
  <c r="I10" i="2"/>
  <c r="J10" i="2" s="1"/>
  <c r="I11" i="2"/>
  <c r="J11" i="2" s="1"/>
  <c r="I12" i="2"/>
  <c r="J12" i="2" s="1"/>
  <c r="I13" i="2"/>
  <c r="J13" i="2" s="1"/>
  <c r="I14" i="2"/>
  <c r="J14" i="2" s="1"/>
  <c r="I15" i="2"/>
  <c r="J15" i="2" s="1"/>
  <c r="I16" i="2"/>
  <c r="J16" i="2" s="1"/>
  <c r="I17" i="2"/>
  <c r="J17" i="2" s="1"/>
  <c r="I8" i="2"/>
  <c r="J8" i="2" s="1"/>
  <c r="E39" i="2"/>
  <c r="F39" i="2" s="1"/>
  <c r="E40" i="2"/>
  <c r="F40" i="2" s="1"/>
  <c r="E41" i="2"/>
  <c r="F41" i="2" s="1"/>
  <c r="E42" i="2"/>
  <c r="F42" i="2" s="1"/>
  <c r="E43" i="2"/>
  <c r="F43" i="2" s="1"/>
  <c r="E44" i="2"/>
  <c r="F44" i="2" s="1"/>
  <c r="E45" i="2"/>
  <c r="F45" i="2" s="1"/>
  <c r="E46" i="2"/>
  <c r="F46" i="2" s="1"/>
  <c r="E38" i="2"/>
  <c r="F38" i="2" s="1"/>
  <c r="E29" i="2"/>
  <c r="F29" i="2" s="1"/>
  <c r="E30" i="2"/>
  <c r="F30" i="2" s="1"/>
  <c r="E31" i="2"/>
  <c r="F31" i="2" s="1"/>
  <c r="E32" i="2"/>
  <c r="F32" i="2" s="1"/>
  <c r="E9" i="2"/>
  <c r="F9" i="2" s="1"/>
  <c r="E10" i="2"/>
  <c r="F10" i="2" s="1"/>
  <c r="E11" i="2"/>
  <c r="F11" i="2" s="1"/>
  <c r="E12" i="2"/>
  <c r="F12" i="2" s="1"/>
  <c r="E13" i="2"/>
  <c r="F13" i="2" s="1"/>
  <c r="E14" i="2"/>
  <c r="F14" i="2" s="1"/>
  <c r="E15" i="2"/>
  <c r="F15" i="2" s="1"/>
  <c r="E8" i="2"/>
  <c r="F8" i="2" s="1"/>
  <c r="C22" i="4"/>
  <c r="M10" i="5"/>
  <c r="N10" i="5" s="1"/>
  <c r="D104" i="3"/>
  <c r="AF104" i="3" s="1"/>
  <c r="AG104" i="3" s="1"/>
  <c r="AH104" i="3" s="1"/>
  <c r="D105" i="3"/>
  <c r="AF105" i="3" s="1"/>
  <c r="AG105" i="3" s="1"/>
  <c r="AH105" i="3" s="1"/>
  <c r="D106" i="3"/>
  <c r="AF106" i="3" s="1"/>
  <c r="AG106" i="3" s="1"/>
  <c r="AH106" i="3" s="1"/>
  <c r="D107" i="3"/>
  <c r="AF107" i="3" s="1"/>
  <c r="AG107" i="3" s="1"/>
  <c r="AH107" i="3" s="1"/>
  <c r="D108" i="3"/>
  <c r="AF108" i="3" s="1"/>
  <c r="AG108" i="3" s="1"/>
  <c r="AH108" i="3" s="1"/>
  <c r="D103" i="3"/>
  <c r="H103" i="3" s="1"/>
  <c r="I103" i="3" s="1"/>
  <c r="J103" i="3" s="1"/>
  <c r="D93" i="3"/>
  <c r="AF93" i="3" s="1"/>
  <c r="AG93" i="3" s="1"/>
  <c r="AH93" i="3" s="1"/>
  <c r="D94" i="3"/>
  <c r="AF94" i="3" s="1"/>
  <c r="AG94" i="3" s="1"/>
  <c r="AH94" i="3" s="1"/>
  <c r="D95" i="3"/>
  <c r="AF95" i="3" s="1"/>
  <c r="AG95" i="3" s="1"/>
  <c r="AH95" i="3" s="1"/>
  <c r="D96" i="3"/>
  <c r="AF96" i="3" s="1"/>
  <c r="AG96" i="3" s="1"/>
  <c r="AH96" i="3" s="1"/>
  <c r="D97" i="3"/>
  <c r="AF97" i="3" s="1"/>
  <c r="AG97" i="3" s="1"/>
  <c r="AH97" i="3" s="1"/>
  <c r="D92" i="3"/>
  <c r="AF92" i="3" s="1"/>
  <c r="AG92" i="3" s="1"/>
  <c r="AH92" i="3" s="1"/>
  <c r="D82" i="3"/>
  <c r="AF82" i="3" s="1"/>
  <c r="AG82" i="3" s="1"/>
  <c r="AH82" i="3" s="1"/>
  <c r="D83" i="3"/>
  <c r="AF83" i="3" s="1"/>
  <c r="AG83" i="3" s="1"/>
  <c r="AH83" i="3" s="1"/>
  <c r="D84" i="3"/>
  <c r="AF84" i="3" s="1"/>
  <c r="AG84" i="3" s="1"/>
  <c r="AH84" i="3" s="1"/>
  <c r="D85" i="3"/>
  <c r="AF85" i="3" s="1"/>
  <c r="AG85" i="3" s="1"/>
  <c r="AH85" i="3" s="1"/>
  <c r="D86" i="3"/>
  <c r="AF86" i="3" s="1"/>
  <c r="AG86" i="3" s="1"/>
  <c r="AH86" i="3" s="1"/>
  <c r="D81" i="3"/>
  <c r="AF81" i="3" s="1"/>
  <c r="AG81" i="3" s="1"/>
  <c r="AH81" i="3" s="1"/>
  <c r="D71" i="3"/>
  <c r="AF71" i="3" s="1"/>
  <c r="AG71" i="3" s="1"/>
  <c r="AH71" i="3" s="1"/>
  <c r="D72" i="3"/>
  <c r="AF72" i="3" s="1"/>
  <c r="AG72" i="3" s="1"/>
  <c r="AH72" i="3" s="1"/>
  <c r="D73" i="3"/>
  <c r="AF73" i="3" s="1"/>
  <c r="AG73" i="3" s="1"/>
  <c r="AH73" i="3" s="1"/>
  <c r="D74" i="3"/>
  <c r="AF74" i="3" s="1"/>
  <c r="AG74" i="3" s="1"/>
  <c r="AH74" i="3" s="1"/>
  <c r="D75" i="3"/>
  <c r="AF75" i="3" s="1"/>
  <c r="AG75" i="3" s="1"/>
  <c r="AH75" i="3" s="1"/>
  <c r="D70" i="3"/>
  <c r="AF70" i="3" s="1"/>
  <c r="AG70" i="3" s="1"/>
  <c r="AH70" i="3" s="1"/>
  <c r="D60" i="3"/>
  <c r="AF60" i="3" s="1"/>
  <c r="AG60" i="3" s="1"/>
  <c r="AH60" i="3" s="1"/>
  <c r="D61" i="3"/>
  <c r="AF61" i="3" s="1"/>
  <c r="AG61" i="3" s="1"/>
  <c r="AH61" i="3" s="1"/>
  <c r="D62" i="3"/>
  <c r="AF62" i="3" s="1"/>
  <c r="AG62" i="3" s="1"/>
  <c r="AH62" i="3" s="1"/>
  <c r="D63" i="3"/>
  <c r="AF63" i="3" s="1"/>
  <c r="AG63" i="3" s="1"/>
  <c r="AH63" i="3" s="1"/>
  <c r="D64" i="3"/>
  <c r="AF64" i="3" s="1"/>
  <c r="AG64" i="3" s="1"/>
  <c r="AH64" i="3" s="1"/>
  <c r="D59" i="3"/>
  <c r="AF59" i="3" s="1"/>
  <c r="AG59" i="3" s="1"/>
  <c r="AH59" i="3" s="1"/>
  <c r="D49" i="3"/>
  <c r="AF49" i="3" s="1"/>
  <c r="AG49" i="3" s="1"/>
  <c r="AH49" i="3" s="1"/>
  <c r="D50" i="3"/>
  <c r="AF50" i="3" s="1"/>
  <c r="AG50" i="3" s="1"/>
  <c r="AH50" i="3" s="1"/>
  <c r="D51" i="3"/>
  <c r="AF51" i="3" s="1"/>
  <c r="AG51" i="3" s="1"/>
  <c r="AH51" i="3" s="1"/>
  <c r="D52" i="3"/>
  <c r="AF52" i="3" s="1"/>
  <c r="AG52" i="3" s="1"/>
  <c r="AH52" i="3" s="1"/>
  <c r="D53" i="3"/>
  <c r="AF53" i="3" s="1"/>
  <c r="AG53" i="3" s="1"/>
  <c r="AH53" i="3" s="1"/>
  <c r="D48" i="3"/>
  <c r="AF48" i="3" s="1"/>
  <c r="AG48" i="3" s="1"/>
  <c r="AH48" i="3" s="1"/>
  <c r="D37" i="3"/>
  <c r="AF37" i="3" s="1"/>
  <c r="AG37" i="3" s="1"/>
  <c r="AH37" i="3" s="1"/>
  <c r="D38" i="3"/>
  <c r="AF38" i="3" s="1"/>
  <c r="AG38" i="3" s="1"/>
  <c r="AH38" i="3" s="1"/>
  <c r="D39" i="3"/>
  <c r="AF39" i="3" s="1"/>
  <c r="AG39" i="3" s="1"/>
  <c r="AH39" i="3" s="1"/>
  <c r="D40" i="3"/>
  <c r="AF40" i="3" s="1"/>
  <c r="AG40" i="3" s="1"/>
  <c r="AH40" i="3" s="1"/>
  <c r="D41" i="3"/>
  <c r="AF41" i="3" s="1"/>
  <c r="AG41" i="3" s="1"/>
  <c r="AH41" i="3" s="1"/>
  <c r="D42" i="3"/>
  <c r="AF42" i="3" s="1"/>
  <c r="AG42" i="3" s="1"/>
  <c r="AH42" i="3" s="1"/>
  <c r="L53" i="12"/>
  <c r="N53" i="12" s="1"/>
  <c r="L54" i="12"/>
  <c r="D54" i="12" s="1"/>
  <c r="E54" i="12" s="1"/>
  <c r="F54" i="12" s="1"/>
  <c r="L55" i="12"/>
  <c r="M55" i="12" s="1"/>
  <c r="L56" i="12"/>
  <c r="L57" i="12"/>
  <c r="M57" i="12" s="1"/>
  <c r="L52" i="12"/>
  <c r="M52" i="12" s="1"/>
  <c r="L42" i="12"/>
  <c r="P42" i="12" s="1"/>
  <c r="Q42" i="12" s="1"/>
  <c r="R42" i="12" s="1"/>
  <c r="L43" i="12"/>
  <c r="L44" i="12"/>
  <c r="L45" i="12"/>
  <c r="L46" i="12"/>
  <c r="M46" i="12" s="1"/>
  <c r="N46" i="12" s="1"/>
  <c r="L41" i="12"/>
  <c r="M41" i="12" s="1"/>
  <c r="N41" i="12" s="1"/>
  <c r="P31" i="12"/>
  <c r="Q31" i="12" s="1"/>
  <c r="R31" i="12" s="1"/>
  <c r="P32" i="12"/>
  <c r="Q32" i="12" s="1"/>
  <c r="R32" i="12" s="1"/>
  <c r="P33" i="12"/>
  <c r="Q33" i="12" s="1"/>
  <c r="R33" i="12" s="1"/>
  <c r="P34" i="12"/>
  <c r="Q34" i="12" s="1"/>
  <c r="R34" i="12" s="1"/>
  <c r="P35" i="12"/>
  <c r="Q35" i="12" s="1"/>
  <c r="R35" i="12" s="1"/>
  <c r="P30" i="12"/>
  <c r="Q30" i="12" s="1"/>
  <c r="R30" i="12" s="1"/>
  <c r="L31" i="12"/>
  <c r="M31" i="12" s="1"/>
  <c r="N31" i="12" s="1"/>
  <c r="L32" i="12"/>
  <c r="M32" i="12" s="1"/>
  <c r="N32" i="12" s="1"/>
  <c r="L33" i="12"/>
  <c r="M33" i="12" s="1"/>
  <c r="N33" i="12" s="1"/>
  <c r="L34" i="12"/>
  <c r="M34" i="12" s="1"/>
  <c r="N34" i="12" s="1"/>
  <c r="L35" i="12"/>
  <c r="M35" i="12" s="1"/>
  <c r="N35" i="12" s="1"/>
  <c r="L30" i="12"/>
  <c r="M30" i="12" s="1"/>
  <c r="N30" i="12" s="1"/>
  <c r="H31" i="12"/>
  <c r="I31" i="12" s="1"/>
  <c r="J31" i="12" s="1"/>
  <c r="H32" i="12"/>
  <c r="I32" i="12" s="1"/>
  <c r="J32" i="12" s="1"/>
  <c r="H33" i="12"/>
  <c r="I33" i="12" s="1"/>
  <c r="J33" i="12" s="1"/>
  <c r="H34" i="12"/>
  <c r="I34" i="12" s="1"/>
  <c r="J34" i="12" s="1"/>
  <c r="H35" i="12"/>
  <c r="I35" i="12" s="1"/>
  <c r="J35" i="12" s="1"/>
  <c r="H30" i="12"/>
  <c r="I30" i="12" s="1"/>
  <c r="J30" i="12" s="1"/>
  <c r="D31" i="12"/>
  <c r="E31" i="12" s="1"/>
  <c r="F31" i="12" s="1"/>
  <c r="D32" i="12"/>
  <c r="E32" i="12" s="1"/>
  <c r="F32" i="12" s="1"/>
  <c r="D33" i="12"/>
  <c r="E33" i="12" s="1"/>
  <c r="F33" i="12" s="1"/>
  <c r="D34" i="12"/>
  <c r="E34" i="12" s="1"/>
  <c r="F34" i="12" s="1"/>
  <c r="D35" i="12"/>
  <c r="E35" i="12" s="1"/>
  <c r="F35" i="12" s="1"/>
  <c r="D30" i="12"/>
  <c r="E30" i="12" s="1"/>
  <c r="F30" i="12" s="1"/>
  <c r="H20" i="12"/>
  <c r="P20" i="12" s="1"/>
  <c r="Q20" i="12" s="1"/>
  <c r="R20" i="12" s="1"/>
  <c r="H21" i="12"/>
  <c r="L21" i="12" s="1"/>
  <c r="M21" i="12" s="1"/>
  <c r="N21" i="12" s="1"/>
  <c r="H22" i="12"/>
  <c r="H23" i="12"/>
  <c r="H24" i="12"/>
  <c r="P24" i="12" s="1"/>
  <c r="Q24" i="12" s="1"/>
  <c r="R24" i="12" s="1"/>
  <c r="H19" i="12"/>
  <c r="I19" i="12" s="1"/>
  <c r="J19" i="12" s="1"/>
  <c r="H9" i="12"/>
  <c r="L9" i="12" s="1"/>
  <c r="M9" i="12" s="1"/>
  <c r="N9" i="12" s="1"/>
  <c r="H10" i="12"/>
  <c r="L10" i="12" s="1"/>
  <c r="M10" i="12" s="1"/>
  <c r="N10" i="12" s="1"/>
  <c r="H11" i="12"/>
  <c r="D11" i="12" s="1"/>
  <c r="E11" i="12" s="1"/>
  <c r="F11" i="12" s="1"/>
  <c r="H12" i="12"/>
  <c r="L12" i="12" s="1"/>
  <c r="M12" i="12" s="1"/>
  <c r="N12" i="12" s="1"/>
  <c r="H13" i="12"/>
  <c r="H8" i="12"/>
  <c r="L8" i="12" s="1"/>
  <c r="M8" i="12" s="1"/>
  <c r="N8" i="12" s="1"/>
  <c r="L43" i="11"/>
  <c r="D43" i="11" s="1"/>
  <c r="E43" i="11" s="1"/>
  <c r="F43" i="11" s="1"/>
  <c r="L44" i="11"/>
  <c r="D44" i="11" s="1"/>
  <c r="E44" i="11" s="1"/>
  <c r="F44" i="11" s="1"/>
  <c r="L45" i="11"/>
  <c r="L46" i="11"/>
  <c r="D46" i="11" s="1"/>
  <c r="E46" i="11" s="1"/>
  <c r="F46" i="11" s="1"/>
  <c r="L47" i="11"/>
  <c r="M47" i="11" s="1"/>
  <c r="N47" i="11" s="1"/>
  <c r="L42" i="11"/>
  <c r="M42" i="11" s="1"/>
  <c r="N42" i="11" s="1"/>
  <c r="L32" i="11"/>
  <c r="L33" i="11"/>
  <c r="H33" i="11" s="1"/>
  <c r="I33" i="11" s="1"/>
  <c r="J33" i="11" s="1"/>
  <c r="L34" i="11"/>
  <c r="L35" i="11"/>
  <c r="L36" i="11"/>
  <c r="H36" i="11" s="1"/>
  <c r="I36" i="11" s="1"/>
  <c r="J36" i="11" s="1"/>
  <c r="L31" i="11"/>
  <c r="L10" i="11"/>
  <c r="M10" i="11" s="1"/>
  <c r="N10" i="11" s="1"/>
  <c r="L11" i="11"/>
  <c r="M11" i="11" s="1"/>
  <c r="N11" i="11" s="1"/>
  <c r="L12" i="11"/>
  <c r="M12" i="11" s="1"/>
  <c r="N12" i="11" s="1"/>
  <c r="L13" i="11"/>
  <c r="M13" i="11" s="1"/>
  <c r="N13" i="11" s="1"/>
  <c r="L14" i="11"/>
  <c r="M14" i="11" s="1"/>
  <c r="N14" i="11" s="1"/>
  <c r="L9" i="11"/>
  <c r="M9" i="11" s="1"/>
  <c r="N9" i="11" s="1"/>
  <c r="H10" i="11"/>
  <c r="I10" i="11" s="1"/>
  <c r="J10" i="11" s="1"/>
  <c r="H11" i="11"/>
  <c r="I11" i="11" s="1"/>
  <c r="J11" i="11" s="1"/>
  <c r="H12" i="11"/>
  <c r="I12" i="11" s="1"/>
  <c r="J12" i="11" s="1"/>
  <c r="H13" i="11"/>
  <c r="I13" i="11" s="1"/>
  <c r="J13" i="11" s="1"/>
  <c r="H14" i="11"/>
  <c r="I14" i="11" s="1"/>
  <c r="J14" i="11" s="1"/>
  <c r="H9" i="11"/>
  <c r="I9" i="11" s="1"/>
  <c r="J9" i="11" s="1"/>
  <c r="D10" i="11"/>
  <c r="E10" i="11" s="1"/>
  <c r="F10" i="11" s="1"/>
  <c r="D11" i="11"/>
  <c r="E11" i="11" s="1"/>
  <c r="F11" i="11" s="1"/>
  <c r="D12" i="11"/>
  <c r="E12" i="11" s="1"/>
  <c r="F12" i="11" s="1"/>
  <c r="D13" i="11"/>
  <c r="E13" i="11" s="1"/>
  <c r="F13" i="11" s="1"/>
  <c r="D14" i="11"/>
  <c r="E14" i="11" s="1"/>
  <c r="F14" i="11" s="1"/>
  <c r="D9" i="11"/>
  <c r="E9" i="11" s="1"/>
  <c r="F9" i="11" s="1"/>
  <c r="L21" i="11"/>
  <c r="M21" i="11" s="1"/>
  <c r="N21" i="11" s="1"/>
  <c r="L22" i="11"/>
  <c r="D22" i="11" s="1"/>
  <c r="E22" i="11" s="1"/>
  <c r="F22" i="11" s="1"/>
  <c r="L23" i="11"/>
  <c r="D23" i="11" s="1"/>
  <c r="E23" i="11" s="1"/>
  <c r="F23" i="11" s="1"/>
  <c r="L24" i="11"/>
  <c r="M24" i="11" s="1"/>
  <c r="N24" i="11" s="1"/>
  <c r="L25" i="11"/>
  <c r="L20" i="11"/>
  <c r="L42" i="15"/>
  <c r="L43" i="15"/>
  <c r="M43" i="15" s="1"/>
  <c r="N43" i="15" s="1"/>
  <c r="L44" i="15"/>
  <c r="L45" i="15"/>
  <c r="L46" i="15"/>
  <c r="M46" i="15" s="1"/>
  <c r="N46" i="15" s="1"/>
  <c r="L41" i="15"/>
  <c r="M41" i="15" s="1"/>
  <c r="N41" i="15" s="1"/>
  <c r="L31" i="15"/>
  <c r="M31" i="15" s="1"/>
  <c r="N31" i="15" s="1"/>
  <c r="L32" i="15"/>
  <c r="M32" i="15" s="1"/>
  <c r="N32" i="15" s="1"/>
  <c r="L33" i="15"/>
  <c r="M33" i="15" s="1"/>
  <c r="N33" i="15" s="1"/>
  <c r="L34" i="15"/>
  <c r="M34" i="15" s="1"/>
  <c r="N34" i="15" s="1"/>
  <c r="L35" i="15"/>
  <c r="M35" i="15" s="1"/>
  <c r="N35" i="15" s="1"/>
  <c r="L30" i="15"/>
  <c r="M30" i="15" s="1"/>
  <c r="N30" i="15" s="1"/>
  <c r="H31" i="15"/>
  <c r="I31" i="15" s="1"/>
  <c r="J31" i="15" s="1"/>
  <c r="H32" i="15"/>
  <c r="I32" i="15" s="1"/>
  <c r="J32" i="15" s="1"/>
  <c r="H33" i="15"/>
  <c r="I33" i="15" s="1"/>
  <c r="J33" i="15" s="1"/>
  <c r="H34" i="15"/>
  <c r="I34" i="15" s="1"/>
  <c r="J34" i="15" s="1"/>
  <c r="H35" i="15"/>
  <c r="I35" i="15" s="1"/>
  <c r="J35" i="15" s="1"/>
  <c r="H30" i="15"/>
  <c r="I30" i="15" s="1"/>
  <c r="J30" i="15" s="1"/>
  <c r="D31" i="15"/>
  <c r="E31" i="15" s="1"/>
  <c r="F31" i="15" s="1"/>
  <c r="D32" i="15"/>
  <c r="E32" i="15" s="1"/>
  <c r="F32" i="15" s="1"/>
  <c r="D33" i="15"/>
  <c r="E33" i="15" s="1"/>
  <c r="F33" i="15" s="1"/>
  <c r="D34" i="15"/>
  <c r="E34" i="15" s="1"/>
  <c r="F34" i="15" s="1"/>
  <c r="D35" i="15"/>
  <c r="E35" i="15" s="1"/>
  <c r="F35" i="15" s="1"/>
  <c r="D30" i="15"/>
  <c r="E30" i="15" s="1"/>
  <c r="F30" i="15" s="1"/>
  <c r="H20" i="15"/>
  <c r="D20" i="15" s="1"/>
  <c r="E20" i="15" s="1"/>
  <c r="F20" i="15" s="1"/>
  <c r="H21" i="15"/>
  <c r="P21" i="15" s="1"/>
  <c r="Q21" i="15" s="1"/>
  <c r="R21" i="15" s="1"/>
  <c r="H22" i="15"/>
  <c r="D22" i="15" s="1"/>
  <c r="E22" i="15" s="1"/>
  <c r="F22" i="15" s="1"/>
  <c r="H23" i="15"/>
  <c r="L23" i="15" s="1"/>
  <c r="M23" i="15" s="1"/>
  <c r="N23" i="15" s="1"/>
  <c r="H24" i="15"/>
  <c r="D24" i="15" s="1"/>
  <c r="E24" i="15" s="1"/>
  <c r="F24" i="15" s="1"/>
  <c r="H19" i="15"/>
  <c r="P19" i="15" s="1"/>
  <c r="Q19" i="15" s="1"/>
  <c r="R19" i="15" s="1"/>
  <c r="H9" i="15"/>
  <c r="P9" i="15" s="1"/>
  <c r="Q9" i="15" s="1"/>
  <c r="R9" i="15" s="1"/>
  <c r="H10" i="15"/>
  <c r="L10" i="15" s="1"/>
  <c r="M10" i="15" s="1"/>
  <c r="N10" i="15" s="1"/>
  <c r="H11" i="15"/>
  <c r="D11" i="15" s="1"/>
  <c r="E11" i="15" s="1"/>
  <c r="F11" i="15" s="1"/>
  <c r="H12" i="15"/>
  <c r="D12" i="15" s="1"/>
  <c r="E12" i="15" s="1"/>
  <c r="F12" i="15" s="1"/>
  <c r="H13" i="15"/>
  <c r="H8" i="15"/>
  <c r="L42" i="13"/>
  <c r="H42" i="13" s="1"/>
  <c r="I42" i="13" s="1"/>
  <c r="J42" i="13" s="1"/>
  <c r="L43" i="13"/>
  <c r="M43" i="13" s="1"/>
  <c r="N43" i="13" s="1"/>
  <c r="L44" i="13"/>
  <c r="L45" i="13"/>
  <c r="H45" i="13" s="1"/>
  <c r="I45" i="13" s="1"/>
  <c r="J45" i="13" s="1"/>
  <c r="L46" i="13"/>
  <c r="M46" i="13" s="1"/>
  <c r="N46" i="13" s="1"/>
  <c r="L41" i="13"/>
  <c r="M41" i="13" s="1"/>
  <c r="N41" i="13" s="1"/>
  <c r="L31" i="13"/>
  <c r="M31" i="13" s="1"/>
  <c r="N31" i="13" s="1"/>
  <c r="L32" i="13"/>
  <c r="M32" i="13" s="1"/>
  <c r="N32" i="13" s="1"/>
  <c r="L33" i="13"/>
  <c r="M33" i="13" s="1"/>
  <c r="N33" i="13" s="1"/>
  <c r="L34" i="13"/>
  <c r="M34" i="13" s="1"/>
  <c r="N34" i="13" s="1"/>
  <c r="L35" i="13"/>
  <c r="M35" i="13" s="1"/>
  <c r="N35" i="13" s="1"/>
  <c r="L30" i="13"/>
  <c r="M30" i="13" s="1"/>
  <c r="N30" i="13" s="1"/>
  <c r="H31" i="13"/>
  <c r="I31" i="13" s="1"/>
  <c r="J31" i="13" s="1"/>
  <c r="H32" i="13"/>
  <c r="I32" i="13" s="1"/>
  <c r="J32" i="13" s="1"/>
  <c r="H33" i="13"/>
  <c r="I33" i="13" s="1"/>
  <c r="J33" i="13" s="1"/>
  <c r="H34" i="13"/>
  <c r="I34" i="13" s="1"/>
  <c r="J34" i="13" s="1"/>
  <c r="H35" i="13"/>
  <c r="I35" i="13" s="1"/>
  <c r="J35" i="13" s="1"/>
  <c r="H30" i="13"/>
  <c r="I30" i="13" s="1"/>
  <c r="J30" i="13" s="1"/>
  <c r="D31" i="13"/>
  <c r="E31" i="13" s="1"/>
  <c r="F31" i="13" s="1"/>
  <c r="D32" i="13"/>
  <c r="E32" i="13" s="1"/>
  <c r="F32" i="13" s="1"/>
  <c r="D33" i="13"/>
  <c r="E33" i="13" s="1"/>
  <c r="F33" i="13" s="1"/>
  <c r="D34" i="13"/>
  <c r="E34" i="13" s="1"/>
  <c r="F34" i="13" s="1"/>
  <c r="D35" i="13"/>
  <c r="E35" i="13" s="1"/>
  <c r="F35" i="13" s="1"/>
  <c r="D30" i="13"/>
  <c r="E30" i="13" s="1"/>
  <c r="F30" i="13" s="1"/>
  <c r="H20" i="13"/>
  <c r="I20" i="13" s="1"/>
  <c r="J20" i="13" s="1"/>
  <c r="H21" i="13"/>
  <c r="I21" i="13" s="1"/>
  <c r="J21" i="13" s="1"/>
  <c r="H22" i="13"/>
  <c r="H23" i="13"/>
  <c r="H24" i="13"/>
  <c r="H19" i="13"/>
  <c r="L19" i="13" s="1"/>
  <c r="M19" i="13" s="1"/>
  <c r="N19" i="13" s="1"/>
  <c r="H9" i="13"/>
  <c r="I9" i="13" s="1"/>
  <c r="J9" i="13" s="1"/>
  <c r="H10" i="13"/>
  <c r="L10" i="13" s="1"/>
  <c r="M10" i="13" s="1"/>
  <c r="N10" i="13" s="1"/>
  <c r="H11" i="13"/>
  <c r="D11" i="13" s="1"/>
  <c r="E11" i="13" s="1"/>
  <c r="F11" i="13" s="1"/>
  <c r="H12" i="13"/>
  <c r="L12" i="13" s="1"/>
  <c r="M12" i="13" s="1"/>
  <c r="N12" i="13" s="1"/>
  <c r="H13" i="13"/>
  <c r="H8" i="13"/>
  <c r="L64" i="9"/>
  <c r="M64" i="9" s="1"/>
  <c r="N64" i="9" s="1"/>
  <c r="L65" i="9"/>
  <c r="M65" i="9" s="1"/>
  <c r="N65" i="9" s="1"/>
  <c r="L66" i="9"/>
  <c r="T66" i="9" s="1"/>
  <c r="U66" i="9" s="1"/>
  <c r="V66" i="9" s="1"/>
  <c r="L67" i="9"/>
  <c r="T67" i="9" s="1"/>
  <c r="U67" i="9" s="1"/>
  <c r="V67" i="9" s="1"/>
  <c r="L68" i="9"/>
  <c r="H68" i="9" s="1"/>
  <c r="I68" i="9" s="1"/>
  <c r="J68" i="9" s="1"/>
  <c r="L63" i="9"/>
  <c r="H63" i="9" s="1"/>
  <c r="I63" i="9" s="1"/>
  <c r="J63" i="9" s="1"/>
  <c r="L53" i="9"/>
  <c r="H53" i="9" s="1"/>
  <c r="I53" i="9" s="1"/>
  <c r="J53" i="9" s="1"/>
  <c r="L54" i="9"/>
  <c r="T54" i="9" s="1"/>
  <c r="U54" i="9" s="1"/>
  <c r="V54" i="9" s="1"/>
  <c r="L55" i="9"/>
  <c r="P55" i="9" s="1"/>
  <c r="Q55" i="9" s="1"/>
  <c r="R55" i="9" s="1"/>
  <c r="L56" i="9"/>
  <c r="M56" i="9" s="1"/>
  <c r="N56" i="9" s="1"/>
  <c r="L57" i="9"/>
  <c r="T57" i="9" s="1"/>
  <c r="U57" i="9" s="1"/>
  <c r="V57" i="9" s="1"/>
  <c r="L52" i="9"/>
  <c r="T52" i="9" s="1"/>
  <c r="U52" i="9" s="1"/>
  <c r="V52" i="9" s="1"/>
  <c r="L42" i="9"/>
  <c r="P42" i="9" s="1"/>
  <c r="Q42" i="9" s="1"/>
  <c r="R42" i="9" s="1"/>
  <c r="L43" i="9"/>
  <c r="H43" i="9" s="1"/>
  <c r="I43" i="9" s="1"/>
  <c r="J43" i="9" s="1"/>
  <c r="L44" i="9"/>
  <c r="D44" i="9" s="1"/>
  <c r="E44" i="9" s="1"/>
  <c r="F44" i="9" s="1"/>
  <c r="L45" i="9"/>
  <c r="M45" i="9" s="1"/>
  <c r="N45" i="9" s="1"/>
  <c r="L46" i="9"/>
  <c r="M46" i="9" s="1"/>
  <c r="N46" i="9" s="1"/>
  <c r="L41" i="9"/>
  <c r="M41" i="9" s="1"/>
  <c r="N41" i="9" s="1"/>
  <c r="T31" i="9"/>
  <c r="U31" i="9" s="1"/>
  <c r="V31" i="9" s="1"/>
  <c r="T32" i="9"/>
  <c r="U32" i="9" s="1"/>
  <c r="V32" i="9" s="1"/>
  <c r="T33" i="9"/>
  <c r="U33" i="9" s="1"/>
  <c r="V33" i="9" s="1"/>
  <c r="T34" i="9"/>
  <c r="U34" i="9" s="1"/>
  <c r="V34" i="9" s="1"/>
  <c r="T35" i="9"/>
  <c r="U35" i="9" s="1"/>
  <c r="V35" i="9" s="1"/>
  <c r="T30" i="9"/>
  <c r="U30" i="9" s="1"/>
  <c r="V30" i="9" s="1"/>
  <c r="P31" i="9"/>
  <c r="Q31" i="9" s="1"/>
  <c r="R31" i="9" s="1"/>
  <c r="P32" i="9"/>
  <c r="Q32" i="9" s="1"/>
  <c r="R32" i="9" s="1"/>
  <c r="P33" i="9"/>
  <c r="Q33" i="9" s="1"/>
  <c r="R33" i="9" s="1"/>
  <c r="P34" i="9"/>
  <c r="Q34" i="9" s="1"/>
  <c r="R34" i="9" s="1"/>
  <c r="P35" i="9"/>
  <c r="Q35" i="9" s="1"/>
  <c r="R35" i="9" s="1"/>
  <c r="P30" i="9"/>
  <c r="Q30" i="9" s="1"/>
  <c r="R30" i="9" s="1"/>
  <c r="L31" i="9"/>
  <c r="M31" i="9" s="1"/>
  <c r="N31" i="9" s="1"/>
  <c r="L32" i="9"/>
  <c r="M32" i="9" s="1"/>
  <c r="N32" i="9" s="1"/>
  <c r="L33" i="9"/>
  <c r="M33" i="9" s="1"/>
  <c r="N33" i="9" s="1"/>
  <c r="L34" i="9"/>
  <c r="M34" i="9" s="1"/>
  <c r="N34" i="9" s="1"/>
  <c r="L35" i="9"/>
  <c r="M35" i="9" s="1"/>
  <c r="N35" i="9" s="1"/>
  <c r="L30" i="9"/>
  <c r="M30" i="9" s="1"/>
  <c r="N30" i="9" s="1"/>
  <c r="H31" i="9"/>
  <c r="I31" i="9" s="1"/>
  <c r="J31" i="9" s="1"/>
  <c r="H32" i="9"/>
  <c r="I32" i="9" s="1"/>
  <c r="J32" i="9" s="1"/>
  <c r="H33" i="9"/>
  <c r="I33" i="9" s="1"/>
  <c r="J33" i="9" s="1"/>
  <c r="H34" i="9"/>
  <c r="I34" i="9" s="1"/>
  <c r="J34" i="9" s="1"/>
  <c r="H35" i="9"/>
  <c r="I35" i="9" s="1"/>
  <c r="J35" i="9" s="1"/>
  <c r="H30" i="9"/>
  <c r="I30" i="9" s="1"/>
  <c r="J30" i="9" s="1"/>
  <c r="D31" i="9"/>
  <c r="E31" i="9" s="1"/>
  <c r="F31" i="9" s="1"/>
  <c r="D32" i="9"/>
  <c r="E32" i="9" s="1"/>
  <c r="F32" i="9" s="1"/>
  <c r="D33" i="9"/>
  <c r="E33" i="9" s="1"/>
  <c r="F33" i="9" s="1"/>
  <c r="D34" i="9"/>
  <c r="E34" i="9" s="1"/>
  <c r="F34" i="9" s="1"/>
  <c r="D35" i="9"/>
  <c r="E35" i="9" s="1"/>
  <c r="F35" i="9" s="1"/>
  <c r="D30" i="9"/>
  <c r="E30" i="9" s="1"/>
  <c r="F30" i="9" s="1"/>
  <c r="H20" i="9"/>
  <c r="H21" i="9"/>
  <c r="T21" i="9" s="1"/>
  <c r="U21" i="9" s="1"/>
  <c r="V21" i="9" s="1"/>
  <c r="H22" i="9"/>
  <c r="T22" i="9" s="1"/>
  <c r="U22" i="9" s="1"/>
  <c r="V22" i="9" s="1"/>
  <c r="H23" i="9"/>
  <c r="I23" i="9" s="1"/>
  <c r="J23" i="9" s="1"/>
  <c r="H24" i="9"/>
  <c r="T24" i="9" s="1"/>
  <c r="U24" i="9" s="1"/>
  <c r="V24" i="9" s="1"/>
  <c r="H19" i="9"/>
  <c r="I19" i="9" s="1"/>
  <c r="J19" i="9" s="1"/>
  <c r="H9" i="9"/>
  <c r="T9" i="9" s="1"/>
  <c r="U9" i="9" s="1"/>
  <c r="V9" i="9" s="1"/>
  <c r="H10" i="9"/>
  <c r="I10" i="9" s="1"/>
  <c r="J10" i="9" s="1"/>
  <c r="H11" i="9"/>
  <c r="T11" i="9" s="1"/>
  <c r="U11" i="9" s="1"/>
  <c r="V11" i="9" s="1"/>
  <c r="H12" i="9"/>
  <c r="T12" i="9" s="1"/>
  <c r="U12" i="9" s="1"/>
  <c r="V12" i="9" s="1"/>
  <c r="H13" i="9"/>
  <c r="P13" i="9" s="1"/>
  <c r="Q13" i="9" s="1"/>
  <c r="R13" i="9" s="1"/>
  <c r="H8" i="9"/>
  <c r="I8" i="9" s="1"/>
  <c r="J8" i="9" s="1"/>
  <c r="T64" i="8"/>
  <c r="H64" i="8" s="1"/>
  <c r="I64" i="8" s="1"/>
  <c r="J64" i="8" s="1"/>
  <c r="T65" i="8"/>
  <c r="U65" i="8" s="1"/>
  <c r="V65" i="8" s="1"/>
  <c r="T66" i="8"/>
  <c r="D66" i="8" s="1"/>
  <c r="E66" i="8" s="1"/>
  <c r="F66" i="8" s="1"/>
  <c r="T67" i="8"/>
  <c r="U67" i="8" s="1"/>
  <c r="V67" i="8" s="1"/>
  <c r="T68" i="8"/>
  <c r="T63" i="8"/>
  <c r="H63" i="8" s="1"/>
  <c r="I63" i="8" s="1"/>
  <c r="J63" i="8" s="1"/>
  <c r="T53" i="8"/>
  <c r="U53" i="8" s="1"/>
  <c r="V53" i="8" s="1"/>
  <c r="T54" i="8"/>
  <c r="U54" i="8" s="1"/>
  <c r="V54" i="8" s="1"/>
  <c r="T55" i="8"/>
  <c r="U55" i="8" s="1"/>
  <c r="V55" i="8" s="1"/>
  <c r="T56" i="8"/>
  <c r="U56" i="8" s="1"/>
  <c r="V56" i="8" s="1"/>
  <c r="T57" i="8"/>
  <c r="U57" i="8" s="1"/>
  <c r="V57" i="8" s="1"/>
  <c r="T52" i="8"/>
  <c r="U52" i="8" s="1"/>
  <c r="V52" i="8" s="1"/>
  <c r="P53" i="8"/>
  <c r="Q53" i="8" s="1"/>
  <c r="R53" i="8" s="1"/>
  <c r="P54" i="8"/>
  <c r="Q54" i="8" s="1"/>
  <c r="R54" i="8" s="1"/>
  <c r="P55" i="8"/>
  <c r="Q55" i="8" s="1"/>
  <c r="R55" i="8" s="1"/>
  <c r="P56" i="8"/>
  <c r="Q56" i="8" s="1"/>
  <c r="R56" i="8" s="1"/>
  <c r="P57" i="8"/>
  <c r="Q57" i="8" s="1"/>
  <c r="R57" i="8" s="1"/>
  <c r="P52" i="8"/>
  <c r="Q52" i="8" s="1"/>
  <c r="R52" i="8" s="1"/>
  <c r="L53" i="8"/>
  <c r="M53" i="8" s="1"/>
  <c r="N53" i="8" s="1"/>
  <c r="L54" i="8"/>
  <c r="M54" i="8" s="1"/>
  <c r="N54" i="8" s="1"/>
  <c r="L55" i="8"/>
  <c r="M55" i="8" s="1"/>
  <c r="N55" i="8" s="1"/>
  <c r="L56" i="8"/>
  <c r="M56" i="8" s="1"/>
  <c r="N56" i="8" s="1"/>
  <c r="L57" i="8"/>
  <c r="M57" i="8" s="1"/>
  <c r="N57" i="8" s="1"/>
  <c r="L52" i="8"/>
  <c r="M52" i="8" s="1"/>
  <c r="N52" i="8" s="1"/>
  <c r="H53" i="8"/>
  <c r="I53" i="8" s="1"/>
  <c r="J53" i="8" s="1"/>
  <c r="H54" i="8"/>
  <c r="I54" i="8" s="1"/>
  <c r="J54" i="8" s="1"/>
  <c r="H55" i="8"/>
  <c r="I55" i="8" s="1"/>
  <c r="J55" i="8" s="1"/>
  <c r="H56" i="8"/>
  <c r="I56" i="8" s="1"/>
  <c r="J56" i="8" s="1"/>
  <c r="H57" i="8"/>
  <c r="I57" i="8" s="1"/>
  <c r="J57" i="8" s="1"/>
  <c r="H52" i="8"/>
  <c r="I52" i="8" s="1"/>
  <c r="J52" i="8" s="1"/>
  <c r="D53" i="8"/>
  <c r="E53" i="8" s="1"/>
  <c r="F53" i="8" s="1"/>
  <c r="D54" i="8"/>
  <c r="E54" i="8" s="1"/>
  <c r="F54" i="8" s="1"/>
  <c r="D55" i="8"/>
  <c r="E55" i="8" s="1"/>
  <c r="F55" i="8" s="1"/>
  <c r="D56" i="8"/>
  <c r="E56" i="8" s="1"/>
  <c r="F56" i="8" s="1"/>
  <c r="D57" i="8"/>
  <c r="E57" i="8" s="1"/>
  <c r="F57" i="8" s="1"/>
  <c r="D52" i="8"/>
  <c r="E52" i="8" s="1"/>
  <c r="F52" i="8" s="1"/>
  <c r="P42" i="8"/>
  <c r="H42" i="8" s="1"/>
  <c r="I42" i="8" s="1"/>
  <c r="J42" i="8" s="1"/>
  <c r="P43" i="8"/>
  <c r="Q43" i="8" s="1"/>
  <c r="R43" i="8" s="1"/>
  <c r="P44" i="8"/>
  <c r="L44" i="8" s="1"/>
  <c r="M44" i="8" s="1"/>
  <c r="N44" i="8" s="1"/>
  <c r="P45" i="8"/>
  <c r="L45" i="8" s="1"/>
  <c r="M45" i="8" s="1"/>
  <c r="N45" i="8" s="1"/>
  <c r="P46" i="8"/>
  <c r="L46" i="8" s="1"/>
  <c r="M46" i="8" s="1"/>
  <c r="N46" i="8" s="1"/>
  <c r="P41" i="8"/>
  <c r="Q41" i="8" s="1"/>
  <c r="R41" i="8" s="1"/>
  <c r="P31" i="8"/>
  <c r="D31" i="8" s="1"/>
  <c r="E31" i="8" s="1"/>
  <c r="F31" i="8" s="1"/>
  <c r="P32" i="8"/>
  <c r="Q32" i="8" s="1"/>
  <c r="R32" i="8" s="1"/>
  <c r="P33" i="8"/>
  <c r="Q33" i="8" s="1"/>
  <c r="R33" i="8" s="1"/>
  <c r="P34" i="8"/>
  <c r="Q34" i="8" s="1"/>
  <c r="R34" i="8" s="1"/>
  <c r="P35" i="8"/>
  <c r="H35" i="8" s="1"/>
  <c r="I35" i="8" s="1"/>
  <c r="J35" i="8" s="1"/>
  <c r="P30" i="8"/>
  <c r="T30" i="8" s="1"/>
  <c r="U30" i="8" s="1"/>
  <c r="V30" i="8" s="1"/>
  <c r="P20" i="8"/>
  <c r="P21" i="8"/>
  <c r="Q21" i="8" s="1"/>
  <c r="R21" i="8" s="1"/>
  <c r="P22" i="8"/>
  <c r="D22" i="8" s="1"/>
  <c r="E22" i="8" s="1"/>
  <c r="F22" i="8" s="1"/>
  <c r="P23" i="8"/>
  <c r="Q23" i="8" s="1"/>
  <c r="R23" i="8" s="1"/>
  <c r="P24" i="8"/>
  <c r="T24" i="8" s="1"/>
  <c r="U24" i="8" s="1"/>
  <c r="V24" i="8" s="1"/>
  <c r="P19" i="8"/>
  <c r="Q19" i="8" s="1"/>
  <c r="R19" i="8" s="1"/>
  <c r="P9" i="8"/>
  <c r="L9" i="8" s="1"/>
  <c r="M9" i="8" s="1"/>
  <c r="N9" i="8" s="1"/>
  <c r="P10" i="8"/>
  <c r="T10" i="8" s="1"/>
  <c r="U10" i="8" s="1"/>
  <c r="V10" i="8" s="1"/>
  <c r="P11" i="8"/>
  <c r="L11" i="8" s="1"/>
  <c r="M11" i="8" s="1"/>
  <c r="N11" i="8" s="1"/>
  <c r="P12" i="8"/>
  <c r="Q12" i="8" s="1"/>
  <c r="R12" i="8" s="1"/>
  <c r="P13" i="8"/>
  <c r="D13" i="8" s="1"/>
  <c r="E13" i="8" s="1"/>
  <c r="F13" i="8" s="1"/>
  <c r="P8" i="8"/>
  <c r="Q8" i="8" s="1"/>
  <c r="R8" i="8" s="1"/>
  <c r="H53" i="7"/>
  <c r="P53" i="7" s="1"/>
  <c r="Q53" i="7" s="1"/>
  <c r="R53" i="7" s="1"/>
  <c r="H54" i="7"/>
  <c r="I54" i="7" s="1"/>
  <c r="J54" i="7" s="1"/>
  <c r="H55" i="7"/>
  <c r="L55" i="7" s="1"/>
  <c r="M55" i="7" s="1"/>
  <c r="N55" i="7" s="1"/>
  <c r="H56" i="7"/>
  <c r="I56" i="7" s="1"/>
  <c r="J56" i="7" s="1"/>
  <c r="H57" i="7"/>
  <c r="D57" i="7" s="1"/>
  <c r="E57" i="7" s="1"/>
  <c r="F57" i="7" s="1"/>
  <c r="H52" i="7"/>
  <c r="I52" i="7" s="1"/>
  <c r="J52" i="7" s="1"/>
  <c r="H42" i="7"/>
  <c r="D42" i="7" s="1"/>
  <c r="E42" i="7" s="1"/>
  <c r="F42" i="7" s="1"/>
  <c r="H43" i="7"/>
  <c r="I43" i="7" s="1"/>
  <c r="J43" i="7" s="1"/>
  <c r="H44" i="7"/>
  <c r="D44" i="7" s="1"/>
  <c r="E44" i="7" s="1"/>
  <c r="F44" i="7" s="1"/>
  <c r="H45" i="7"/>
  <c r="I45" i="7" s="1"/>
  <c r="J45" i="7" s="1"/>
  <c r="H46" i="7"/>
  <c r="D46" i="7" s="1"/>
  <c r="E46" i="7" s="1"/>
  <c r="F46" i="7" s="1"/>
  <c r="H41" i="7"/>
  <c r="D41" i="7" s="1"/>
  <c r="E41" i="7" s="1"/>
  <c r="F41" i="7" s="1"/>
  <c r="H31" i="7"/>
  <c r="L31" i="7" s="1"/>
  <c r="M31" i="7" s="1"/>
  <c r="N31" i="7" s="1"/>
  <c r="H32" i="7"/>
  <c r="I32" i="7" s="1"/>
  <c r="J32" i="7" s="1"/>
  <c r="H33" i="7"/>
  <c r="L33" i="7" s="1"/>
  <c r="M33" i="7" s="1"/>
  <c r="N33" i="7" s="1"/>
  <c r="H34" i="7"/>
  <c r="H35" i="7"/>
  <c r="H30" i="7"/>
  <c r="I30" i="7" s="1"/>
  <c r="J30" i="7" s="1"/>
  <c r="P20" i="7"/>
  <c r="Q20" i="7" s="1"/>
  <c r="R20" i="7" s="1"/>
  <c r="P21" i="7"/>
  <c r="Q21" i="7" s="1"/>
  <c r="R21" i="7" s="1"/>
  <c r="P22" i="7"/>
  <c r="Q22" i="7" s="1"/>
  <c r="R22" i="7" s="1"/>
  <c r="P23" i="7"/>
  <c r="Q23" i="7" s="1"/>
  <c r="R23" i="7" s="1"/>
  <c r="P24" i="7"/>
  <c r="Q24" i="7" s="1"/>
  <c r="R24" i="7" s="1"/>
  <c r="P19" i="7"/>
  <c r="Q19" i="7" s="1"/>
  <c r="R19" i="7" s="1"/>
  <c r="L20" i="7"/>
  <c r="M20" i="7" s="1"/>
  <c r="N20" i="7" s="1"/>
  <c r="L21" i="7"/>
  <c r="M21" i="7" s="1"/>
  <c r="N21" i="7" s="1"/>
  <c r="L22" i="7"/>
  <c r="M22" i="7" s="1"/>
  <c r="N22" i="7" s="1"/>
  <c r="L23" i="7"/>
  <c r="M23" i="7" s="1"/>
  <c r="N23" i="7" s="1"/>
  <c r="L24" i="7"/>
  <c r="M24" i="7" s="1"/>
  <c r="N24" i="7" s="1"/>
  <c r="L19" i="7"/>
  <c r="M19" i="7" s="1"/>
  <c r="N19" i="7" s="1"/>
  <c r="H20" i="7"/>
  <c r="I20" i="7" s="1"/>
  <c r="J20" i="7" s="1"/>
  <c r="H21" i="7"/>
  <c r="I21" i="7" s="1"/>
  <c r="J21" i="7" s="1"/>
  <c r="H22" i="7"/>
  <c r="I22" i="7" s="1"/>
  <c r="J22" i="7" s="1"/>
  <c r="H23" i="7"/>
  <c r="I23" i="7" s="1"/>
  <c r="J23" i="7" s="1"/>
  <c r="H24" i="7"/>
  <c r="I24" i="7" s="1"/>
  <c r="J24" i="7" s="1"/>
  <c r="H19" i="7"/>
  <c r="I19" i="7" s="1"/>
  <c r="J19" i="7" s="1"/>
  <c r="D20" i="7"/>
  <c r="E20" i="7" s="1"/>
  <c r="F20" i="7" s="1"/>
  <c r="D21" i="7"/>
  <c r="E21" i="7" s="1"/>
  <c r="F21" i="7" s="1"/>
  <c r="D22" i="7"/>
  <c r="E22" i="7" s="1"/>
  <c r="F22" i="7" s="1"/>
  <c r="D23" i="7"/>
  <c r="E23" i="7" s="1"/>
  <c r="F23" i="7" s="1"/>
  <c r="D24" i="7"/>
  <c r="E24" i="7" s="1"/>
  <c r="F24" i="7" s="1"/>
  <c r="D19" i="7"/>
  <c r="E19" i="7" s="1"/>
  <c r="F19" i="7" s="1"/>
  <c r="D9" i="7"/>
  <c r="P9" i="7" s="1"/>
  <c r="Q9" i="7" s="1"/>
  <c r="R9" i="7" s="1"/>
  <c r="D10" i="7"/>
  <c r="E10" i="7" s="1"/>
  <c r="F10" i="7" s="1"/>
  <c r="D11" i="7"/>
  <c r="D12" i="7"/>
  <c r="E12" i="7" s="1"/>
  <c r="F12" i="7" s="1"/>
  <c r="D13" i="7"/>
  <c r="L13" i="7" s="1"/>
  <c r="M13" i="7" s="1"/>
  <c r="N13" i="7" s="1"/>
  <c r="D8" i="7"/>
  <c r="P8" i="7" s="1"/>
  <c r="Q8" i="7" s="1"/>
  <c r="R8" i="7" s="1"/>
  <c r="L44" i="6"/>
  <c r="D44" i="6" s="1"/>
  <c r="E44" i="6" s="1"/>
  <c r="F44" i="6" s="1"/>
  <c r="L42" i="6"/>
  <c r="L43" i="6"/>
  <c r="M43" i="6" s="1"/>
  <c r="N43" i="6" s="1"/>
  <c r="L45" i="6"/>
  <c r="M45" i="6" s="1"/>
  <c r="N45" i="6" s="1"/>
  <c r="L46" i="6"/>
  <c r="M46" i="6" s="1"/>
  <c r="N46" i="6" s="1"/>
  <c r="L41" i="6"/>
  <c r="M41" i="6" s="1"/>
  <c r="N41" i="6" s="1"/>
  <c r="L31" i="6"/>
  <c r="M31" i="6" s="1"/>
  <c r="N31" i="6" s="1"/>
  <c r="L32" i="6"/>
  <c r="M32" i="6" s="1"/>
  <c r="N32" i="6" s="1"/>
  <c r="L33" i="6"/>
  <c r="M33" i="6" s="1"/>
  <c r="N33" i="6" s="1"/>
  <c r="L34" i="6"/>
  <c r="M34" i="6" s="1"/>
  <c r="N34" i="6" s="1"/>
  <c r="L35" i="6"/>
  <c r="M35" i="6" s="1"/>
  <c r="N35" i="6" s="1"/>
  <c r="L30" i="6"/>
  <c r="M30" i="6" s="1"/>
  <c r="N30" i="6" s="1"/>
  <c r="H31" i="6"/>
  <c r="I31" i="6" s="1"/>
  <c r="J31" i="6" s="1"/>
  <c r="H32" i="6"/>
  <c r="I32" i="6" s="1"/>
  <c r="J32" i="6" s="1"/>
  <c r="H33" i="6"/>
  <c r="I33" i="6" s="1"/>
  <c r="J33" i="6" s="1"/>
  <c r="H34" i="6"/>
  <c r="I34" i="6" s="1"/>
  <c r="J34" i="6" s="1"/>
  <c r="H35" i="6"/>
  <c r="I35" i="6" s="1"/>
  <c r="J35" i="6" s="1"/>
  <c r="H30" i="6"/>
  <c r="I30" i="6" s="1"/>
  <c r="J30" i="6" s="1"/>
  <c r="D31" i="6"/>
  <c r="E31" i="6" s="1"/>
  <c r="F31" i="6" s="1"/>
  <c r="D32" i="6"/>
  <c r="E32" i="6" s="1"/>
  <c r="F32" i="6" s="1"/>
  <c r="D33" i="6"/>
  <c r="E33" i="6" s="1"/>
  <c r="F33" i="6" s="1"/>
  <c r="D34" i="6"/>
  <c r="E34" i="6" s="1"/>
  <c r="F34" i="6" s="1"/>
  <c r="D35" i="6"/>
  <c r="E35" i="6" s="1"/>
  <c r="F35" i="6" s="1"/>
  <c r="D30" i="6"/>
  <c r="E30" i="6" s="1"/>
  <c r="F30" i="6" s="1"/>
  <c r="H20" i="6"/>
  <c r="H21" i="6"/>
  <c r="H22" i="6"/>
  <c r="H23" i="6"/>
  <c r="H24" i="6"/>
  <c r="L24" i="6" s="1"/>
  <c r="M24" i="6" s="1"/>
  <c r="N24" i="6" s="1"/>
  <c r="H19" i="6"/>
  <c r="H13" i="6"/>
  <c r="H12" i="6"/>
  <c r="H11" i="6"/>
  <c r="L11" i="6" s="1"/>
  <c r="M11" i="6" s="1"/>
  <c r="N11" i="6" s="1"/>
  <c r="H10" i="6"/>
  <c r="H9" i="6"/>
  <c r="H8" i="6"/>
  <c r="L8" i="6" s="1"/>
  <c r="M8" i="6" s="1"/>
  <c r="N8" i="6" s="1"/>
  <c r="I36" i="1"/>
  <c r="J36" i="1" s="1"/>
  <c r="I37" i="1"/>
  <c r="J37" i="1" s="1"/>
  <c r="I38" i="1"/>
  <c r="J38" i="1" s="1"/>
  <c r="I39" i="1"/>
  <c r="J39" i="1" s="1"/>
  <c r="I40" i="1"/>
  <c r="J40" i="1" s="1"/>
  <c r="I41" i="1"/>
  <c r="J41" i="1" s="1"/>
  <c r="I42" i="1"/>
  <c r="J42" i="1" s="1"/>
  <c r="I35" i="1"/>
  <c r="J35" i="1" s="1"/>
  <c r="E36" i="1"/>
  <c r="F36" i="1" s="1"/>
  <c r="E37" i="1"/>
  <c r="F37" i="1" s="1"/>
  <c r="E38" i="1"/>
  <c r="F38" i="1" s="1"/>
  <c r="E39" i="1"/>
  <c r="F39" i="1" s="1"/>
  <c r="E40" i="1"/>
  <c r="F40" i="1" s="1"/>
  <c r="E41" i="1"/>
  <c r="F41" i="1" s="1"/>
  <c r="E42" i="1"/>
  <c r="F42" i="1" s="1"/>
  <c r="E35" i="1"/>
  <c r="F35" i="1" s="1"/>
  <c r="F23" i="1"/>
  <c r="F24" i="1"/>
  <c r="F25" i="1"/>
  <c r="F26" i="1"/>
  <c r="F27" i="1"/>
  <c r="F28" i="1"/>
  <c r="F29" i="1"/>
  <c r="E22" i="1"/>
  <c r="F22" i="1" s="1"/>
  <c r="I23" i="1"/>
  <c r="J23" i="1" s="1"/>
  <c r="I24" i="1"/>
  <c r="J24" i="1" s="1"/>
  <c r="I25" i="1"/>
  <c r="J25" i="1" s="1"/>
  <c r="I26" i="1"/>
  <c r="J26" i="1" s="1"/>
  <c r="I27" i="1"/>
  <c r="J27" i="1" s="1"/>
  <c r="I28" i="1"/>
  <c r="J28" i="1" s="1"/>
  <c r="I29" i="1"/>
  <c r="J29" i="1" s="1"/>
  <c r="I22" i="1"/>
  <c r="J22" i="1" s="1"/>
  <c r="H9" i="1"/>
  <c r="I9" i="1" s="1"/>
  <c r="J9" i="1" s="1"/>
  <c r="H10" i="1"/>
  <c r="I10" i="1" s="1"/>
  <c r="J10" i="1" s="1"/>
  <c r="H11" i="1"/>
  <c r="I11" i="1" s="1"/>
  <c r="J11" i="1" s="1"/>
  <c r="H12" i="1"/>
  <c r="I12" i="1" s="1"/>
  <c r="J12" i="1" s="1"/>
  <c r="H13" i="1"/>
  <c r="I13" i="1" s="1"/>
  <c r="J13" i="1" s="1"/>
  <c r="H14" i="1"/>
  <c r="I14" i="1" s="1"/>
  <c r="J14" i="1" s="1"/>
  <c r="H15" i="1"/>
  <c r="I15" i="1" s="1"/>
  <c r="J15" i="1" s="1"/>
  <c r="H16" i="1"/>
  <c r="I16" i="1" s="1"/>
  <c r="J16" i="1" s="1"/>
  <c r="H8" i="1"/>
  <c r="I8" i="1" s="1"/>
  <c r="J8" i="1" s="1"/>
  <c r="E9" i="1"/>
  <c r="F9" i="1" s="1"/>
  <c r="E10" i="1"/>
  <c r="F10" i="1" s="1"/>
  <c r="E11" i="1"/>
  <c r="F11" i="1" s="1"/>
  <c r="E12" i="1"/>
  <c r="F12" i="1" s="1"/>
  <c r="E13" i="1"/>
  <c r="F13" i="1" s="1"/>
  <c r="E14" i="1"/>
  <c r="F14" i="1" s="1"/>
  <c r="E15" i="1"/>
  <c r="F15" i="1" s="1"/>
  <c r="E16" i="1"/>
  <c r="F16" i="1" s="1"/>
  <c r="E8" i="1"/>
  <c r="F8" i="1" s="1"/>
  <c r="P64" i="5"/>
  <c r="Q64" i="5" s="1"/>
  <c r="R64" i="5" s="1"/>
  <c r="P65" i="5"/>
  <c r="Q65" i="5" s="1"/>
  <c r="R65" i="5" s="1"/>
  <c r="P66" i="5"/>
  <c r="Q66" i="5" s="1"/>
  <c r="R66" i="5" s="1"/>
  <c r="P67" i="5"/>
  <c r="Q67" i="5" s="1"/>
  <c r="R67" i="5" s="1"/>
  <c r="P68" i="5"/>
  <c r="Q68" i="5" s="1"/>
  <c r="R68" i="5" s="1"/>
  <c r="P63" i="5"/>
  <c r="Q63" i="5" s="1"/>
  <c r="R63" i="5" s="1"/>
  <c r="P53" i="5"/>
  <c r="Q53" i="5" s="1"/>
  <c r="R53" i="5" s="1"/>
  <c r="P54" i="5"/>
  <c r="Q54" i="5" s="1"/>
  <c r="R54" i="5" s="1"/>
  <c r="P55" i="5"/>
  <c r="Q55" i="5" s="1"/>
  <c r="R55" i="5" s="1"/>
  <c r="Q56" i="5"/>
  <c r="R56" i="5" s="1"/>
  <c r="P57" i="5"/>
  <c r="Q57" i="5" s="1"/>
  <c r="R57" i="5" s="1"/>
  <c r="P52" i="5"/>
  <c r="Q52" i="5" s="1"/>
  <c r="R52" i="5" s="1"/>
  <c r="T42" i="5"/>
  <c r="U42" i="5" s="1"/>
  <c r="V42" i="5" s="1"/>
  <c r="T43" i="5"/>
  <c r="U43" i="5" s="1"/>
  <c r="V43" i="5" s="1"/>
  <c r="T44" i="5"/>
  <c r="U44" i="5" s="1"/>
  <c r="V44" i="5" s="1"/>
  <c r="T45" i="5"/>
  <c r="U45" i="5" s="1"/>
  <c r="V45" i="5" s="1"/>
  <c r="T46" i="5"/>
  <c r="U46" i="5" s="1"/>
  <c r="V46" i="5" s="1"/>
  <c r="T41" i="5"/>
  <c r="U41" i="5" s="1"/>
  <c r="V41" i="5" s="1"/>
  <c r="P42" i="5"/>
  <c r="Q42" i="5" s="1"/>
  <c r="R42" i="5" s="1"/>
  <c r="P43" i="5"/>
  <c r="Q43" i="5" s="1"/>
  <c r="R43" i="5" s="1"/>
  <c r="P44" i="5"/>
  <c r="Q44" i="5" s="1"/>
  <c r="R44" i="5" s="1"/>
  <c r="P45" i="5"/>
  <c r="Q45" i="5" s="1"/>
  <c r="R45" i="5" s="1"/>
  <c r="P46" i="5"/>
  <c r="Q46" i="5" s="1"/>
  <c r="R46" i="5" s="1"/>
  <c r="P41" i="5"/>
  <c r="Q41" i="5" s="1"/>
  <c r="R41" i="5" s="1"/>
  <c r="L42" i="5"/>
  <c r="M42" i="5" s="1"/>
  <c r="N42" i="5" s="1"/>
  <c r="L43" i="5"/>
  <c r="M43" i="5" s="1"/>
  <c r="N43" i="5" s="1"/>
  <c r="L44" i="5"/>
  <c r="M44" i="5" s="1"/>
  <c r="N44" i="5" s="1"/>
  <c r="L45" i="5"/>
  <c r="M45" i="5" s="1"/>
  <c r="N45" i="5" s="1"/>
  <c r="L46" i="5"/>
  <c r="M46" i="5" s="1"/>
  <c r="N46" i="5" s="1"/>
  <c r="L41" i="5"/>
  <c r="M41" i="5" s="1"/>
  <c r="N41" i="5" s="1"/>
  <c r="H42" i="5"/>
  <c r="I42" i="5" s="1"/>
  <c r="J42" i="5" s="1"/>
  <c r="H43" i="5"/>
  <c r="I43" i="5" s="1"/>
  <c r="J43" i="5" s="1"/>
  <c r="H44" i="5"/>
  <c r="I44" i="5" s="1"/>
  <c r="J44" i="5" s="1"/>
  <c r="H45" i="5"/>
  <c r="I45" i="5" s="1"/>
  <c r="J45" i="5" s="1"/>
  <c r="H46" i="5"/>
  <c r="I46" i="5" s="1"/>
  <c r="J46" i="5" s="1"/>
  <c r="H41" i="5"/>
  <c r="I41" i="5" s="1"/>
  <c r="J41" i="5" s="1"/>
  <c r="D42" i="5"/>
  <c r="E42" i="5" s="1"/>
  <c r="F42" i="5" s="1"/>
  <c r="D43" i="5"/>
  <c r="E43" i="5" s="1"/>
  <c r="F43" i="5" s="1"/>
  <c r="D44" i="5"/>
  <c r="E44" i="5" s="1"/>
  <c r="F44" i="5" s="1"/>
  <c r="D45" i="5"/>
  <c r="E45" i="5" s="1"/>
  <c r="F45" i="5" s="1"/>
  <c r="D46" i="5"/>
  <c r="E46" i="5" s="1"/>
  <c r="F46" i="5" s="1"/>
  <c r="D41" i="5"/>
  <c r="E41" i="5" s="1"/>
  <c r="F41" i="5" s="1"/>
  <c r="L31" i="5"/>
  <c r="M31" i="5" s="1"/>
  <c r="N31" i="5" s="1"/>
  <c r="L32" i="5"/>
  <c r="M32" i="5" s="1"/>
  <c r="N32" i="5" s="1"/>
  <c r="L33" i="5"/>
  <c r="M33" i="5" s="1"/>
  <c r="N33" i="5" s="1"/>
  <c r="L34" i="5"/>
  <c r="M34" i="5" s="1"/>
  <c r="N34" i="5" s="1"/>
  <c r="L35" i="5"/>
  <c r="M35" i="5" s="1"/>
  <c r="N35" i="5" s="1"/>
  <c r="L30" i="5"/>
  <c r="M30" i="5" s="1"/>
  <c r="N30" i="5" s="1"/>
  <c r="L20" i="5"/>
  <c r="H20" i="5" s="1"/>
  <c r="I20" i="5" s="1"/>
  <c r="J20" i="5" s="1"/>
  <c r="L21" i="5"/>
  <c r="D21" i="5" s="1"/>
  <c r="E21" i="5" s="1"/>
  <c r="F21" i="5" s="1"/>
  <c r="L22" i="5"/>
  <c r="H22" i="5" s="1"/>
  <c r="I22" i="5" s="1"/>
  <c r="J22" i="5" s="1"/>
  <c r="L23" i="5"/>
  <c r="D23" i="5" s="1"/>
  <c r="E23" i="5" s="1"/>
  <c r="F23" i="5" s="1"/>
  <c r="L24" i="5"/>
  <c r="H24" i="5" s="1"/>
  <c r="I24" i="5" s="1"/>
  <c r="J24" i="5" s="1"/>
  <c r="L19" i="5"/>
  <c r="P19" i="5" s="1"/>
  <c r="Q19" i="5" s="1"/>
  <c r="R19" i="5" s="1"/>
  <c r="T10" i="5"/>
  <c r="U10" i="5" s="1"/>
  <c r="V10" i="5" s="1"/>
  <c r="P10" i="5"/>
  <c r="Q10" i="5" s="1"/>
  <c r="R10" i="5" s="1"/>
  <c r="H10" i="5"/>
  <c r="I10" i="5" s="1"/>
  <c r="J10" i="5" s="1"/>
  <c r="D10" i="5"/>
  <c r="E10" i="5" s="1"/>
  <c r="F10" i="5" s="1"/>
  <c r="L13" i="5"/>
  <c r="T13" i="5" s="1"/>
  <c r="U13" i="5" s="1"/>
  <c r="V13" i="5" s="1"/>
  <c r="L12" i="5"/>
  <c r="P12" i="5" s="1"/>
  <c r="Q12" i="5" s="1"/>
  <c r="R12" i="5" s="1"/>
  <c r="L11" i="5"/>
  <c r="T11" i="5" s="1"/>
  <c r="U11" i="5" s="1"/>
  <c r="V11" i="5" s="1"/>
  <c r="L9" i="5"/>
  <c r="T9" i="5" s="1"/>
  <c r="U9" i="5" s="1"/>
  <c r="V9" i="5" s="1"/>
  <c r="D8" i="5"/>
  <c r="E8" i="5" s="1"/>
  <c r="F8" i="5" s="1"/>
  <c r="L8" i="5"/>
  <c r="T8" i="5" s="1"/>
  <c r="U8" i="5" s="1"/>
  <c r="V8" i="5" s="1"/>
  <c r="D24" i="4"/>
  <c r="E24" i="4" s="1"/>
  <c r="F24" i="4" s="1"/>
  <c r="D23" i="4"/>
  <c r="E23" i="4" s="1"/>
  <c r="F23" i="4" s="1"/>
  <c r="D22" i="4"/>
  <c r="D21" i="4"/>
  <c r="E21" i="4" s="1"/>
  <c r="F21" i="4" s="1"/>
  <c r="D20" i="4"/>
  <c r="E20" i="4" s="1"/>
  <c r="F20" i="4" s="1"/>
  <c r="D19" i="4"/>
  <c r="E19" i="4" s="1"/>
  <c r="F19" i="4" s="1"/>
  <c r="D13" i="4"/>
  <c r="E13" i="4" s="1"/>
  <c r="F13" i="4" s="1"/>
  <c r="D12" i="4"/>
  <c r="E12" i="4" s="1"/>
  <c r="F12" i="4" s="1"/>
  <c r="D11" i="4"/>
  <c r="E11" i="4" s="1"/>
  <c r="F11" i="4" s="1"/>
  <c r="D10" i="4"/>
  <c r="E10" i="4" s="1"/>
  <c r="F10" i="4" s="1"/>
  <c r="D9" i="4"/>
  <c r="E9" i="4" s="1"/>
  <c r="F9" i="4" s="1"/>
  <c r="D8" i="4"/>
  <c r="E8" i="4" s="1"/>
  <c r="F8" i="4" s="1"/>
  <c r="AF31" i="3"/>
  <c r="AG31" i="3" s="1"/>
  <c r="AH31" i="3" s="1"/>
  <c r="AF30" i="3"/>
  <c r="AG30" i="3" s="1"/>
  <c r="AH30" i="3" s="1"/>
  <c r="AF29" i="3"/>
  <c r="AG29" i="3" s="1"/>
  <c r="AH29" i="3" s="1"/>
  <c r="AF28" i="3"/>
  <c r="AG28" i="3" s="1"/>
  <c r="AH28" i="3" s="1"/>
  <c r="AF27" i="3"/>
  <c r="AG27" i="3" s="1"/>
  <c r="AH27" i="3" s="1"/>
  <c r="AF26" i="3"/>
  <c r="AG26" i="3" s="1"/>
  <c r="AH26" i="3" s="1"/>
  <c r="AF25" i="3"/>
  <c r="AG25" i="3" s="1"/>
  <c r="AH25" i="3" s="1"/>
  <c r="AF24" i="3"/>
  <c r="AG24" i="3" s="1"/>
  <c r="AH24" i="3" s="1"/>
  <c r="AF23" i="3"/>
  <c r="AG23" i="3" s="1"/>
  <c r="AH23" i="3" s="1"/>
  <c r="AB31" i="3"/>
  <c r="AC31" i="3" s="1"/>
  <c r="AD31" i="3" s="1"/>
  <c r="AB30" i="3"/>
  <c r="AC30" i="3" s="1"/>
  <c r="AD30" i="3" s="1"/>
  <c r="AB29" i="3"/>
  <c r="AC29" i="3" s="1"/>
  <c r="AD29" i="3" s="1"/>
  <c r="AB28" i="3"/>
  <c r="AC28" i="3" s="1"/>
  <c r="AD28" i="3" s="1"/>
  <c r="AB27" i="3"/>
  <c r="AC27" i="3" s="1"/>
  <c r="AD27" i="3" s="1"/>
  <c r="AB26" i="3"/>
  <c r="AC26" i="3" s="1"/>
  <c r="AD26" i="3" s="1"/>
  <c r="AB25" i="3"/>
  <c r="AC25" i="3" s="1"/>
  <c r="AD25" i="3" s="1"/>
  <c r="AB24" i="3"/>
  <c r="AC24" i="3" s="1"/>
  <c r="AD24" i="3" s="1"/>
  <c r="AB23" i="3"/>
  <c r="AC23" i="3" s="1"/>
  <c r="AD23" i="3" s="1"/>
  <c r="X31" i="3"/>
  <c r="Y31" i="3" s="1"/>
  <c r="Z31" i="3" s="1"/>
  <c r="X30" i="3"/>
  <c r="Y30" i="3" s="1"/>
  <c r="Z30" i="3" s="1"/>
  <c r="X29" i="3"/>
  <c r="Y29" i="3" s="1"/>
  <c r="Z29" i="3" s="1"/>
  <c r="X28" i="3"/>
  <c r="Y28" i="3" s="1"/>
  <c r="Z28" i="3" s="1"/>
  <c r="X27" i="3"/>
  <c r="Y27" i="3" s="1"/>
  <c r="Z27" i="3" s="1"/>
  <c r="X26" i="3"/>
  <c r="Y26" i="3" s="1"/>
  <c r="Z26" i="3" s="1"/>
  <c r="X25" i="3"/>
  <c r="Y25" i="3" s="1"/>
  <c r="Z25" i="3" s="1"/>
  <c r="X24" i="3"/>
  <c r="Y24" i="3" s="1"/>
  <c r="Z24" i="3" s="1"/>
  <c r="X23" i="3"/>
  <c r="Y23" i="3" s="1"/>
  <c r="Z23" i="3" s="1"/>
  <c r="T31" i="3"/>
  <c r="U31" i="3" s="1"/>
  <c r="V31" i="3" s="1"/>
  <c r="T30" i="3"/>
  <c r="U30" i="3" s="1"/>
  <c r="V30" i="3" s="1"/>
  <c r="T29" i="3"/>
  <c r="U29" i="3" s="1"/>
  <c r="V29" i="3" s="1"/>
  <c r="T28" i="3"/>
  <c r="U28" i="3" s="1"/>
  <c r="V28" i="3" s="1"/>
  <c r="T27" i="3"/>
  <c r="U27" i="3" s="1"/>
  <c r="V27" i="3" s="1"/>
  <c r="T26" i="3"/>
  <c r="U26" i="3" s="1"/>
  <c r="V26" i="3" s="1"/>
  <c r="T25" i="3"/>
  <c r="U25" i="3" s="1"/>
  <c r="V25" i="3" s="1"/>
  <c r="T24" i="3"/>
  <c r="U24" i="3" s="1"/>
  <c r="V24" i="3" s="1"/>
  <c r="T23" i="3"/>
  <c r="U23" i="3" s="1"/>
  <c r="V23" i="3" s="1"/>
  <c r="P31" i="3"/>
  <c r="Q31" i="3" s="1"/>
  <c r="R31" i="3" s="1"/>
  <c r="P30" i="3"/>
  <c r="Q30" i="3" s="1"/>
  <c r="R30" i="3" s="1"/>
  <c r="P29" i="3"/>
  <c r="Q29" i="3" s="1"/>
  <c r="R29" i="3" s="1"/>
  <c r="P28" i="3"/>
  <c r="Q28" i="3" s="1"/>
  <c r="R28" i="3" s="1"/>
  <c r="P27" i="3"/>
  <c r="Q27" i="3" s="1"/>
  <c r="R27" i="3" s="1"/>
  <c r="P26" i="3"/>
  <c r="Q26" i="3" s="1"/>
  <c r="R26" i="3" s="1"/>
  <c r="P25" i="3"/>
  <c r="Q25" i="3" s="1"/>
  <c r="R25" i="3" s="1"/>
  <c r="P24" i="3"/>
  <c r="Q24" i="3" s="1"/>
  <c r="R24" i="3" s="1"/>
  <c r="P23" i="3"/>
  <c r="Q23" i="3" s="1"/>
  <c r="R23" i="3" s="1"/>
  <c r="L31" i="3"/>
  <c r="M31" i="3" s="1"/>
  <c r="N31" i="3" s="1"/>
  <c r="L30" i="3"/>
  <c r="M30" i="3" s="1"/>
  <c r="N30" i="3" s="1"/>
  <c r="L29" i="3"/>
  <c r="M29" i="3" s="1"/>
  <c r="N29" i="3" s="1"/>
  <c r="L28" i="3"/>
  <c r="M28" i="3" s="1"/>
  <c r="N28" i="3" s="1"/>
  <c r="L27" i="3"/>
  <c r="M27" i="3" s="1"/>
  <c r="N27" i="3" s="1"/>
  <c r="I11" i="17" l="1"/>
  <c r="J11" i="17" s="1"/>
  <c r="D44" i="10"/>
  <c r="E44" i="10" s="1"/>
  <c r="F44" i="10" s="1"/>
  <c r="D45" i="22"/>
  <c r="L20" i="16"/>
  <c r="M20" i="16" s="1"/>
  <c r="N20" i="16" s="1"/>
  <c r="H45" i="17"/>
  <c r="I45" i="17" s="1"/>
  <c r="J45" i="17" s="1"/>
  <c r="H53" i="12"/>
  <c r="I53" i="12" s="1"/>
  <c r="J53" i="12" s="1"/>
  <c r="H44" i="10"/>
  <c r="M43" i="17"/>
  <c r="N43" i="17" s="1"/>
  <c r="M53" i="19"/>
  <c r="N53" i="19" s="1"/>
  <c r="M57" i="19"/>
  <c r="N57" i="19" s="1"/>
  <c r="Q52" i="20"/>
  <c r="R52" i="20" s="1"/>
  <c r="Q54" i="20"/>
  <c r="R54" i="20" s="1"/>
  <c r="M12" i="21"/>
  <c r="N12" i="21" s="1"/>
  <c r="E20" i="21"/>
  <c r="F20" i="21" s="1"/>
  <c r="E22" i="21"/>
  <c r="F22" i="21" s="1"/>
  <c r="E24" i="21"/>
  <c r="F24" i="21" s="1"/>
  <c r="E32" i="21"/>
  <c r="F32" i="21" s="1"/>
  <c r="E43" i="21"/>
  <c r="F43" i="21" s="1"/>
  <c r="E8" i="24"/>
  <c r="F8" i="24" s="1"/>
  <c r="E10" i="24"/>
  <c r="F10" i="24" s="1"/>
  <c r="I10" i="24" s="1"/>
  <c r="J10" i="24" s="1"/>
  <c r="H46" i="6"/>
  <c r="I46" i="6" s="1"/>
  <c r="J46" i="6" s="1"/>
  <c r="L46" i="7"/>
  <c r="M46" i="7" s="1"/>
  <c r="N46" i="7" s="1"/>
  <c r="L54" i="7"/>
  <c r="M54" i="7" s="1"/>
  <c r="N54" i="7" s="1"/>
  <c r="H10" i="8"/>
  <c r="I10" i="8" s="1"/>
  <c r="J10" i="8" s="1"/>
  <c r="H24" i="8"/>
  <c r="I24" i="8" s="1"/>
  <c r="J24" i="8" s="1"/>
  <c r="L24" i="8"/>
  <c r="M24" i="8" s="1"/>
  <c r="N24" i="8" s="1"/>
  <c r="D45" i="8"/>
  <c r="E45" i="8" s="1"/>
  <c r="F45" i="8" s="1"/>
  <c r="H45" i="8"/>
  <c r="I45" i="8" s="1"/>
  <c r="J45" i="8" s="1"/>
  <c r="T45" i="8"/>
  <c r="U45" i="8" s="1"/>
  <c r="V45" i="8" s="1"/>
  <c r="P67" i="8"/>
  <c r="Q67" i="8" s="1"/>
  <c r="R67" i="8" s="1"/>
  <c r="P41" i="9"/>
  <c r="Q41" i="9" s="1"/>
  <c r="R41" i="9" s="1"/>
  <c r="H56" i="9"/>
  <c r="I56" i="9" s="1"/>
  <c r="J56" i="9" s="1"/>
  <c r="H65" i="9"/>
  <c r="I65" i="9" s="1"/>
  <c r="J65" i="9" s="1"/>
  <c r="P65" i="9"/>
  <c r="Q65" i="9" s="1"/>
  <c r="R65" i="9" s="1"/>
  <c r="D21" i="13"/>
  <c r="E21" i="13" s="1"/>
  <c r="F21" i="13" s="1"/>
  <c r="Q24" i="8"/>
  <c r="R24" i="8" s="1"/>
  <c r="I12" i="12"/>
  <c r="J12" i="12" s="1"/>
  <c r="D12" i="10"/>
  <c r="I12" i="10"/>
  <c r="J12" i="10" s="1"/>
  <c r="D19" i="10"/>
  <c r="I19" i="10"/>
  <c r="J19" i="10" s="1"/>
  <c r="D32" i="16"/>
  <c r="E32" i="16" s="1"/>
  <c r="F32" i="16" s="1"/>
  <c r="Q32" i="16" s="1"/>
  <c r="R32" i="16" s="1"/>
  <c r="D44" i="16"/>
  <c r="E44" i="16" s="1"/>
  <c r="F44" i="16" s="1"/>
  <c r="L44" i="16"/>
  <c r="M44" i="16" s="1"/>
  <c r="N44" i="16" s="1"/>
  <c r="L11" i="17"/>
  <c r="M11" i="17" s="1"/>
  <c r="N11" i="17" s="1"/>
  <c r="L20" i="17"/>
  <c r="M20" i="17" s="1"/>
  <c r="N20" i="17" s="1"/>
  <c r="D9" i="18"/>
  <c r="E9" i="18" s="1"/>
  <c r="F9" i="18" s="1"/>
  <c r="P13" i="18"/>
  <c r="Q13" i="18" s="1"/>
  <c r="R13" i="18" s="1"/>
  <c r="P35" i="18"/>
  <c r="H55" i="18"/>
  <c r="I55" i="18" s="1"/>
  <c r="J55" i="18" s="1"/>
  <c r="P12" i="19"/>
  <c r="Q12" i="19" s="1"/>
  <c r="R12" i="19" s="1"/>
  <c r="L23" i="19"/>
  <c r="P21" i="19"/>
  <c r="Q21" i="19" s="1"/>
  <c r="R21" i="19" s="1"/>
  <c r="D57" i="19"/>
  <c r="E57" i="19" s="1"/>
  <c r="F57" i="19" s="1"/>
  <c r="H57" i="19"/>
  <c r="I57" i="19" s="1"/>
  <c r="J57" i="19" s="1"/>
  <c r="P55" i="19"/>
  <c r="Q55" i="19" s="1"/>
  <c r="R55" i="19" s="1"/>
  <c r="L13" i="20"/>
  <c r="M13" i="20" s="1"/>
  <c r="N13" i="20" s="1"/>
  <c r="L24" i="20"/>
  <c r="M24" i="20" s="1"/>
  <c r="N24" i="20" s="1"/>
  <c r="D42" i="20"/>
  <c r="E42" i="20" s="1"/>
  <c r="F42" i="20" s="1"/>
  <c r="E34" i="21"/>
  <c r="F34" i="21" s="1"/>
  <c r="L31" i="21"/>
  <c r="M31" i="21" s="1"/>
  <c r="N31" i="21" s="1"/>
  <c r="L41" i="21"/>
  <c r="M41" i="21" s="1"/>
  <c r="N41" i="21" s="1"/>
  <c r="H11" i="22"/>
  <c r="I11" i="22" s="1"/>
  <c r="J11" i="22" s="1"/>
  <c r="D56" i="7"/>
  <c r="E56" i="7" s="1"/>
  <c r="F56" i="7" s="1"/>
  <c r="D10" i="8"/>
  <c r="E10" i="8" s="1"/>
  <c r="F10" i="8" s="1"/>
  <c r="H22" i="8"/>
  <c r="I22" i="8" s="1"/>
  <c r="J22" i="8" s="1"/>
  <c r="D32" i="8"/>
  <c r="E32" i="8" s="1"/>
  <c r="F32" i="8" s="1"/>
  <c r="D43" i="8"/>
  <c r="E43" i="8" s="1"/>
  <c r="F43" i="8" s="1"/>
  <c r="H43" i="8"/>
  <c r="I43" i="8" s="1"/>
  <c r="J43" i="8" s="1"/>
  <c r="T43" i="8"/>
  <c r="U43" i="8" s="1"/>
  <c r="V43" i="8" s="1"/>
  <c r="L21" i="9"/>
  <c r="M21" i="9" s="1"/>
  <c r="N21" i="9" s="1"/>
  <c r="P43" i="9"/>
  <c r="Q43" i="9" s="1"/>
  <c r="R43" i="9" s="1"/>
  <c r="P56" i="9"/>
  <c r="Q56" i="9" s="1"/>
  <c r="R56" i="9" s="1"/>
  <c r="P63" i="9"/>
  <c r="Q63" i="9" s="1"/>
  <c r="R63" i="9" s="1"/>
  <c r="L21" i="13"/>
  <c r="M21" i="13" s="1"/>
  <c r="N21" i="13" s="1"/>
  <c r="L19" i="12"/>
  <c r="M19" i="12" s="1"/>
  <c r="N19" i="12" s="1"/>
  <c r="D42" i="12"/>
  <c r="E42" i="12" s="1"/>
  <c r="F42" i="12" s="1"/>
  <c r="D53" i="12"/>
  <c r="E53" i="12" s="1"/>
  <c r="F53" i="12" s="1"/>
  <c r="I33" i="7"/>
  <c r="J33" i="7" s="1"/>
  <c r="U63" i="8"/>
  <c r="V63" i="8" s="1"/>
  <c r="M63" i="9"/>
  <c r="N63" i="9" s="1"/>
  <c r="M42" i="12"/>
  <c r="N42" i="12" s="1"/>
  <c r="D22" i="16"/>
  <c r="E22" i="16" s="1"/>
  <c r="F22" i="16" s="1"/>
  <c r="Q22" i="16" s="1"/>
  <c r="R22" i="16" s="1"/>
  <c r="D22" i="17"/>
  <c r="E22" i="17" s="1"/>
  <c r="F22" i="17" s="1"/>
  <c r="D13" i="18"/>
  <c r="E13" i="18" s="1"/>
  <c r="F13" i="18" s="1"/>
  <c r="D57" i="18"/>
  <c r="E57" i="18" s="1"/>
  <c r="F57" i="18" s="1"/>
  <c r="L55" i="18"/>
  <c r="M55" i="18" s="1"/>
  <c r="N55" i="18" s="1"/>
  <c r="D12" i="19"/>
  <c r="E12" i="19" s="1"/>
  <c r="F12" i="19" s="1"/>
  <c r="L21" i="19"/>
  <c r="L32" i="19"/>
  <c r="H44" i="19"/>
  <c r="I44" i="19" s="1"/>
  <c r="J44" i="19" s="1"/>
  <c r="D55" i="19"/>
  <c r="E55" i="19" s="1"/>
  <c r="F55" i="19" s="1"/>
  <c r="D11" i="20"/>
  <c r="H21" i="20"/>
  <c r="D32" i="20"/>
  <c r="E32" i="20" s="1"/>
  <c r="F32" i="20" s="1"/>
  <c r="H24" i="21"/>
  <c r="I24" i="21" s="1"/>
  <c r="J24" i="21" s="1"/>
  <c r="L34" i="21"/>
  <c r="M34" i="21" s="1"/>
  <c r="N34" i="21" s="1"/>
  <c r="H43" i="21"/>
  <c r="I43" i="21" s="1"/>
  <c r="J43" i="21" s="1"/>
  <c r="L30" i="22"/>
  <c r="M30" i="22" s="1"/>
  <c r="N30" i="22" s="1"/>
  <c r="L19" i="6"/>
  <c r="M19" i="6" s="1"/>
  <c r="N19" i="6" s="1"/>
  <c r="I19" i="6"/>
  <c r="J19" i="6" s="1"/>
  <c r="P34" i="7"/>
  <c r="Q34" i="7" s="1"/>
  <c r="R34" i="7" s="1"/>
  <c r="I34" i="7"/>
  <c r="J34" i="7" s="1"/>
  <c r="D34" i="7"/>
  <c r="E34" i="7" s="1"/>
  <c r="F34" i="7" s="1"/>
  <c r="D32" i="7"/>
  <c r="E32" i="7" s="1"/>
  <c r="F32" i="7" s="1"/>
  <c r="L32" i="7"/>
  <c r="M32" i="7" s="1"/>
  <c r="N32" i="7" s="1"/>
  <c r="L57" i="7"/>
  <c r="M57" i="7" s="1"/>
  <c r="N57" i="7" s="1"/>
  <c r="T31" i="8"/>
  <c r="U31" i="8" s="1"/>
  <c r="V31" i="8" s="1"/>
  <c r="P68" i="8"/>
  <c r="Q68" i="8" s="1"/>
  <c r="R68" i="8" s="1"/>
  <c r="U68" i="8"/>
  <c r="V68" i="8" s="1"/>
  <c r="H68" i="8"/>
  <c r="I68" i="8" s="1"/>
  <c r="J68" i="8" s="1"/>
  <c r="H66" i="8"/>
  <c r="I66" i="8" s="1"/>
  <c r="J66" i="8" s="1"/>
  <c r="L68" i="8"/>
  <c r="M68" i="8" s="1"/>
  <c r="N68" i="8" s="1"/>
  <c r="L8" i="9"/>
  <c r="M8" i="9" s="1"/>
  <c r="N8" i="9" s="1"/>
  <c r="T20" i="9"/>
  <c r="U20" i="9" s="1"/>
  <c r="V20" i="9" s="1"/>
  <c r="I20" i="9"/>
  <c r="J20" i="9" s="1"/>
  <c r="D22" i="9"/>
  <c r="E22" i="9" s="1"/>
  <c r="F22" i="9" s="1"/>
  <c r="D20" i="9"/>
  <c r="E20" i="9" s="1"/>
  <c r="F20" i="9" s="1"/>
  <c r="P20" i="9"/>
  <c r="Q20" i="9" s="1"/>
  <c r="R20" i="9" s="1"/>
  <c r="D46" i="9"/>
  <c r="E46" i="9" s="1"/>
  <c r="F46" i="9" s="1"/>
  <c r="D42" i="9"/>
  <c r="E42" i="9" s="1"/>
  <c r="F42" i="9" s="1"/>
  <c r="T42" i="9"/>
  <c r="U42" i="9" s="1"/>
  <c r="V42" i="9" s="1"/>
  <c r="D55" i="9"/>
  <c r="E55" i="9" s="1"/>
  <c r="F55" i="9" s="1"/>
  <c r="D68" i="9"/>
  <c r="E68" i="9" s="1"/>
  <c r="F68" i="9" s="1"/>
  <c r="D64" i="9"/>
  <c r="E64" i="9" s="1"/>
  <c r="F64" i="9" s="1"/>
  <c r="T68" i="9"/>
  <c r="U68" i="9" s="1"/>
  <c r="V68" i="9" s="1"/>
  <c r="D43" i="13"/>
  <c r="E43" i="13" s="1"/>
  <c r="F43" i="13" s="1"/>
  <c r="D19" i="15"/>
  <c r="E19" i="15" s="1"/>
  <c r="F19" i="15" s="1"/>
  <c r="H21" i="11"/>
  <c r="I21" i="11" s="1"/>
  <c r="J21" i="11" s="1"/>
  <c r="D21" i="11"/>
  <c r="E21" i="11" s="1"/>
  <c r="F21" i="11" s="1"/>
  <c r="M34" i="11"/>
  <c r="N34" i="11" s="1"/>
  <c r="D34" i="11"/>
  <c r="E34" i="11" s="1"/>
  <c r="F34" i="11" s="1"/>
  <c r="H34" i="11"/>
  <c r="I34" i="11" s="1"/>
  <c r="J34" i="11" s="1"/>
  <c r="H42" i="11"/>
  <c r="I42" i="11" s="1"/>
  <c r="J42" i="11" s="1"/>
  <c r="N54" i="12"/>
  <c r="L33" i="16"/>
  <c r="M33" i="16" s="1"/>
  <c r="N33" i="16" s="1"/>
  <c r="D33" i="16"/>
  <c r="E33" i="16" s="1"/>
  <c r="F33" i="16" s="1"/>
  <c r="Q33" i="16" s="1"/>
  <c r="R33" i="16" s="1"/>
  <c r="H33" i="16"/>
  <c r="L43" i="16"/>
  <c r="M43" i="16" s="1"/>
  <c r="N43" i="16" s="1"/>
  <c r="H43" i="16"/>
  <c r="I43" i="16" s="1"/>
  <c r="J43" i="16" s="1"/>
  <c r="D43" i="16"/>
  <c r="E43" i="16" s="1"/>
  <c r="F43" i="16" s="1"/>
  <c r="Q43" i="16" s="1"/>
  <c r="R43" i="16" s="1"/>
  <c r="L10" i="17"/>
  <c r="M10" i="17" s="1"/>
  <c r="N10" i="17" s="1"/>
  <c r="D10" i="17"/>
  <c r="E10" i="17" s="1"/>
  <c r="F10" i="17" s="1"/>
  <c r="L23" i="17"/>
  <c r="M23" i="17" s="1"/>
  <c r="N23" i="17" s="1"/>
  <c r="D23" i="17"/>
  <c r="E23" i="17" s="1"/>
  <c r="F23" i="17" s="1"/>
  <c r="I23" i="17"/>
  <c r="J23" i="17" s="1"/>
  <c r="D19" i="17"/>
  <c r="E19" i="17" s="1"/>
  <c r="F19" i="17" s="1"/>
  <c r="L52" i="18"/>
  <c r="M52" i="18" s="1"/>
  <c r="N52" i="18" s="1"/>
  <c r="D52" i="18"/>
  <c r="E52" i="18" s="1"/>
  <c r="F52" i="18" s="1"/>
  <c r="Q52" i="18"/>
  <c r="R52" i="18" s="1"/>
  <c r="H52" i="18"/>
  <c r="I52" i="18" s="1"/>
  <c r="J52" i="18" s="1"/>
  <c r="P13" i="19"/>
  <c r="Q13" i="19" s="1"/>
  <c r="R13" i="19" s="1"/>
  <c r="L13" i="19"/>
  <c r="D13" i="19"/>
  <c r="E13" i="19" s="1"/>
  <c r="F13" i="19" s="1"/>
  <c r="L9" i="19"/>
  <c r="D9" i="19"/>
  <c r="E9" i="19" s="1"/>
  <c r="F9" i="19" s="1"/>
  <c r="P9" i="19"/>
  <c r="Q9" i="19" s="1"/>
  <c r="R9" i="19" s="1"/>
  <c r="H45" i="19"/>
  <c r="I45" i="19" s="1"/>
  <c r="J45" i="19" s="1"/>
  <c r="P45" i="19"/>
  <c r="Q45" i="19" s="1"/>
  <c r="R45" i="19" s="1"/>
  <c r="D43" i="19"/>
  <c r="E43" i="19" s="1"/>
  <c r="F43" i="19" s="1"/>
  <c r="H43" i="19"/>
  <c r="I43" i="19" s="1"/>
  <c r="J43" i="19" s="1"/>
  <c r="D45" i="19"/>
  <c r="E45" i="19" s="1"/>
  <c r="F45" i="19" s="1"/>
  <c r="D45" i="20"/>
  <c r="E45" i="20" s="1"/>
  <c r="F45" i="20" s="1"/>
  <c r="L45" i="20"/>
  <c r="L20" i="6"/>
  <c r="M20" i="6" s="1"/>
  <c r="N20" i="6" s="1"/>
  <c r="I20" i="6"/>
  <c r="J20" i="6" s="1"/>
  <c r="H41" i="6"/>
  <c r="I41" i="6" s="1"/>
  <c r="J41" i="6" s="1"/>
  <c r="D46" i="6"/>
  <c r="E46" i="6" s="1"/>
  <c r="F46" i="6" s="1"/>
  <c r="D43" i="6"/>
  <c r="E43" i="6" s="1"/>
  <c r="F43" i="6" s="1"/>
  <c r="H13" i="7"/>
  <c r="I13" i="7" s="1"/>
  <c r="J13" i="7" s="1"/>
  <c r="E13" i="7"/>
  <c r="F13" i="7" s="1"/>
  <c r="L8" i="7"/>
  <c r="M8" i="7" s="1"/>
  <c r="N8" i="7" s="1"/>
  <c r="L12" i="7"/>
  <c r="M12" i="7" s="1"/>
  <c r="N12" i="7" s="1"/>
  <c r="D33" i="7"/>
  <c r="E33" i="7" s="1"/>
  <c r="F33" i="7" s="1"/>
  <c r="L34" i="7"/>
  <c r="M34" i="7" s="1"/>
  <c r="N34" i="7" s="1"/>
  <c r="L41" i="7"/>
  <c r="M41" i="7" s="1"/>
  <c r="N41" i="7" s="1"/>
  <c r="D52" i="7"/>
  <c r="E52" i="7" s="1"/>
  <c r="F52" i="7" s="1"/>
  <c r="L52" i="7"/>
  <c r="M52" i="7" s="1"/>
  <c r="N52" i="7" s="1"/>
  <c r="L56" i="7"/>
  <c r="M56" i="7" s="1"/>
  <c r="N56" i="7" s="1"/>
  <c r="L10" i="8"/>
  <c r="M10" i="8" s="1"/>
  <c r="N10" i="8" s="1"/>
  <c r="Q10" i="8"/>
  <c r="R10" i="8" s="1"/>
  <c r="D11" i="8"/>
  <c r="E11" i="8" s="1"/>
  <c r="F11" i="8" s="1"/>
  <c r="D9" i="8"/>
  <c r="E9" i="8" s="1"/>
  <c r="F9" i="8" s="1"/>
  <c r="H9" i="8"/>
  <c r="I9" i="8" s="1"/>
  <c r="J9" i="8" s="1"/>
  <c r="T11" i="8"/>
  <c r="U11" i="8" s="1"/>
  <c r="V11" i="8" s="1"/>
  <c r="T9" i="8"/>
  <c r="U9" i="8" s="1"/>
  <c r="V9" i="8" s="1"/>
  <c r="D24" i="8"/>
  <c r="E24" i="8" s="1"/>
  <c r="F24" i="8" s="1"/>
  <c r="H19" i="8"/>
  <c r="I19" i="8" s="1"/>
  <c r="J19" i="8" s="1"/>
  <c r="H23" i="8"/>
  <c r="I23" i="8" s="1"/>
  <c r="J23" i="8" s="1"/>
  <c r="H21" i="8"/>
  <c r="I21" i="8" s="1"/>
  <c r="J21" i="8" s="1"/>
  <c r="T19" i="8"/>
  <c r="U19" i="8" s="1"/>
  <c r="V19" i="8" s="1"/>
  <c r="D33" i="8"/>
  <c r="E33" i="8" s="1"/>
  <c r="F33" i="8" s="1"/>
  <c r="H30" i="8"/>
  <c r="I30" i="8" s="1"/>
  <c r="J30" i="8" s="1"/>
  <c r="H33" i="8"/>
  <c r="I33" i="8" s="1"/>
  <c r="J33" i="8" s="1"/>
  <c r="L33" i="8"/>
  <c r="M33" i="8" s="1"/>
  <c r="N33" i="8" s="1"/>
  <c r="D46" i="8"/>
  <c r="E46" i="8" s="1"/>
  <c r="F46" i="8" s="1"/>
  <c r="D44" i="8"/>
  <c r="E44" i="8" s="1"/>
  <c r="F44" i="8" s="1"/>
  <c r="D42" i="8"/>
  <c r="E42" i="8" s="1"/>
  <c r="F42" i="8" s="1"/>
  <c r="H44" i="8"/>
  <c r="I44" i="8" s="1"/>
  <c r="J44" i="8" s="1"/>
  <c r="T46" i="8"/>
  <c r="U46" i="8" s="1"/>
  <c r="V46" i="8" s="1"/>
  <c r="T44" i="8"/>
  <c r="U44" i="8" s="1"/>
  <c r="V44" i="8" s="1"/>
  <c r="D63" i="8"/>
  <c r="E63" i="8" s="1"/>
  <c r="F63" i="8" s="1"/>
  <c r="D67" i="8"/>
  <c r="E67" i="8" s="1"/>
  <c r="F67" i="8" s="1"/>
  <c r="H67" i="8"/>
  <c r="I67" i="8" s="1"/>
  <c r="J67" i="8" s="1"/>
  <c r="H65" i="8"/>
  <c r="I65" i="8" s="1"/>
  <c r="J65" i="8" s="1"/>
  <c r="P63" i="8"/>
  <c r="Q63" i="8" s="1"/>
  <c r="R63" i="8" s="1"/>
  <c r="P66" i="8"/>
  <c r="Q66" i="8" s="1"/>
  <c r="R66" i="8" s="1"/>
  <c r="D11" i="9"/>
  <c r="E11" i="9" s="1"/>
  <c r="F11" i="9" s="1"/>
  <c r="L13" i="9"/>
  <c r="M13" i="9" s="1"/>
  <c r="N13" i="9" s="1"/>
  <c r="L11" i="9"/>
  <c r="M11" i="9" s="1"/>
  <c r="N11" i="9" s="1"/>
  <c r="P11" i="9"/>
  <c r="Q11" i="9" s="1"/>
  <c r="R11" i="9" s="1"/>
  <c r="D23" i="9"/>
  <c r="E23" i="9" s="1"/>
  <c r="F23" i="9" s="1"/>
  <c r="D21" i="9"/>
  <c r="E21" i="9" s="1"/>
  <c r="F21" i="9" s="1"/>
  <c r="L22" i="9"/>
  <c r="M22" i="9" s="1"/>
  <c r="N22" i="9" s="1"/>
  <c r="L20" i="9"/>
  <c r="M20" i="9" s="1"/>
  <c r="N20" i="9" s="1"/>
  <c r="T23" i="9"/>
  <c r="U23" i="9" s="1"/>
  <c r="V23" i="9" s="1"/>
  <c r="D41" i="9"/>
  <c r="E41" i="9" s="1"/>
  <c r="F41" i="9" s="1"/>
  <c r="D43" i="9"/>
  <c r="E43" i="9" s="1"/>
  <c r="F43" i="9" s="1"/>
  <c r="H46" i="9"/>
  <c r="I46" i="9" s="1"/>
  <c r="J46" i="9" s="1"/>
  <c r="P46" i="9"/>
  <c r="Q46" i="9" s="1"/>
  <c r="R46" i="9" s="1"/>
  <c r="D56" i="9"/>
  <c r="E56" i="9" s="1"/>
  <c r="F56" i="9" s="1"/>
  <c r="H52" i="9"/>
  <c r="I52" i="9" s="1"/>
  <c r="J52" i="9" s="1"/>
  <c r="H55" i="9"/>
  <c r="I55" i="9" s="1"/>
  <c r="J55" i="9" s="1"/>
  <c r="D63" i="9"/>
  <c r="E63" i="9" s="1"/>
  <c r="F63" i="9" s="1"/>
  <c r="D65" i="9"/>
  <c r="E65" i="9" s="1"/>
  <c r="F65" i="9" s="1"/>
  <c r="H67" i="9"/>
  <c r="I67" i="9" s="1"/>
  <c r="J67" i="9" s="1"/>
  <c r="H64" i="9"/>
  <c r="I64" i="9" s="1"/>
  <c r="J64" i="9" s="1"/>
  <c r="P68" i="9"/>
  <c r="Q68" i="9" s="1"/>
  <c r="R68" i="9" s="1"/>
  <c r="P64" i="9"/>
  <c r="Q64" i="9" s="1"/>
  <c r="R64" i="9" s="1"/>
  <c r="D10" i="13"/>
  <c r="E10" i="13" s="1"/>
  <c r="F10" i="13" s="1"/>
  <c r="I10" i="13"/>
  <c r="J10" i="13" s="1"/>
  <c r="D12" i="13"/>
  <c r="E12" i="13" s="1"/>
  <c r="F12" i="13" s="1"/>
  <c r="D9" i="13"/>
  <c r="E9" i="13" s="1"/>
  <c r="F9" i="13" s="1"/>
  <c r="D19" i="13"/>
  <c r="E19" i="13" s="1"/>
  <c r="F19" i="13" s="1"/>
  <c r="D20" i="13"/>
  <c r="E20" i="13" s="1"/>
  <c r="F20" i="13" s="1"/>
  <c r="L20" i="13"/>
  <c r="M20" i="13" s="1"/>
  <c r="N20" i="13" s="1"/>
  <c r="D46" i="13"/>
  <c r="E46" i="13" s="1"/>
  <c r="F46" i="13" s="1"/>
  <c r="D42" i="13"/>
  <c r="E42" i="13" s="1"/>
  <c r="F42" i="13" s="1"/>
  <c r="H46" i="13"/>
  <c r="I46" i="13" s="1"/>
  <c r="J46" i="13" s="1"/>
  <c r="H24" i="11"/>
  <c r="I24" i="11" s="1"/>
  <c r="J24" i="11" s="1"/>
  <c r="M35" i="11"/>
  <c r="N35" i="11" s="1"/>
  <c r="H35" i="11"/>
  <c r="I35" i="11" s="1"/>
  <c r="J35" i="11" s="1"/>
  <c r="D35" i="11"/>
  <c r="E35" i="11" s="1"/>
  <c r="F35" i="11" s="1"/>
  <c r="H44" i="11"/>
  <c r="I44" i="11" s="1"/>
  <c r="J44" i="11" s="1"/>
  <c r="P9" i="12"/>
  <c r="Q9" i="12" s="1"/>
  <c r="R9" i="12" s="1"/>
  <c r="I9" i="12"/>
  <c r="J9" i="12" s="1"/>
  <c r="D9" i="12"/>
  <c r="E9" i="12" s="1"/>
  <c r="F9" i="12" s="1"/>
  <c r="I23" i="12"/>
  <c r="J23" i="12" s="1"/>
  <c r="P23" i="12"/>
  <c r="Q23" i="12" s="1"/>
  <c r="R23" i="12" s="1"/>
  <c r="D23" i="12"/>
  <c r="E23" i="12" s="1"/>
  <c r="F23" i="12" s="1"/>
  <c r="I24" i="6"/>
  <c r="J24" i="6" s="1"/>
  <c r="E9" i="7"/>
  <c r="F9" i="7" s="1"/>
  <c r="Q31" i="8"/>
  <c r="R31" i="8" s="1"/>
  <c r="U66" i="8"/>
  <c r="V66" i="8" s="1"/>
  <c r="M44" i="9"/>
  <c r="N44" i="9" s="1"/>
  <c r="M23" i="11"/>
  <c r="N23" i="11" s="1"/>
  <c r="I12" i="13"/>
  <c r="J12" i="13" s="1"/>
  <c r="M42" i="13"/>
  <c r="N42" i="13" s="1"/>
  <c r="M46" i="10"/>
  <c r="N46" i="10" s="1"/>
  <c r="D46" i="10"/>
  <c r="E46" i="10" s="1"/>
  <c r="F46" i="10" s="1"/>
  <c r="L21" i="16"/>
  <c r="M21" i="16" s="1"/>
  <c r="N21" i="16" s="1"/>
  <c r="D21" i="16"/>
  <c r="E21" i="16" s="1"/>
  <c r="F21" i="16" s="1"/>
  <c r="Q21" i="16" s="1"/>
  <c r="R21" i="16" s="1"/>
  <c r="H21" i="16"/>
  <c r="I21" i="16" s="1"/>
  <c r="J21" i="16" s="1"/>
  <c r="I19" i="17"/>
  <c r="J19" i="17" s="1"/>
  <c r="I21" i="17"/>
  <c r="J21" i="17" s="1"/>
  <c r="D46" i="17"/>
  <c r="E46" i="17" s="1"/>
  <c r="F46" i="17" s="1"/>
  <c r="M46" i="17"/>
  <c r="N46" i="17" s="1"/>
  <c r="H44" i="17"/>
  <c r="I44" i="17" s="1"/>
  <c r="J44" i="17" s="1"/>
  <c r="D44" i="17"/>
  <c r="E44" i="17" s="1"/>
  <c r="F44" i="17" s="1"/>
  <c r="M42" i="17"/>
  <c r="N42" i="17" s="1"/>
  <c r="D42" i="17"/>
  <c r="E42" i="17" s="1"/>
  <c r="F42" i="17" s="1"/>
  <c r="P10" i="18"/>
  <c r="Q10" i="18" s="1"/>
  <c r="R10" i="18" s="1"/>
  <c r="D10" i="18"/>
  <c r="E10" i="18" s="1"/>
  <c r="F10" i="18" s="1"/>
  <c r="H10" i="18"/>
  <c r="I10" i="18" s="1"/>
  <c r="J10" i="18" s="1"/>
  <c r="P24" i="18"/>
  <c r="Q24" i="18" s="1"/>
  <c r="R24" i="18" s="1"/>
  <c r="D24" i="18"/>
  <c r="H20" i="18"/>
  <c r="I20" i="18" s="1"/>
  <c r="J20" i="18" s="1"/>
  <c r="D20" i="18"/>
  <c r="M45" i="19"/>
  <c r="N45" i="19" s="1"/>
  <c r="P56" i="19"/>
  <c r="Q56" i="19" s="1"/>
  <c r="R56" i="19" s="1"/>
  <c r="H56" i="19"/>
  <c r="I56" i="19" s="1"/>
  <c r="J56" i="19" s="1"/>
  <c r="D56" i="19"/>
  <c r="E56" i="19" s="1"/>
  <c r="F56" i="19" s="1"/>
  <c r="M56" i="19"/>
  <c r="N56" i="19" s="1"/>
  <c r="M54" i="19"/>
  <c r="N54" i="19" s="1"/>
  <c r="P54" i="19"/>
  <c r="Q54" i="19" s="1"/>
  <c r="R54" i="19" s="1"/>
  <c r="Q45" i="20"/>
  <c r="R45" i="20" s="1"/>
  <c r="D8" i="20"/>
  <c r="L8" i="20"/>
  <c r="M8" i="20" s="1"/>
  <c r="N8" i="20" s="1"/>
  <c r="H8" i="20"/>
  <c r="E35" i="21"/>
  <c r="F35" i="21" s="1"/>
  <c r="H35" i="21"/>
  <c r="I35" i="21" s="1"/>
  <c r="J35" i="21" s="1"/>
  <c r="L46" i="22"/>
  <c r="D46" i="22"/>
  <c r="I46" i="22"/>
  <c r="J46" i="22" s="1"/>
  <c r="I42" i="22"/>
  <c r="J42" i="22" s="1"/>
  <c r="L42" i="22"/>
  <c r="L12" i="6"/>
  <c r="M12" i="6" s="1"/>
  <c r="N12" i="6" s="1"/>
  <c r="I12" i="6"/>
  <c r="J12" i="6" s="1"/>
  <c r="D41" i="6"/>
  <c r="E41" i="6" s="1"/>
  <c r="F41" i="6" s="1"/>
  <c r="D45" i="6"/>
  <c r="E45" i="6" s="1"/>
  <c r="F45" i="6" s="1"/>
  <c r="H8" i="7"/>
  <c r="I8" i="7" s="1"/>
  <c r="J8" i="7" s="1"/>
  <c r="D19" i="8"/>
  <c r="E19" i="8" s="1"/>
  <c r="F19" i="8" s="1"/>
  <c r="D23" i="8"/>
  <c r="E23" i="8" s="1"/>
  <c r="F23" i="8" s="1"/>
  <c r="T23" i="8"/>
  <c r="U23" i="8" s="1"/>
  <c r="V23" i="8" s="1"/>
  <c r="H31" i="8"/>
  <c r="I31" i="8" s="1"/>
  <c r="J31" i="8" s="1"/>
  <c r="T42" i="8"/>
  <c r="U42" i="8" s="1"/>
  <c r="V42" i="8" s="1"/>
  <c r="Q42" i="8"/>
  <c r="R42" i="8" s="1"/>
  <c r="L42" i="8"/>
  <c r="M42" i="8" s="1"/>
  <c r="N42" i="8" s="1"/>
  <c r="D68" i="8"/>
  <c r="E68" i="8" s="1"/>
  <c r="F68" i="8" s="1"/>
  <c r="D8" i="9"/>
  <c r="E8" i="9" s="1"/>
  <c r="F8" i="9" s="1"/>
  <c r="L12" i="9"/>
  <c r="M12" i="9" s="1"/>
  <c r="N12" i="9" s="1"/>
  <c r="P8" i="9"/>
  <c r="Q8" i="9" s="1"/>
  <c r="R8" i="9" s="1"/>
  <c r="T8" i="9"/>
  <c r="U8" i="9" s="1"/>
  <c r="V8" i="9" s="1"/>
  <c r="H42" i="9"/>
  <c r="I42" i="9" s="1"/>
  <c r="J42" i="9" s="1"/>
  <c r="M42" i="9"/>
  <c r="N42" i="9" s="1"/>
  <c r="T55" i="9"/>
  <c r="U55" i="9" s="1"/>
  <c r="V55" i="9" s="1"/>
  <c r="M55" i="9"/>
  <c r="N55" i="9" s="1"/>
  <c r="P53" i="9"/>
  <c r="Q53" i="9" s="1"/>
  <c r="R53" i="9" s="1"/>
  <c r="D13" i="13"/>
  <c r="E13" i="13" s="1"/>
  <c r="F13" i="13" s="1"/>
  <c r="I13" i="13"/>
  <c r="J13" i="13" s="1"/>
  <c r="L22" i="13"/>
  <c r="M22" i="13" s="1"/>
  <c r="N22" i="13" s="1"/>
  <c r="I22" i="13"/>
  <c r="J22" i="13" s="1"/>
  <c r="D41" i="13"/>
  <c r="E41" i="13" s="1"/>
  <c r="F41" i="13" s="1"/>
  <c r="H41" i="13"/>
  <c r="I41" i="13" s="1"/>
  <c r="J41" i="13" s="1"/>
  <c r="M36" i="11"/>
  <c r="N36" i="11" s="1"/>
  <c r="D36" i="11"/>
  <c r="E36" i="11" s="1"/>
  <c r="F36" i="11" s="1"/>
  <c r="D42" i="11"/>
  <c r="E42" i="11" s="1"/>
  <c r="F42" i="11" s="1"/>
  <c r="D45" i="12"/>
  <c r="E45" i="12" s="1"/>
  <c r="F45" i="12" s="1"/>
  <c r="P45" i="12"/>
  <c r="Q45" i="12" s="1"/>
  <c r="R45" i="12" s="1"/>
  <c r="H45" i="12"/>
  <c r="I45" i="12" s="1"/>
  <c r="J45" i="12" s="1"/>
  <c r="N56" i="12"/>
  <c r="P56" i="12"/>
  <c r="Q56" i="12" s="1"/>
  <c r="R56" i="12" s="1"/>
  <c r="H56" i="12"/>
  <c r="I56" i="12" s="1"/>
  <c r="J56" i="12" s="1"/>
  <c r="E8" i="7"/>
  <c r="F8" i="7" s="1"/>
  <c r="Q9" i="8"/>
  <c r="R9" i="8" s="1"/>
  <c r="M44" i="11"/>
  <c r="N44" i="11" s="1"/>
  <c r="M54" i="12"/>
  <c r="I21" i="10"/>
  <c r="J21" i="10" s="1"/>
  <c r="D21" i="10"/>
  <c r="H47" i="11"/>
  <c r="I47" i="11" s="1"/>
  <c r="J47" i="11" s="1"/>
  <c r="H43" i="11"/>
  <c r="I43" i="11" s="1"/>
  <c r="J43" i="11" s="1"/>
  <c r="D47" i="11"/>
  <c r="E47" i="11" s="1"/>
  <c r="F47" i="11" s="1"/>
  <c r="D12" i="12"/>
  <c r="E12" i="12" s="1"/>
  <c r="F12" i="12" s="1"/>
  <c r="P12" i="12"/>
  <c r="Q12" i="12" s="1"/>
  <c r="R12" i="12" s="1"/>
  <c r="D20" i="12"/>
  <c r="E20" i="12" s="1"/>
  <c r="F20" i="12" s="1"/>
  <c r="L20" i="12"/>
  <c r="M20" i="12" s="1"/>
  <c r="N20" i="12" s="1"/>
  <c r="H42" i="12"/>
  <c r="I42" i="12" s="1"/>
  <c r="J42" i="12" s="1"/>
  <c r="H55" i="12"/>
  <c r="I55" i="12" s="1"/>
  <c r="J55" i="12" s="1"/>
  <c r="M43" i="11"/>
  <c r="N43" i="11" s="1"/>
  <c r="I20" i="12"/>
  <c r="J20" i="12" s="1"/>
  <c r="H22" i="16"/>
  <c r="H32" i="16"/>
  <c r="I32" i="16" s="1"/>
  <c r="J32" i="16" s="1"/>
  <c r="L42" i="16"/>
  <c r="M42" i="16" s="1"/>
  <c r="N42" i="16" s="1"/>
  <c r="H9" i="18"/>
  <c r="I9" i="18" s="1"/>
  <c r="J9" i="18" s="1"/>
  <c r="P33" i="18"/>
  <c r="D33" i="18"/>
  <c r="D31" i="18"/>
  <c r="P31" i="18"/>
  <c r="P24" i="19"/>
  <c r="Q24" i="19" s="1"/>
  <c r="R24" i="19" s="1"/>
  <c r="L24" i="19"/>
  <c r="P22" i="19"/>
  <c r="Q22" i="19" s="1"/>
  <c r="R22" i="19" s="1"/>
  <c r="L22" i="19"/>
  <c r="D22" i="19"/>
  <c r="E22" i="19" s="1"/>
  <c r="F22" i="19" s="1"/>
  <c r="L34" i="19"/>
  <c r="L31" i="20"/>
  <c r="M31" i="20" s="1"/>
  <c r="N31" i="20" s="1"/>
  <c r="D31" i="20"/>
  <c r="E31" i="20" s="1"/>
  <c r="F31" i="20" s="1"/>
  <c r="L23" i="21"/>
  <c r="M23" i="21" s="1"/>
  <c r="N23" i="21" s="1"/>
  <c r="L44" i="21"/>
  <c r="M44" i="21" s="1"/>
  <c r="N44" i="21" s="1"/>
  <c r="H44" i="21"/>
  <c r="E42" i="21"/>
  <c r="F42" i="21" s="1"/>
  <c r="L42" i="21"/>
  <c r="M42" i="21" s="1"/>
  <c r="N42" i="21" s="1"/>
  <c r="H42" i="21"/>
  <c r="L12" i="22"/>
  <c r="M12" i="22" s="1"/>
  <c r="N12" i="22" s="1"/>
  <c r="H12" i="22"/>
  <c r="I12" i="22" s="1"/>
  <c r="J12" i="22" s="1"/>
  <c r="E10" i="22"/>
  <c r="F10" i="22" s="1"/>
  <c r="L10" i="22"/>
  <c r="M10" i="22" s="1"/>
  <c r="N10" i="22" s="1"/>
  <c r="H8" i="22"/>
  <c r="I8" i="22" s="1"/>
  <c r="J8" i="22" s="1"/>
  <c r="P30" i="18"/>
  <c r="H57" i="18"/>
  <c r="I57" i="18" s="1"/>
  <c r="J57" i="18" s="1"/>
  <c r="D19" i="19"/>
  <c r="E19" i="19" s="1"/>
  <c r="F19" i="19" s="1"/>
  <c r="D23" i="19"/>
  <c r="E23" i="19" s="1"/>
  <c r="F23" i="19" s="1"/>
  <c r="L33" i="19"/>
  <c r="L31" i="19"/>
  <c r="D44" i="19"/>
  <c r="E44" i="19" s="1"/>
  <c r="F44" i="19" s="1"/>
  <c r="L11" i="20"/>
  <c r="M11" i="20" s="1"/>
  <c r="N11" i="20" s="1"/>
  <c r="H24" i="20"/>
  <c r="D34" i="20"/>
  <c r="E34" i="20" s="1"/>
  <c r="F34" i="20" s="1"/>
  <c r="D44" i="20"/>
  <c r="E44" i="20" s="1"/>
  <c r="F44" i="20" s="1"/>
  <c r="L46" i="20"/>
  <c r="H20" i="21"/>
  <c r="I20" i="21" s="1"/>
  <c r="J20" i="21" s="1"/>
  <c r="L22" i="21"/>
  <c r="M22" i="21" s="1"/>
  <c r="N22" i="21" s="1"/>
  <c r="H31" i="21"/>
  <c r="I31" i="21" s="1"/>
  <c r="J31" i="21" s="1"/>
  <c r="L33" i="21"/>
  <c r="M33" i="21" s="1"/>
  <c r="N33" i="21" s="1"/>
  <c r="D32" i="22"/>
  <c r="P55" i="15"/>
  <c r="I19" i="15"/>
  <c r="J19" i="15" s="1"/>
  <c r="P54" i="15"/>
  <c r="Q54" i="15" s="1"/>
  <c r="R54" i="15" s="1"/>
  <c r="M54" i="15"/>
  <c r="N54" i="15" s="1"/>
  <c r="Y54" i="15" s="1"/>
  <c r="Z54" i="15" s="1"/>
  <c r="D55" i="15"/>
  <c r="E55" i="15" s="1"/>
  <c r="F55" i="15" s="1"/>
  <c r="M52" i="15"/>
  <c r="N52" i="15" s="1"/>
  <c r="Y52" i="15" s="1"/>
  <c r="Z52" i="15" s="1"/>
  <c r="D41" i="15"/>
  <c r="E41" i="15" s="1"/>
  <c r="F41" i="15" s="1"/>
  <c r="H57" i="15"/>
  <c r="I57" i="15" s="1"/>
  <c r="J57" i="15" s="1"/>
  <c r="D46" i="15"/>
  <c r="E46" i="15" s="1"/>
  <c r="F46" i="15" s="1"/>
  <c r="M57" i="15"/>
  <c r="N57" i="15" s="1"/>
  <c r="I21" i="15"/>
  <c r="J21" i="15" s="1"/>
  <c r="D9" i="15"/>
  <c r="E9" i="15" s="1"/>
  <c r="F9" i="15" s="1"/>
  <c r="L22" i="15"/>
  <c r="M22" i="15" s="1"/>
  <c r="N22" i="15" s="1"/>
  <c r="M55" i="15"/>
  <c r="N55" i="15" s="1"/>
  <c r="Y55" i="15" s="1"/>
  <c r="Z55" i="15" s="1"/>
  <c r="L21" i="15"/>
  <c r="M21" i="15" s="1"/>
  <c r="N21" i="15" s="1"/>
  <c r="D57" i="15"/>
  <c r="E57" i="15" s="1"/>
  <c r="F57" i="15" s="1"/>
  <c r="Q55" i="15"/>
  <c r="R55" i="15" s="1"/>
  <c r="L20" i="15"/>
  <c r="M20" i="15" s="1"/>
  <c r="N20" i="15" s="1"/>
  <c r="L9" i="15"/>
  <c r="M9" i="15" s="1"/>
  <c r="N9" i="15" s="1"/>
  <c r="D43" i="15"/>
  <c r="E43" i="15" s="1"/>
  <c r="F43" i="15" s="1"/>
  <c r="H53" i="15"/>
  <c r="I53" i="15" s="1"/>
  <c r="J53" i="15" s="1"/>
  <c r="U53" i="15" s="1"/>
  <c r="V53" i="15" s="1"/>
  <c r="M56" i="15"/>
  <c r="N56" i="15" s="1"/>
  <c r="Y56" i="15" s="1"/>
  <c r="Z56" i="15" s="1"/>
  <c r="D21" i="15"/>
  <c r="E21" i="15" s="1"/>
  <c r="F21" i="15" s="1"/>
  <c r="H41" i="15"/>
  <c r="I41" i="15" s="1"/>
  <c r="J41" i="15" s="1"/>
  <c r="M53" i="15"/>
  <c r="N53" i="15" s="1"/>
  <c r="Y53" i="15" s="1"/>
  <c r="Z53" i="15" s="1"/>
  <c r="D53" i="15"/>
  <c r="E53" i="15" s="1"/>
  <c r="F53" i="15" s="1"/>
  <c r="D56" i="15"/>
  <c r="E56" i="15" s="1"/>
  <c r="F56" i="15" s="1"/>
  <c r="H46" i="15"/>
  <c r="I46" i="15" s="1"/>
  <c r="J46" i="15" s="1"/>
  <c r="L10" i="6"/>
  <c r="M10" i="6" s="1"/>
  <c r="N10" i="6" s="1"/>
  <c r="I10" i="6"/>
  <c r="J10" i="6" s="1"/>
  <c r="H42" i="6"/>
  <c r="I42" i="6" s="1"/>
  <c r="J42" i="6" s="1"/>
  <c r="M42" i="6"/>
  <c r="N42" i="6" s="1"/>
  <c r="L8" i="8"/>
  <c r="M8" i="8" s="1"/>
  <c r="N8" i="8" s="1"/>
  <c r="M33" i="11"/>
  <c r="N33" i="11" s="1"/>
  <c r="L23" i="6"/>
  <c r="M23" i="6" s="1"/>
  <c r="N23" i="6" s="1"/>
  <c r="I23" i="6"/>
  <c r="J23" i="6" s="1"/>
  <c r="H9" i="7"/>
  <c r="I9" i="7" s="1"/>
  <c r="J9" i="7" s="1"/>
  <c r="P12" i="7"/>
  <c r="Q12" i="7" s="1"/>
  <c r="R12" i="7" s="1"/>
  <c r="P31" i="7"/>
  <c r="Q31" i="7" s="1"/>
  <c r="R31" i="7" s="1"/>
  <c r="I31" i="7"/>
  <c r="J31" i="7" s="1"/>
  <c r="P41" i="7"/>
  <c r="Q41" i="7" s="1"/>
  <c r="R41" i="7" s="1"/>
  <c r="P55" i="7"/>
  <c r="Q55" i="7" s="1"/>
  <c r="R55" i="7" s="1"/>
  <c r="D8" i="8"/>
  <c r="E8" i="8" s="1"/>
  <c r="F8" i="8" s="1"/>
  <c r="T13" i="8"/>
  <c r="U13" i="8" s="1"/>
  <c r="V13" i="8" s="1"/>
  <c r="L22" i="8"/>
  <c r="M22" i="8" s="1"/>
  <c r="N22" i="8" s="1"/>
  <c r="D34" i="8"/>
  <c r="E34" i="8" s="1"/>
  <c r="F34" i="8" s="1"/>
  <c r="T34" i="8"/>
  <c r="U34" i="8" s="1"/>
  <c r="V34" i="8" s="1"/>
  <c r="L65" i="8"/>
  <c r="M65" i="8" s="1"/>
  <c r="N65" i="8" s="1"/>
  <c r="T10" i="9"/>
  <c r="U10" i="9" s="1"/>
  <c r="V10" i="9" s="1"/>
  <c r="D19" i="9"/>
  <c r="E19" i="9" s="1"/>
  <c r="F19" i="9" s="1"/>
  <c r="T19" i="9"/>
  <c r="U19" i="9" s="1"/>
  <c r="V19" i="9" s="1"/>
  <c r="P57" i="9"/>
  <c r="Q57" i="9" s="1"/>
  <c r="R57" i="9" s="1"/>
  <c r="M57" i="9"/>
  <c r="N57" i="9" s="1"/>
  <c r="P66" i="9"/>
  <c r="Q66" i="9" s="1"/>
  <c r="R66" i="9" s="1"/>
  <c r="M66" i="9"/>
  <c r="N66" i="9" s="1"/>
  <c r="D22" i="13"/>
  <c r="E22" i="13" s="1"/>
  <c r="F22" i="13" s="1"/>
  <c r="M42" i="15"/>
  <c r="N42" i="15" s="1"/>
  <c r="H42" i="15"/>
  <c r="I42" i="15" s="1"/>
  <c r="J42" i="15" s="1"/>
  <c r="H20" i="11"/>
  <c r="I20" i="11" s="1"/>
  <c r="J20" i="11" s="1"/>
  <c r="M20" i="11"/>
  <c r="N20" i="11" s="1"/>
  <c r="D24" i="12"/>
  <c r="E24" i="12" s="1"/>
  <c r="F24" i="12" s="1"/>
  <c r="I24" i="12"/>
  <c r="J24" i="12" s="1"/>
  <c r="L24" i="12"/>
  <c r="M24" i="12" s="1"/>
  <c r="N24" i="12" s="1"/>
  <c r="D44" i="12"/>
  <c r="E44" i="12" s="1"/>
  <c r="F44" i="12" s="1"/>
  <c r="M44" i="12"/>
  <c r="N44" i="12" s="1"/>
  <c r="P44" i="12"/>
  <c r="Q44" i="12" s="1"/>
  <c r="R44" i="12" s="1"/>
  <c r="I55" i="7"/>
  <c r="J55" i="7" s="1"/>
  <c r="I13" i="9"/>
  <c r="J13" i="9" s="1"/>
  <c r="L9" i="6"/>
  <c r="M9" i="6" s="1"/>
  <c r="N9" i="6" s="1"/>
  <c r="I9" i="6"/>
  <c r="J9" i="6" s="1"/>
  <c r="L22" i="6"/>
  <c r="M22" i="6" s="1"/>
  <c r="N22" i="6" s="1"/>
  <c r="I22" i="6"/>
  <c r="J22" i="6" s="1"/>
  <c r="L11" i="7"/>
  <c r="M11" i="7" s="1"/>
  <c r="N11" i="7" s="1"/>
  <c r="E11" i="7"/>
  <c r="F11" i="7" s="1"/>
  <c r="P11" i="7"/>
  <c r="Q11" i="7" s="1"/>
  <c r="R11" i="7" s="1"/>
  <c r="D30" i="7"/>
  <c r="E30" i="7" s="1"/>
  <c r="F30" i="7" s="1"/>
  <c r="D43" i="7"/>
  <c r="E43" i="7" s="1"/>
  <c r="F43" i="7" s="1"/>
  <c r="P46" i="7"/>
  <c r="Q46" i="7" s="1"/>
  <c r="R46" i="7" s="1"/>
  <c r="P54" i="7"/>
  <c r="Q54" i="7" s="1"/>
  <c r="R54" i="7" s="1"/>
  <c r="D12" i="8"/>
  <c r="E12" i="8" s="1"/>
  <c r="F12" i="8" s="1"/>
  <c r="T12" i="8"/>
  <c r="U12" i="8" s="1"/>
  <c r="V12" i="8" s="1"/>
  <c r="L21" i="8"/>
  <c r="M21" i="8" s="1"/>
  <c r="N21" i="8" s="1"/>
  <c r="L35" i="8"/>
  <c r="M35" i="8" s="1"/>
  <c r="N35" i="8" s="1"/>
  <c r="Q35" i="8"/>
  <c r="R35" i="8" s="1"/>
  <c r="L30" i="8"/>
  <c r="M30" i="8" s="1"/>
  <c r="N30" i="8" s="1"/>
  <c r="T32" i="8"/>
  <c r="U32" i="8" s="1"/>
  <c r="V32" i="8" s="1"/>
  <c r="D41" i="8"/>
  <c r="E41" i="8" s="1"/>
  <c r="F41" i="8" s="1"/>
  <c r="T41" i="8"/>
  <c r="U41" i="8" s="1"/>
  <c r="V41" i="8" s="1"/>
  <c r="L64" i="8"/>
  <c r="M64" i="8" s="1"/>
  <c r="N64" i="8" s="1"/>
  <c r="D10" i="9"/>
  <c r="E10" i="9" s="1"/>
  <c r="F10" i="9" s="1"/>
  <c r="P12" i="9"/>
  <c r="Q12" i="9" s="1"/>
  <c r="R12" i="9" s="1"/>
  <c r="D24" i="9"/>
  <c r="E24" i="9" s="1"/>
  <c r="F24" i="9" s="1"/>
  <c r="P44" i="9"/>
  <c r="Q44" i="9" s="1"/>
  <c r="R44" i="9" s="1"/>
  <c r="H57" i="9"/>
  <c r="I57" i="9" s="1"/>
  <c r="J57" i="9" s="1"/>
  <c r="H66" i="9"/>
  <c r="I66" i="9" s="1"/>
  <c r="J66" i="9" s="1"/>
  <c r="L24" i="13"/>
  <c r="M24" i="13" s="1"/>
  <c r="N24" i="13" s="1"/>
  <c r="I24" i="13"/>
  <c r="J24" i="13" s="1"/>
  <c r="P11" i="15"/>
  <c r="Q11" i="15" s="1"/>
  <c r="R11" i="15" s="1"/>
  <c r="L11" i="15"/>
  <c r="M11" i="15" s="1"/>
  <c r="N11" i="15" s="1"/>
  <c r="H25" i="11"/>
  <c r="I25" i="11" s="1"/>
  <c r="J25" i="11" s="1"/>
  <c r="M25" i="11"/>
  <c r="N25" i="11" s="1"/>
  <c r="D25" i="11"/>
  <c r="E25" i="11" s="1"/>
  <c r="F25" i="11" s="1"/>
  <c r="D20" i="11"/>
  <c r="E20" i="11" s="1"/>
  <c r="F20" i="11" s="1"/>
  <c r="I8" i="12"/>
  <c r="J8" i="12" s="1"/>
  <c r="D8" i="12"/>
  <c r="E8" i="12" s="1"/>
  <c r="F8" i="12" s="1"/>
  <c r="P8" i="12"/>
  <c r="Q8" i="12" s="1"/>
  <c r="R8" i="12" s="1"/>
  <c r="M43" i="12"/>
  <c r="N43" i="12" s="1"/>
  <c r="P43" i="12"/>
  <c r="Q43" i="12" s="1"/>
  <c r="R43" i="12" s="1"/>
  <c r="H43" i="12"/>
  <c r="I43" i="12" s="1"/>
  <c r="J43" i="12" s="1"/>
  <c r="P46" i="12"/>
  <c r="Q46" i="12" s="1"/>
  <c r="R46" i="12" s="1"/>
  <c r="I11" i="6"/>
  <c r="J11" i="6" s="1"/>
  <c r="I53" i="7"/>
  <c r="J53" i="7" s="1"/>
  <c r="Q30" i="8"/>
  <c r="R30" i="8" s="1"/>
  <c r="I12" i="9"/>
  <c r="J12" i="9" s="1"/>
  <c r="M54" i="9"/>
  <c r="N54" i="9" s="1"/>
  <c r="L21" i="6"/>
  <c r="M21" i="6" s="1"/>
  <c r="N21" i="6" s="1"/>
  <c r="I21" i="6"/>
  <c r="J21" i="6" s="1"/>
  <c r="P10" i="7"/>
  <c r="Q10" i="7" s="1"/>
  <c r="R10" i="7" s="1"/>
  <c r="P45" i="7"/>
  <c r="Q45" i="7" s="1"/>
  <c r="R45" i="7" s="1"/>
  <c r="I23" i="13"/>
  <c r="J23" i="13" s="1"/>
  <c r="D23" i="13"/>
  <c r="E23" i="13" s="1"/>
  <c r="F23" i="13" s="1"/>
  <c r="D13" i="12"/>
  <c r="E13" i="12" s="1"/>
  <c r="F13" i="12" s="1"/>
  <c r="L13" i="12"/>
  <c r="M13" i="12" s="1"/>
  <c r="N13" i="12" s="1"/>
  <c r="I22" i="12"/>
  <c r="J22" i="12" s="1"/>
  <c r="L22" i="12"/>
  <c r="M22" i="12" s="1"/>
  <c r="N22" i="12" s="1"/>
  <c r="P22" i="12"/>
  <c r="Q22" i="12" s="1"/>
  <c r="R22" i="12" s="1"/>
  <c r="L44" i="7"/>
  <c r="M44" i="7" s="1"/>
  <c r="N44" i="7" s="1"/>
  <c r="I44" i="7"/>
  <c r="J44" i="7" s="1"/>
  <c r="P44" i="7"/>
  <c r="Q44" i="7" s="1"/>
  <c r="R44" i="7" s="1"/>
  <c r="L13" i="8"/>
  <c r="M13" i="8" s="1"/>
  <c r="N13" i="8" s="1"/>
  <c r="I24" i="15"/>
  <c r="J24" i="15" s="1"/>
  <c r="L24" i="15"/>
  <c r="H32" i="11"/>
  <c r="I32" i="11" s="1"/>
  <c r="J32" i="11" s="1"/>
  <c r="D32" i="11"/>
  <c r="E32" i="11" s="1"/>
  <c r="F32" i="11" s="1"/>
  <c r="M32" i="11"/>
  <c r="N32" i="11" s="1"/>
  <c r="P43" i="7"/>
  <c r="Q43" i="7" s="1"/>
  <c r="R43" i="7" s="1"/>
  <c r="L53" i="7"/>
  <c r="M53" i="7" s="1"/>
  <c r="N53" i="7" s="1"/>
  <c r="L32" i="8"/>
  <c r="M32" i="8" s="1"/>
  <c r="N32" i="8" s="1"/>
  <c r="I9" i="9"/>
  <c r="J9" i="9" s="1"/>
  <c r="D9" i="9"/>
  <c r="E9" i="9" s="1"/>
  <c r="F9" i="9" s="1"/>
  <c r="P9" i="9"/>
  <c r="Q9" i="9" s="1"/>
  <c r="R9" i="9" s="1"/>
  <c r="D45" i="9"/>
  <c r="E45" i="9" s="1"/>
  <c r="F45" i="9" s="1"/>
  <c r="P45" i="9"/>
  <c r="Q45" i="9" s="1"/>
  <c r="R45" i="9" s="1"/>
  <c r="T45" i="9"/>
  <c r="U45" i="9" s="1"/>
  <c r="V45" i="9" s="1"/>
  <c r="T53" i="9"/>
  <c r="U53" i="9" s="1"/>
  <c r="V53" i="9" s="1"/>
  <c r="D42" i="15"/>
  <c r="E42" i="15" s="1"/>
  <c r="F42" i="15" s="1"/>
  <c r="L11" i="12"/>
  <c r="M11" i="12" s="1"/>
  <c r="N11" i="12" s="1"/>
  <c r="P11" i="12"/>
  <c r="Q11" i="12" s="1"/>
  <c r="R11" i="12" s="1"/>
  <c r="I11" i="12"/>
  <c r="J11" i="12" s="1"/>
  <c r="H44" i="12"/>
  <c r="I44" i="12" s="1"/>
  <c r="J44" i="12" s="1"/>
  <c r="D22" i="18"/>
  <c r="H22" i="18"/>
  <c r="I22" i="18" s="1"/>
  <c r="J22" i="18" s="1"/>
  <c r="P22" i="18"/>
  <c r="Q22" i="18" s="1"/>
  <c r="R22" i="18" s="1"/>
  <c r="Q31" i="18"/>
  <c r="R31" i="18" s="1"/>
  <c r="H31" i="18"/>
  <c r="I31" i="18" s="1"/>
  <c r="J31" i="18" s="1"/>
  <c r="D53" i="18"/>
  <c r="E53" i="18" s="1"/>
  <c r="F53" i="18" s="1"/>
  <c r="Q53" i="18"/>
  <c r="R53" i="18" s="1"/>
  <c r="H53" i="18"/>
  <c r="I53" i="18" s="1"/>
  <c r="J53" i="18" s="1"/>
  <c r="L53" i="18"/>
  <c r="M53" i="18" s="1"/>
  <c r="N53" i="18" s="1"/>
  <c r="D42" i="6"/>
  <c r="E42" i="6" s="1"/>
  <c r="F42" i="6" s="1"/>
  <c r="L9" i="7"/>
  <c r="M9" i="7" s="1"/>
  <c r="N9" i="7" s="1"/>
  <c r="D31" i="7"/>
  <c r="E31" i="7" s="1"/>
  <c r="F31" i="7" s="1"/>
  <c r="I42" i="7"/>
  <c r="J42" i="7" s="1"/>
  <c r="P42" i="7"/>
  <c r="Q42" i="7" s="1"/>
  <c r="R42" i="7" s="1"/>
  <c r="L45" i="7"/>
  <c r="M45" i="7" s="1"/>
  <c r="N45" i="7" s="1"/>
  <c r="D55" i="7"/>
  <c r="E55" i="7" s="1"/>
  <c r="F55" i="7" s="1"/>
  <c r="P52" i="7"/>
  <c r="Q52" i="7" s="1"/>
  <c r="R52" i="7" s="1"/>
  <c r="H11" i="8"/>
  <c r="I11" i="8" s="1"/>
  <c r="J11" i="8" s="1"/>
  <c r="Q11" i="8"/>
  <c r="R11" i="8" s="1"/>
  <c r="L19" i="8"/>
  <c r="M19" i="8" s="1"/>
  <c r="N19" i="8" s="1"/>
  <c r="T22" i="8"/>
  <c r="U22" i="8" s="1"/>
  <c r="V22" i="8" s="1"/>
  <c r="H34" i="8"/>
  <c r="I34" i="8" s="1"/>
  <c r="J34" i="8" s="1"/>
  <c r="L31" i="8"/>
  <c r="M31" i="8" s="1"/>
  <c r="N31" i="8" s="1"/>
  <c r="D65" i="8"/>
  <c r="E65" i="8" s="1"/>
  <c r="F65" i="8" s="1"/>
  <c r="P65" i="8"/>
  <c r="Q65" i="8" s="1"/>
  <c r="R65" i="8" s="1"/>
  <c r="I22" i="9"/>
  <c r="J22" i="9" s="1"/>
  <c r="P22" i="9"/>
  <c r="Q22" i="9" s="1"/>
  <c r="R22" i="9" s="1"/>
  <c r="P23" i="9"/>
  <c r="Q23" i="9" s="1"/>
  <c r="R23" i="9" s="1"/>
  <c r="H45" i="9"/>
  <c r="I45" i="9" s="1"/>
  <c r="J45" i="9" s="1"/>
  <c r="T44" i="9"/>
  <c r="U44" i="9" s="1"/>
  <c r="V44" i="9" s="1"/>
  <c r="D57" i="9"/>
  <c r="E57" i="9" s="1"/>
  <c r="F57" i="9" s="1"/>
  <c r="D66" i="9"/>
  <c r="E66" i="9" s="1"/>
  <c r="F66" i="9" s="1"/>
  <c r="L13" i="13"/>
  <c r="M13" i="13" s="1"/>
  <c r="N13" i="13" s="1"/>
  <c r="M45" i="15"/>
  <c r="N45" i="15" s="1"/>
  <c r="D45" i="15"/>
  <c r="E45" i="15" s="1"/>
  <c r="F45" i="15" s="1"/>
  <c r="I10" i="12"/>
  <c r="J10" i="12" s="1"/>
  <c r="P10" i="12"/>
  <c r="Q10" i="12" s="1"/>
  <c r="R10" i="12" s="1"/>
  <c r="D10" i="12"/>
  <c r="E10" i="12" s="1"/>
  <c r="F10" i="12" s="1"/>
  <c r="P13" i="12"/>
  <c r="Q13" i="12" s="1"/>
  <c r="R13" i="12" s="1"/>
  <c r="H41" i="12"/>
  <c r="I41" i="12" s="1"/>
  <c r="J41" i="12" s="1"/>
  <c r="P41" i="12"/>
  <c r="Q41" i="12" s="1"/>
  <c r="R41" i="12" s="1"/>
  <c r="I46" i="7"/>
  <c r="J46" i="7" s="1"/>
  <c r="Q22" i="8"/>
  <c r="R22" i="8" s="1"/>
  <c r="U64" i="8"/>
  <c r="V64" i="8" s="1"/>
  <c r="M68" i="9"/>
  <c r="N68" i="9" s="1"/>
  <c r="H20" i="8"/>
  <c r="I20" i="8" s="1"/>
  <c r="J20" i="8" s="1"/>
  <c r="Q20" i="8"/>
  <c r="R20" i="8" s="1"/>
  <c r="L20" i="8"/>
  <c r="M20" i="8" s="1"/>
  <c r="N20" i="8" s="1"/>
  <c r="L34" i="8"/>
  <c r="M34" i="8" s="1"/>
  <c r="N34" i="8" s="1"/>
  <c r="P10" i="9"/>
  <c r="Q10" i="9" s="1"/>
  <c r="R10" i="9" s="1"/>
  <c r="L24" i="9"/>
  <c r="M24" i="9" s="1"/>
  <c r="N24" i="9" s="1"/>
  <c r="I24" i="9"/>
  <c r="J24" i="9" s="1"/>
  <c r="P19" i="9"/>
  <c r="Q19" i="9" s="1"/>
  <c r="R19" i="9" s="1"/>
  <c r="D54" i="9"/>
  <c r="E54" i="9" s="1"/>
  <c r="F54" i="9" s="1"/>
  <c r="P54" i="9"/>
  <c r="Q54" i="9" s="1"/>
  <c r="R54" i="9" s="1"/>
  <c r="I21" i="12"/>
  <c r="J21" i="12" s="1"/>
  <c r="P21" i="12"/>
  <c r="Q21" i="12" s="1"/>
  <c r="R21" i="12" s="1"/>
  <c r="D21" i="12"/>
  <c r="E21" i="12" s="1"/>
  <c r="F21" i="12" s="1"/>
  <c r="N52" i="12"/>
  <c r="H52" i="12"/>
  <c r="I52" i="12" s="1"/>
  <c r="J52" i="12" s="1"/>
  <c r="P52" i="12"/>
  <c r="Q52" i="12" s="1"/>
  <c r="R52" i="12" s="1"/>
  <c r="D23" i="18"/>
  <c r="P23" i="18"/>
  <c r="Q23" i="18" s="1"/>
  <c r="R23" i="18" s="1"/>
  <c r="H23" i="18"/>
  <c r="I23" i="18" s="1"/>
  <c r="J23" i="18" s="1"/>
  <c r="H54" i="18"/>
  <c r="I54" i="18" s="1"/>
  <c r="J54" i="18" s="1"/>
  <c r="L54" i="18"/>
  <c r="M54" i="18" s="1"/>
  <c r="N54" i="18" s="1"/>
  <c r="Q54" i="18"/>
  <c r="R54" i="18" s="1"/>
  <c r="D54" i="18"/>
  <c r="E54" i="18" s="1"/>
  <c r="F54" i="18" s="1"/>
  <c r="E13" i="22"/>
  <c r="F13" i="22" s="1"/>
  <c r="H13" i="22"/>
  <c r="I13" i="22" s="1"/>
  <c r="J13" i="22" s="1"/>
  <c r="L13" i="22"/>
  <c r="M13" i="22" s="1"/>
  <c r="N13" i="22" s="1"/>
  <c r="D35" i="22"/>
  <c r="I35" i="22"/>
  <c r="J35" i="22" s="1"/>
  <c r="L35" i="22"/>
  <c r="L10" i="7"/>
  <c r="M10" i="7" s="1"/>
  <c r="N10" i="7" s="1"/>
  <c r="I35" i="7"/>
  <c r="J35" i="7" s="1"/>
  <c r="D35" i="7"/>
  <c r="E35" i="7" s="1"/>
  <c r="F35" i="7" s="1"/>
  <c r="P35" i="7"/>
  <c r="Q35" i="7" s="1"/>
  <c r="R35" i="7" s="1"/>
  <c r="Q46" i="8"/>
  <c r="R46" i="8" s="1"/>
  <c r="H46" i="8"/>
  <c r="I46" i="8" s="1"/>
  <c r="J46" i="8" s="1"/>
  <c r="L41" i="8"/>
  <c r="M41" i="8" s="1"/>
  <c r="N41" i="8" s="1"/>
  <c r="L63" i="8"/>
  <c r="M63" i="8" s="1"/>
  <c r="N63" i="8" s="1"/>
  <c r="P24" i="9"/>
  <c r="Q24" i="9" s="1"/>
  <c r="R24" i="9" s="1"/>
  <c r="M22" i="11"/>
  <c r="N22" i="11" s="1"/>
  <c r="H22" i="11"/>
  <c r="I22" i="11" s="1"/>
  <c r="J22" i="11" s="1"/>
  <c r="D12" i="18"/>
  <c r="E12" i="18" s="1"/>
  <c r="F12" i="18" s="1"/>
  <c r="P12" i="18"/>
  <c r="Q12" i="18" s="1"/>
  <c r="R12" i="18" s="1"/>
  <c r="M12" i="18"/>
  <c r="N12" i="18" s="1"/>
  <c r="L13" i="6"/>
  <c r="M13" i="6" s="1"/>
  <c r="N13" i="6" s="1"/>
  <c r="I13" i="6"/>
  <c r="J13" i="6" s="1"/>
  <c r="H12" i="7"/>
  <c r="I12" i="7" s="1"/>
  <c r="J12" i="7" s="1"/>
  <c r="H8" i="8"/>
  <c r="I8" i="8" s="1"/>
  <c r="J8" i="8" s="1"/>
  <c r="H43" i="6"/>
  <c r="I43" i="6" s="1"/>
  <c r="J43" i="6" s="1"/>
  <c r="L43" i="7"/>
  <c r="M43" i="7" s="1"/>
  <c r="N43" i="7" s="1"/>
  <c r="L67" i="8"/>
  <c r="M67" i="8" s="1"/>
  <c r="N67" i="8" s="1"/>
  <c r="L10" i="9"/>
  <c r="M10" i="9" s="1"/>
  <c r="N10" i="9" s="1"/>
  <c r="L19" i="9"/>
  <c r="M19" i="9" s="1"/>
  <c r="N19" i="9" s="1"/>
  <c r="P21" i="9"/>
  <c r="Q21" i="9" s="1"/>
  <c r="R21" i="9" s="1"/>
  <c r="L11" i="13"/>
  <c r="M11" i="13" s="1"/>
  <c r="N11" i="13" s="1"/>
  <c r="I11" i="13"/>
  <c r="J11" i="13" s="1"/>
  <c r="P8" i="15"/>
  <c r="Q8" i="15" s="1"/>
  <c r="R8" i="15" s="1"/>
  <c r="I8" i="15"/>
  <c r="J8" i="15" s="1"/>
  <c r="D8" i="15"/>
  <c r="E8" i="15" s="1"/>
  <c r="F8" i="15" s="1"/>
  <c r="M46" i="11"/>
  <c r="N46" i="11" s="1"/>
  <c r="H46" i="11"/>
  <c r="I46" i="11" s="1"/>
  <c r="J46" i="11" s="1"/>
  <c r="D22" i="12"/>
  <c r="E22" i="12" s="1"/>
  <c r="F22" i="12" s="1"/>
  <c r="H46" i="12"/>
  <c r="I46" i="12" s="1"/>
  <c r="J46" i="12" s="1"/>
  <c r="D46" i="12"/>
  <c r="E46" i="12" s="1"/>
  <c r="F46" i="12" s="1"/>
  <c r="D41" i="12"/>
  <c r="E41" i="12" s="1"/>
  <c r="F41" i="12" s="1"/>
  <c r="M44" i="6"/>
  <c r="N44" i="6" s="1"/>
  <c r="Q13" i="8"/>
  <c r="R13" i="8" s="1"/>
  <c r="Q45" i="8"/>
  <c r="R45" i="8" s="1"/>
  <c r="I21" i="9"/>
  <c r="J21" i="9" s="1"/>
  <c r="I13" i="12"/>
  <c r="J13" i="12" s="1"/>
  <c r="E22" i="4"/>
  <c r="F22" i="4" s="1"/>
  <c r="P10" i="15"/>
  <c r="Q10" i="15" s="1"/>
  <c r="R10" i="15" s="1"/>
  <c r="I10" i="15"/>
  <c r="J10" i="15" s="1"/>
  <c r="D10" i="15"/>
  <c r="E10" i="15" s="1"/>
  <c r="F10" i="15" s="1"/>
  <c r="P30" i="7"/>
  <c r="Q30" i="7" s="1"/>
  <c r="R30" i="7" s="1"/>
  <c r="I8" i="13"/>
  <c r="J8" i="13" s="1"/>
  <c r="D8" i="13"/>
  <c r="E8" i="13" s="1"/>
  <c r="F8" i="13" s="1"/>
  <c r="L23" i="13"/>
  <c r="M23" i="13" s="1"/>
  <c r="N23" i="13" s="1"/>
  <c r="M45" i="13"/>
  <c r="N45" i="13" s="1"/>
  <c r="D45" i="13"/>
  <c r="E45" i="13" s="1"/>
  <c r="F45" i="13" s="1"/>
  <c r="D33" i="11"/>
  <c r="E33" i="11" s="1"/>
  <c r="F33" i="11" s="1"/>
  <c r="L12" i="8"/>
  <c r="M12" i="8" s="1"/>
  <c r="N12" i="8" s="1"/>
  <c r="D53" i="9"/>
  <c r="E53" i="9" s="1"/>
  <c r="F53" i="9" s="1"/>
  <c r="M53" i="9"/>
  <c r="N53" i="9" s="1"/>
  <c r="H54" i="9"/>
  <c r="I54" i="9" s="1"/>
  <c r="J54" i="9" s="1"/>
  <c r="L8" i="13"/>
  <c r="M8" i="13" s="1"/>
  <c r="N8" i="13" s="1"/>
  <c r="M44" i="13"/>
  <c r="N44" i="13" s="1"/>
  <c r="D44" i="13"/>
  <c r="E44" i="13" s="1"/>
  <c r="F44" i="13" s="1"/>
  <c r="H44" i="13"/>
  <c r="I44" i="13" s="1"/>
  <c r="J44" i="13" s="1"/>
  <c r="P23" i="15"/>
  <c r="Q23" i="15" s="1"/>
  <c r="R23" i="15" s="1"/>
  <c r="I23" i="15"/>
  <c r="J23" i="15" s="1"/>
  <c r="D23" i="15"/>
  <c r="E23" i="15" s="1"/>
  <c r="F23" i="15" s="1"/>
  <c r="N57" i="12"/>
  <c r="H57" i="12"/>
  <c r="I57" i="12" s="1"/>
  <c r="J57" i="12" s="1"/>
  <c r="D57" i="12"/>
  <c r="E57" i="12" s="1"/>
  <c r="F57" i="12" s="1"/>
  <c r="D52" i="12"/>
  <c r="E52" i="12" s="1"/>
  <c r="F52" i="12" s="1"/>
  <c r="I41" i="7"/>
  <c r="J41" i="7" s="1"/>
  <c r="H45" i="6"/>
  <c r="I45" i="6" s="1"/>
  <c r="J45" i="6" s="1"/>
  <c r="H11" i="7"/>
  <c r="I11" i="7" s="1"/>
  <c r="J11" i="7" s="1"/>
  <c r="L30" i="7"/>
  <c r="M30" i="7" s="1"/>
  <c r="N30" i="7" s="1"/>
  <c r="P33" i="7"/>
  <c r="Q33" i="7" s="1"/>
  <c r="R33" i="7" s="1"/>
  <c r="D54" i="7"/>
  <c r="E54" i="7" s="1"/>
  <c r="F54" i="7" s="1"/>
  <c r="P57" i="7"/>
  <c r="Q57" i="7" s="1"/>
  <c r="R57" i="7" s="1"/>
  <c r="H13" i="8"/>
  <c r="I13" i="8" s="1"/>
  <c r="J13" i="8" s="1"/>
  <c r="D21" i="8"/>
  <c r="E21" i="8" s="1"/>
  <c r="F21" i="8" s="1"/>
  <c r="T21" i="8"/>
  <c r="U21" i="8" s="1"/>
  <c r="V21" i="8" s="1"/>
  <c r="D30" i="8"/>
  <c r="E30" i="8" s="1"/>
  <c r="F30" i="8" s="1"/>
  <c r="D64" i="8"/>
  <c r="E64" i="8" s="1"/>
  <c r="F64" i="8" s="1"/>
  <c r="P64" i="8"/>
  <c r="Q64" i="8" s="1"/>
  <c r="R64" i="8" s="1"/>
  <c r="D13" i="9"/>
  <c r="E13" i="9" s="1"/>
  <c r="F13" i="9" s="1"/>
  <c r="T13" i="9"/>
  <c r="U13" i="9" s="1"/>
  <c r="V13" i="9" s="1"/>
  <c r="H44" i="9"/>
  <c r="I44" i="9" s="1"/>
  <c r="J44" i="9" s="1"/>
  <c r="M44" i="15"/>
  <c r="N44" i="15" s="1"/>
  <c r="D44" i="15"/>
  <c r="E44" i="15" s="1"/>
  <c r="F44" i="15" s="1"/>
  <c r="H44" i="15"/>
  <c r="I44" i="15" s="1"/>
  <c r="J44" i="15" s="1"/>
  <c r="M31" i="11"/>
  <c r="N31" i="11" s="1"/>
  <c r="H31" i="11"/>
  <c r="I31" i="11" s="1"/>
  <c r="J31" i="11" s="1"/>
  <c r="N55" i="12"/>
  <c r="D55" i="12"/>
  <c r="E55" i="12" s="1"/>
  <c r="F55" i="12" s="1"/>
  <c r="P55" i="12"/>
  <c r="Q55" i="12" s="1"/>
  <c r="R55" i="12" s="1"/>
  <c r="H44" i="6"/>
  <c r="I44" i="6" s="1"/>
  <c r="J44" i="6" s="1"/>
  <c r="H10" i="7"/>
  <c r="I10" i="7" s="1"/>
  <c r="J10" i="7" s="1"/>
  <c r="P13" i="7"/>
  <c r="Q13" i="7" s="1"/>
  <c r="R13" i="7" s="1"/>
  <c r="L35" i="7"/>
  <c r="M35" i="7" s="1"/>
  <c r="N35" i="7" s="1"/>
  <c r="P32" i="7"/>
  <c r="Q32" i="7" s="1"/>
  <c r="R32" i="7" s="1"/>
  <c r="D45" i="7"/>
  <c r="E45" i="7" s="1"/>
  <c r="F45" i="7" s="1"/>
  <c r="L42" i="7"/>
  <c r="M42" i="7" s="1"/>
  <c r="N42" i="7" s="1"/>
  <c r="D53" i="7"/>
  <c r="E53" i="7" s="1"/>
  <c r="F53" i="7" s="1"/>
  <c r="P56" i="7"/>
  <c r="Q56" i="7" s="1"/>
  <c r="R56" i="7" s="1"/>
  <c r="H12" i="8"/>
  <c r="I12" i="8" s="1"/>
  <c r="J12" i="8" s="1"/>
  <c r="T8" i="8"/>
  <c r="U8" i="8" s="1"/>
  <c r="V8" i="8" s="1"/>
  <c r="D20" i="8"/>
  <c r="E20" i="8" s="1"/>
  <c r="F20" i="8" s="1"/>
  <c r="L23" i="8"/>
  <c r="M23" i="8" s="1"/>
  <c r="N23" i="8" s="1"/>
  <c r="T20" i="8"/>
  <c r="U20" i="8" s="1"/>
  <c r="V20" i="8" s="1"/>
  <c r="D35" i="8"/>
  <c r="E35" i="8" s="1"/>
  <c r="F35" i="8" s="1"/>
  <c r="H32" i="8"/>
  <c r="I32" i="8" s="1"/>
  <c r="J32" i="8" s="1"/>
  <c r="T35" i="8"/>
  <c r="U35" i="8" s="1"/>
  <c r="V35" i="8" s="1"/>
  <c r="H41" i="8"/>
  <c r="I41" i="8" s="1"/>
  <c r="J41" i="8" s="1"/>
  <c r="L43" i="8"/>
  <c r="M43" i="8" s="1"/>
  <c r="N43" i="8" s="1"/>
  <c r="L66" i="8"/>
  <c r="M66" i="8" s="1"/>
  <c r="N66" i="8" s="1"/>
  <c r="D12" i="9"/>
  <c r="E12" i="9" s="1"/>
  <c r="F12" i="9" s="1"/>
  <c r="L9" i="9"/>
  <c r="M9" i="9" s="1"/>
  <c r="N9" i="9" s="1"/>
  <c r="L23" i="9"/>
  <c r="M23" i="9" s="1"/>
  <c r="N23" i="9" s="1"/>
  <c r="P52" i="9"/>
  <c r="Q52" i="9" s="1"/>
  <c r="R52" i="9" s="1"/>
  <c r="D52" i="9"/>
  <c r="E52" i="9" s="1"/>
  <c r="F52" i="9" s="1"/>
  <c r="P67" i="9"/>
  <c r="Q67" i="9" s="1"/>
  <c r="R67" i="9" s="1"/>
  <c r="M67" i="9"/>
  <c r="N67" i="9" s="1"/>
  <c r="D67" i="9"/>
  <c r="E67" i="9" s="1"/>
  <c r="F67" i="9" s="1"/>
  <c r="L9" i="13"/>
  <c r="M9" i="13" s="1"/>
  <c r="N9" i="13" s="1"/>
  <c r="D24" i="13"/>
  <c r="E24" i="13" s="1"/>
  <c r="F24" i="13" s="1"/>
  <c r="P13" i="15"/>
  <c r="Q13" i="15" s="1"/>
  <c r="R13" i="15" s="1"/>
  <c r="I13" i="15"/>
  <c r="J13" i="15" s="1"/>
  <c r="D13" i="15"/>
  <c r="E13" i="15" s="1"/>
  <c r="F13" i="15" s="1"/>
  <c r="L13" i="15"/>
  <c r="M13" i="15" s="1"/>
  <c r="N13" i="15" s="1"/>
  <c r="L8" i="15"/>
  <c r="M8" i="15" s="1"/>
  <c r="N8" i="15" s="1"/>
  <c r="H45" i="15"/>
  <c r="I45" i="15" s="1"/>
  <c r="J45" i="15" s="1"/>
  <c r="H23" i="11"/>
  <c r="I23" i="11" s="1"/>
  <c r="J23" i="11" s="1"/>
  <c r="D31" i="11"/>
  <c r="E31" i="11" s="1"/>
  <c r="F31" i="11" s="1"/>
  <c r="M45" i="11"/>
  <c r="N45" i="11" s="1"/>
  <c r="H45" i="11"/>
  <c r="I45" i="11" s="1"/>
  <c r="J45" i="11" s="1"/>
  <c r="D45" i="11"/>
  <c r="E45" i="11" s="1"/>
  <c r="F45" i="11" s="1"/>
  <c r="D19" i="12"/>
  <c r="E19" i="12" s="1"/>
  <c r="F19" i="12" s="1"/>
  <c r="P19" i="12"/>
  <c r="Q19" i="12" s="1"/>
  <c r="R19" i="12" s="1"/>
  <c r="D43" i="12"/>
  <c r="E43" i="12" s="1"/>
  <c r="F43" i="12" s="1"/>
  <c r="P54" i="12"/>
  <c r="Q54" i="12" s="1"/>
  <c r="R54" i="12" s="1"/>
  <c r="H54" i="12"/>
  <c r="I54" i="12" s="1"/>
  <c r="J54" i="12" s="1"/>
  <c r="P57" i="12"/>
  <c r="Q57" i="12" s="1"/>
  <c r="R57" i="12" s="1"/>
  <c r="I8" i="6"/>
  <c r="J8" i="6" s="1"/>
  <c r="I57" i="7"/>
  <c r="J57" i="7" s="1"/>
  <c r="Q44" i="8"/>
  <c r="R44" i="8" s="1"/>
  <c r="M52" i="9"/>
  <c r="N52" i="9" s="1"/>
  <c r="I11" i="15"/>
  <c r="J11" i="15" s="1"/>
  <c r="H42" i="10"/>
  <c r="D42" i="10"/>
  <c r="E42" i="10" s="1"/>
  <c r="F42" i="10" s="1"/>
  <c r="H41" i="9"/>
  <c r="I41" i="9" s="1"/>
  <c r="J41" i="9" s="1"/>
  <c r="T43" i="9"/>
  <c r="U43" i="9" s="1"/>
  <c r="V43" i="9" s="1"/>
  <c r="T63" i="9"/>
  <c r="U63" i="9" s="1"/>
  <c r="V63" i="9" s="1"/>
  <c r="P12" i="15"/>
  <c r="Q12" i="15" s="1"/>
  <c r="R12" i="15" s="1"/>
  <c r="I12" i="15"/>
  <c r="J12" i="15" s="1"/>
  <c r="M43" i="9"/>
  <c r="N43" i="9" s="1"/>
  <c r="M56" i="12"/>
  <c r="I9" i="15"/>
  <c r="J9" i="15" s="1"/>
  <c r="L23" i="10"/>
  <c r="I23" i="10"/>
  <c r="J23" i="10" s="1"/>
  <c r="D23" i="10"/>
  <c r="H19" i="16"/>
  <c r="I19" i="16" s="1"/>
  <c r="J19" i="16" s="1"/>
  <c r="D19" i="16"/>
  <c r="E19" i="16" s="1"/>
  <c r="F19" i="16" s="1"/>
  <c r="Q19" i="16" s="1"/>
  <c r="R19" i="16" s="1"/>
  <c r="L19" i="16"/>
  <c r="M19" i="16" s="1"/>
  <c r="N19" i="16" s="1"/>
  <c r="P22" i="15"/>
  <c r="Q22" i="15" s="1"/>
  <c r="R22" i="15" s="1"/>
  <c r="I22" i="15"/>
  <c r="J22" i="15" s="1"/>
  <c r="I11" i="9"/>
  <c r="J11" i="9" s="1"/>
  <c r="M45" i="12"/>
  <c r="N45" i="12" s="1"/>
  <c r="M53" i="12"/>
  <c r="I19" i="13"/>
  <c r="J19" i="13" s="1"/>
  <c r="T41" i="9"/>
  <c r="U41" i="9" s="1"/>
  <c r="V41" i="9" s="1"/>
  <c r="T56" i="9"/>
  <c r="U56" i="9" s="1"/>
  <c r="V56" i="9" s="1"/>
  <c r="T65" i="9"/>
  <c r="U65" i="9" s="1"/>
  <c r="V65" i="9" s="1"/>
  <c r="H43" i="13"/>
  <c r="I43" i="13" s="1"/>
  <c r="J43" i="13" s="1"/>
  <c r="L12" i="15"/>
  <c r="M12" i="15" s="1"/>
  <c r="N12" i="15" s="1"/>
  <c r="L19" i="15"/>
  <c r="M19" i="15" s="1"/>
  <c r="N19" i="15" s="1"/>
  <c r="H43" i="15"/>
  <c r="I43" i="15" s="1"/>
  <c r="J43" i="15" s="1"/>
  <c r="D24" i="11"/>
  <c r="E24" i="11" s="1"/>
  <c r="F24" i="11" s="1"/>
  <c r="L23" i="12"/>
  <c r="M23" i="12" s="1"/>
  <c r="N23" i="12" s="1"/>
  <c r="D56" i="12"/>
  <c r="E56" i="12" s="1"/>
  <c r="F56" i="12" s="1"/>
  <c r="D8" i="17"/>
  <c r="E8" i="17" s="1"/>
  <c r="F8" i="17" s="1"/>
  <c r="I8" i="17"/>
  <c r="J8" i="17" s="1"/>
  <c r="L8" i="17"/>
  <c r="M8" i="17" s="1"/>
  <c r="N8" i="17" s="1"/>
  <c r="T33" i="8"/>
  <c r="U33" i="8" s="1"/>
  <c r="V33" i="8" s="1"/>
  <c r="T46" i="9"/>
  <c r="U46" i="9" s="1"/>
  <c r="V46" i="9" s="1"/>
  <c r="T64" i="9"/>
  <c r="U64" i="9" s="1"/>
  <c r="V64" i="9" s="1"/>
  <c r="P20" i="15"/>
  <c r="Q20" i="15" s="1"/>
  <c r="R20" i="15" s="1"/>
  <c r="I20" i="15"/>
  <c r="J20" i="15" s="1"/>
  <c r="P53" i="12"/>
  <c r="Q53" i="12" s="1"/>
  <c r="R53" i="12" s="1"/>
  <c r="L8" i="10"/>
  <c r="D8" i="10"/>
  <c r="E8" i="10" s="1"/>
  <c r="F8" i="10" s="1"/>
  <c r="D10" i="10"/>
  <c r="L10" i="10"/>
  <c r="M10" i="10" s="1"/>
  <c r="N10" i="10" s="1"/>
  <c r="I10" i="10"/>
  <c r="J10" i="10" s="1"/>
  <c r="L34" i="16"/>
  <c r="M34" i="16" s="1"/>
  <c r="N34" i="16" s="1"/>
  <c r="H34" i="16"/>
  <c r="I34" i="16" s="1"/>
  <c r="J34" i="16" s="1"/>
  <c r="D34" i="16"/>
  <c r="E34" i="16" s="1"/>
  <c r="F34" i="16" s="1"/>
  <c r="Q34" i="16" s="1"/>
  <c r="R34" i="16" s="1"/>
  <c r="L35" i="16"/>
  <c r="M35" i="16" s="1"/>
  <c r="N35" i="16" s="1"/>
  <c r="D35" i="16"/>
  <c r="E35" i="16" s="1"/>
  <c r="F35" i="16" s="1"/>
  <c r="Q35" i="16" s="1"/>
  <c r="R35" i="16" s="1"/>
  <c r="L43" i="20"/>
  <c r="Q43" i="20"/>
  <c r="R43" i="20" s="1"/>
  <c r="H43" i="20"/>
  <c r="I43" i="20" s="1"/>
  <c r="J43" i="20" s="1"/>
  <c r="D43" i="20"/>
  <c r="E43" i="20" s="1"/>
  <c r="F43" i="20" s="1"/>
  <c r="H46" i="10"/>
  <c r="Q53" i="16"/>
  <c r="R53" i="16" s="1"/>
  <c r="L24" i="16"/>
  <c r="M24" i="16" s="1"/>
  <c r="N24" i="16" s="1"/>
  <c r="D24" i="16"/>
  <c r="E24" i="16" s="1"/>
  <c r="F24" i="16" s="1"/>
  <c r="Q24" i="16" s="1"/>
  <c r="R24" i="16" s="1"/>
  <c r="I24" i="17"/>
  <c r="J24" i="17" s="1"/>
  <c r="L24" i="17"/>
  <c r="M24" i="17" s="1"/>
  <c r="N24" i="17" s="1"/>
  <c r="D24" i="17"/>
  <c r="E24" i="17" s="1"/>
  <c r="F24" i="17" s="1"/>
  <c r="H41" i="17"/>
  <c r="I41" i="17" s="1"/>
  <c r="J41" i="17" s="1"/>
  <c r="D41" i="17"/>
  <c r="E41" i="17" s="1"/>
  <c r="F41" i="17" s="1"/>
  <c r="M41" i="17"/>
  <c r="N41" i="17" s="1"/>
  <c r="Q30" i="18"/>
  <c r="R30" i="18" s="1"/>
  <c r="H30" i="18"/>
  <c r="I30" i="18" s="1"/>
  <c r="J30" i="18" s="1"/>
  <c r="P8" i="19"/>
  <c r="Q8" i="19" s="1"/>
  <c r="R8" i="19" s="1"/>
  <c r="D8" i="19"/>
  <c r="E8" i="19" s="1"/>
  <c r="F8" i="19" s="1"/>
  <c r="P35" i="19"/>
  <c r="L35" i="19"/>
  <c r="H22" i="20"/>
  <c r="D22" i="20"/>
  <c r="E22" i="20" s="1"/>
  <c r="F22" i="20" s="1"/>
  <c r="L22" i="20"/>
  <c r="M22" i="20" s="1"/>
  <c r="N22" i="20" s="1"/>
  <c r="P46" i="19"/>
  <c r="Q46" i="19" s="1"/>
  <c r="R46" i="19" s="1"/>
  <c r="H46" i="19"/>
  <c r="I46" i="19" s="1"/>
  <c r="J46" i="19" s="1"/>
  <c r="D46" i="19"/>
  <c r="E46" i="19" s="1"/>
  <c r="F46" i="19" s="1"/>
  <c r="M46" i="19"/>
  <c r="N46" i="19" s="1"/>
  <c r="L31" i="22"/>
  <c r="I31" i="22"/>
  <c r="J31" i="22" s="1"/>
  <c r="D31" i="22"/>
  <c r="D31" i="16"/>
  <c r="E31" i="16" s="1"/>
  <c r="F31" i="16" s="1"/>
  <c r="Q31" i="16" s="1"/>
  <c r="R31" i="16" s="1"/>
  <c r="L31" i="16"/>
  <c r="M31" i="16" s="1"/>
  <c r="N31" i="16" s="1"/>
  <c r="L9" i="20"/>
  <c r="M9" i="20" s="1"/>
  <c r="N9" i="20" s="1"/>
  <c r="D9" i="20"/>
  <c r="E9" i="20" s="1"/>
  <c r="F9" i="20" s="1"/>
  <c r="H9" i="20"/>
  <c r="L23" i="16"/>
  <c r="M23" i="16" s="1"/>
  <c r="N23" i="16" s="1"/>
  <c r="H23" i="16"/>
  <c r="I23" i="16" s="1"/>
  <c r="J23" i="16" s="1"/>
  <c r="D23" i="16"/>
  <c r="E23" i="16" s="1"/>
  <c r="F23" i="16" s="1"/>
  <c r="Q23" i="16" s="1"/>
  <c r="R23" i="16" s="1"/>
  <c r="H21" i="18"/>
  <c r="I21" i="18" s="1"/>
  <c r="J21" i="18" s="1"/>
  <c r="D21" i="18"/>
  <c r="E21" i="18" s="1"/>
  <c r="F21" i="18" s="1"/>
  <c r="P21" i="18"/>
  <c r="Q21" i="18" s="1"/>
  <c r="R21" i="18" s="1"/>
  <c r="H23" i="20"/>
  <c r="D23" i="20"/>
  <c r="L23" i="20"/>
  <c r="M23" i="20" s="1"/>
  <c r="N23" i="20" s="1"/>
  <c r="E46" i="21"/>
  <c r="F46" i="21" s="1"/>
  <c r="H46" i="21"/>
  <c r="I46" i="21" s="1"/>
  <c r="J46" i="21" s="1"/>
  <c r="L46" i="21"/>
  <c r="M46" i="21" s="1"/>
  <c r="N46" i="21" s="1"/>
  <c r="D34" i="18"/>
  <c r="E34" i="18" s="1"/>
  <c r="F34" i="18" s="1"/>
  <c r="L20" i="19"/>
  <c r="D20" i="19"/>
  <c r="E20" i="19" s="1"/>
  <c r="F20" i="19" s="1"/>
  <c r="L34" i="20"/>
  <c r="M34" i="20" s="1"/>
  <c r="N34" i="20" s="1"/>
  <c r="H41" i="16"/>
  <c r="I41" i="16" s="1"/>
  <c r="J41" i="16" s="1"/>
  <c r="D41" i="16"/>
  <c r="E41" i="16" s="1"/>
  <c r="F41" i="16" s="1"/>
  <c r="Q41" i="16" s="1"/>
  <c r="R41" i="16" s="1"/>
  <c r="I9" i="17"/>
  <c r="J9" i="17" s="1"/>
  <c r="L9" i="17"/>
  <c r="M9" i="17" s="1"/>
  <c r="N9" i="17" s="1"/>
  <c r="D19" i="18"/>
  <c r="E19" i="18" s="1"/>
  <c r="F19" i="18" s="1"/>
  <c r="H19" i="18"/>
  <c r="I19" i="18" s="1"/>
  <c r="J19" i="18" s="1"/>
  <c r="L44" i="22"/>
  <c r="M44" i="22" s="1"/>
  <c r="N44" i="22" s="1"/>
  <c r="D44" i="22"/>
  <c r="I44" i="22"/>
  <c r="J44" i="22" s="1"/>
  <c r="I9" i="24"/>
  <c r="J9" i="24" s="1"/>
  <c r="H30" i="16"/>
  <c r="I30" i="16" s="1"/>
  <c r="J30" i="16" s="1"/>
  <c r="D30" i="16"/>
  <c r="E30" i="16" s="1"/>
  <c r="F30" i="16" s="1"/>
  <c r="Q30" i="16" s="1"/>
  <c r="R30" i="16" s="1"/>
  <c r="L30" i="16"/>
  <c r="M30" i="16" s="1"/>
  <c r="N30" i="16" s="1"/>
  <c r="L46" i="16"/>
  <c r="M46" i="16" s="1"/>
  <c r="N46" i="16" s="1"/>
  <c r="H46" i="16"/>
  <c r="I46" i="16" s="1"/>
  <c r="J46" i="16" s="1"/>
  <c r="D9" i="17"/>
  <c r="E9" i="17" s="1"/>
  <c r="F9" i="17" s="1"/>
  <c r="Q34" i="18"/>
  <c r="R34" i="18" s="1"/>
  <c r="P30" i="19"/>
  <c r="L30" i="19"/>
  <c r="M30" i="19" s="1"/>
  <c r="N30" i="19" s="1"/>
  <c r="D41" i="20"/>
  <c r="E41" i="20" s="1"/>
  <c r="F41" i="20" s="1"/>
  <c r="H41" i="20"/>
  <c r="I41" i="20" s="1"/>
  <c r="J41" i="20" s="1"/>
  <c r="L41" i="20"/>
  <c r="M41" i="20" s="1"/>
  <c r="N41" i="20" s="1"/>
  <c r="H21" i="21"/>
  <c r="L21" i="21"/>
  <c r="M21" i="21" s="1"/>
  <c r="N21" i="21" s="1"/>
  <c r="Q8" i="16"/>
  <c r="R8" i="16" s="1"/>
  <c r="H42" i="16"/>
  <c r="D13" i="17"/>
  <c r="E13" i="17" s="1"/>
  <c r="F13" i="17" s="1"/>
  <c r="D11" i="18"/>
  <c r="E11" i="18" s="1"/>
  <c r="F11" i="18" s="1"/>
  <c r="H11" i="18"/>
  <c r="I11" i="18" s="1"/>
  <c r="J11" i="18" s="1"/>
  <c r="P20" i="18"/>
  <c r="Q20" i="18" s="1"/>
  <c r="R20" i="18" s="1"/>
  <c r="Q35" i="18"/>
  <c r="R35" i="18" s="1"/>
  <c r="H35" i="18"/>
  <c r="I35" i="18" s="1"/>
  <c r="J35" i="18" s="1"/>
  <c r="L56" i="18"/>
  <c r="M56" i="18" s="1"/>
  <c r="N56" i="18" s="1"/>
  <c r="H56" i="18"/>
  <c r="I56" i="18" s="1"/>
  <c r="J56" i="18" s="1"/>
  <c r="D56" i="18"/>
  <c r="E56" i="18" s="1"/>
  <c r="F56" i="18" s="1"/>
  <c r="M41" i="19"/>
  <c r="N41" i="19" s="1"/>
  <c r="P41" i="19"/>
  <c r="Q41" i="19" s="1"/>
  <c r="R41" i="19" s="1"/>
  <c r="H41" i="19"/>
  <c r="I41" i="19" s="1"/>
  <c r="J41" i="19" s="1"/>
  <c r="D41" i="19"/>
  <c r="E41" i="19" s="1"/>
  <c r="F41" i="19" s="1"/>
  <c r="P52" i="19"/>
  <c r="Q52" i="19" s="1"/>
  <c r="R52" i="19" s="1"/>
  <c r="M52" i="19"/>
  <c r="N52" i="19" s="1"/>
  <c r="D52" i="19"/>
  <c r="E52" i="19" s="1"/>
  <c r="F52" i="19" s="1"/>
  <c r="D19" i="20"/>
  <c r="L19" i="20"/>
  <c r="M19" i="20" s="1"/>
  <c r="N19" i="20" s="1"/>
  <c r="H33" i="20"/>
  <c r="I33" i="20" s="1"/>
  <c r="J33" i="20" s="1"/>
  <c r="D33" i="20"/>
  <c r="E33" i="20" s="1"/>
  <c r="F33" i="20" s="1"/>
  <c r="L30" i="20"/>
  <c r="M30" i="20" s="1"/>
  <c r="N30" i="20" s="1"/>
  <c r="L11" i="19"/>
  <c r="D11" i="19"/>
  <c r="E11" i="19" s="1"/>
  <c r="F11" i="19" s="1"/>
  <c r="D54" i="19"/>
  <c r="E54" i="19" s="1"/>
  <c r="F54" i="19" s="1"/>
  <c r="H54" i="19"/>
  <c r="I54" i="19" s="1"/>
  <c r="J54" i="19" s="1"/>
  <c r="H12" i="20"/>
  <c r="I12" i="20" s="1"/>
  <c r="J12" i="20" s="1"/>
  <c r="L12" i="20"/>
  <c r="M12" i="20" s="1"/>
  <c r="N12" i="20" s="1"/>
  <c r="D46" i="20"/>
  <c r="E46" i="20" s="1"/>
  <c r="F46" i="20" s="1"/>
  <c r="H46" i="20"/>
  <c r="I46" i="20" s="1"/>
  <c r="J46" i="20" s="1"/>
  <c r="H30" i="21"/>
  <c r="I30" i="21" s="1"/>
  <c r="J30" i="21" s="1"/>
  <c r="E30" i="21"/>
  <c r="F30" i="21" s="1"/>
  <c r="L30" i="21"/>
  <c r="M30" i="21" s="1"/>
  <c r="N30" i="21" s="1"/>
  <c r="D34" i="22"/>
  <c r="E34" i="22" s="1"/>
  <c r="F34" i="22" s="1"/>
  <c r="L34" i="22"/>
  <c r="M34" i="22" s="1"/>
  <c r="N34" i="22" s="1"/>
  <c r="H13" i="24"/>
  <c r="E13" i="24"/>
  <c r="F13" i="24" s="1"/>
  <c r="L45" i="16"/>
  <c r="M45" i="16" s="1"/>
  <c r="N45" i="16" s="1"/>
  <c r="H45" i="16"/>
  <c r="I45" i="16" s="1"/>
  <c r="J45" i="16" s="1"/>
  <c r="L22" i="17"/>
  <c r="M22" i="17" s="1"/>
  <c r="N22" i="17" s="1"/>
  <c r="D32" i="18"/>
  <c r="D10" i="19"/>
  <c r="E10" i="19" s="1"/>
  <c r="F10" i="19" s="1"/>
  <c r="L10" i="19"/>
  <c r="M10" i="19" s="1"/>
  <c r="N10" i="19" s="1"/>
  <c r="P42" i="19"/>
  <c r="Q42" i="19" s="1"/>
  <c r="R42" i="19" s="1"/>
  <c r="M42" i="19"/>
  <c r="N42" i="19" s="1"/>
  <c r="H42" i="19"/>
  <c r="I42" i="19" s="1"/>
  <c r="J42" i="19" s="1"/>
  <c r="D53" i="19"/>
  <c r="E53" i="19" s="1"/>
  <c r="F53" i="19" s="1"/>
  <c r="H53" i="19"/>
  <c r="I53" i="19" s="1"/>
  <c r="J53" i="19" s="1"/>
  <c r="L20" i="20"/>
  <c r="M20" i="20" s="1"/>
  <c r="N20" i="20" s="1"/>
  <c r="D20" i="20"/>
  <c r="I11" i="24"/>
  <c r="J11" i="24" s="1"/>
  <c r="E12" i="24"/>
  <c r="F12" i="24" s="1"/>
  <c r="H12" i="24"/>
  <c r="I24" i="24"/>
  <c r="J24" i="24" s="1"/>
  <c r="H20" i="16"/>
  <c r="I13" i="17"/>
  <c r="J13" i="17" s="1"/>
  <c r="M44" i="17"/>
  <c r="N44" i="17" s="1"/>
  <c r="L12" i="17"/>
  <c r="M12" i="17" s="1"/>
  <c r="N12" i="17" s="1"/>
  <c r="D12" i="17"/>
  <c r="E12" i="17" s="1"/>
  <c r="F12" i="17" s="1"/>
  <c r="L21" i="17"/>
  <c r="M21" i="17" s="1"/>
  <c r="N21" i="17" s="1"/>
  <c r="H13" i="18"/>
  <c r="I13" i="18" s="1"/>
  <c r="J13" i="18" s="1"/>
  <c r="P11" i="18"/>
  <c r="Q11" i="18" s="1"/>
  <c r="R11" i="18" s="1"/>
  <c r="L10" i="20"/>
  <c r="M10" i="20" s="1"/>
  <c r="N10" i="20" s="1"/>
  <c r="D10" i="20"/>
  <c r="D21" i="20"/>
  <c r="D35" i="20"/>
  <c r="E35" i="20" s="1"/>
  <c r="F35" i="20" s="1"/>
  <c r="L35" i="20"/>
  <c r="M35" i="20" s="1"/>
  <c r="N35" i="20" s="1"/>
  <c r="H30" i="20"/>
  <c r="I30" i="20" s="1"/>
  <c r="J30" i="20" s="1"/>
  <c r="L35" i="21"/>
  <c r="M35" i="21" s="1"/>
  <c r="N35" i="21" s="1"/>
  <c r="H42" i="17"/>
  <c r="I42" i="17" s="1"/>
  <c r="J42" i="17" s="1"/>
  <c r="M43" i="19"/>
  <c r="N43" i="19" s="1"/>
  <c r="L19" i="19"/>
  <c r="H13" i="20"/>
  <c r="H42" i="20"/>
  <c r="I42" i="20" s="1"/>
  <c r="J42" i="20" s="1"/>
  <c r="D43" i="22"/>
  <c r="E43" i="22" s="1"/>
  <c r="F43" i="22" s="1"/>
  <c r="Q55" i="16"/>
  <c r="R55" i="16" s="1"/>
  <c r="L57" i="18"/>
  <c r="M57" i="18" s="1"/>
  <c r="N57" i="18" s="1"/>
  <c r="P43" i="19"/>
  <c r="Q43" i="19" s="1"/>
  <c r="R43" i="19" s="1"/>
  <c r="H32" i="20"/>
  <c r="H45" i="21"/>
  <c r="I45" i="21" s="1"/>
  <c r="J45" i="21" s="1"/>
  <c r="L45" i="21"/>
  <c r="M45" i="21" s="1"/>
  <c r="N45" i="21" s="1"/>
  <c r="L33" i="22"/>
  <c r="M33" i="22" s="1"/>
  <c r="N33" i="22" s="1"/>
  <c r="I33" i="22"/>
  <c r="J33" i="22" s="1"/>
  <c r="H31" i="20"/>
  <c r="I31" i="20" s="1"/>
  <c r="J31" i="20" s="1"/>
  <c r="H44" i="20"/>
  <c r="Q44" i="20"/>
  <c r="R44" i="20" s="1"/>
  <c r="H9" i="22"/>
  <c r="I9" i="22" s="1"/>
  <c r="J9" i="22" s="1"/>
  <c r="E9" i="22"/>
  <c r="F9" i="22" s="1"/>
  <c r="P52" i="15"/>
  <c r="Q52" i="15" s="1"/>
  <c r="R52" i="15" s="1"/>
  <c r="I19" i="24"/>
  <c r="J19" i="24" s="1"/>
  <c r="Q53" i="15"/>
  <c r="R53" i="15" s="1"/>
  <c r="Q56" i="15"/>
  <c r="R56" i="15" s="1"/>
  <c r="L32" i="21"/>
  <c r="M32" i="21" s="1"/>
  <c r="N32" i="21" s="1"/>
  <c r="H41" i="21"/>
  <c r="I41" i="21" s="1"/>
  <c r="J41" i="21" s="1"/>
  <c r="H10" i="22"/>
  <c r="I10" i="22" s="1"/>
  <c r="J10" i="22" s="1"/>
  <c r="D42" i="22"/>
  <c r="Q53" i="20"/>
  <c r="R53" i="20" s="1"/>
  <c r="Q57" i="20"/>
  <c r="R57" i="20" s="1"/>
  <c r="M10" i="21"/>
  <c r="N10" i="21" s="1"/>
  <c r="H33" i="21"/>
  <c r="I33" i="21" s="1"/>
  <c r="J33" i="21" s="1"/>
  <c r="I22" i="24"/>
  <c r="J22" i="24" s="1"/>
  <c r="Q57" i="15"/>
  <c r="R57" i="15" s="1"/>
  <c r="I8" i="24"/>
  <c r="J8" i="24" s="1"/>
  <c r="I23" i="24"/>
  <c r="J23" i="24" s="1"/>
  <c r="Y23" i="15"/>
  <c r="Z23" i="15" s="1"/>
  <c r="U22" i="15"/>
  <c r="V22" i="15" s="1"/>
  <c r="Y21" i="15"/>
  <c r="Z21" i="15" s="1"/>
  <c r="Y20" i="15"/>
  <c r="Z20" i="15" s="1"/>
  <c r="U20" i="15"/>
  <c r="V20" i="15" s="1"/>
  <c r="U11" i="15"/>
  <c r="V11" i="15" s="1"/>
  <c r="Y12" i="15"/>
  <c r="Z12" i="15" s="1"/>
  <c r="Y10" i="15"/>
  <c r="Z10" i="15" s="1"/>
  <c r="I72" i="15"/>
  <c r="J72" i="15" s="1"/>
  <c r="U72" i="15" s="1"/>
  <c r="V72" i="15" s="1"/>
  <c r="I74" i="15"/>
  <c r="J74" i="15" s="1"/>
  <c r="U74" i="15" s="1"/>
  <c r="V74" i="15" s="1"/>
  <c r="I63" i="15"/>
  <c r="J63" i="15" s="1"/>
  <c r="H52" i="15"/>
  <c r="I52" i="15" s="1"/>
  <c r="J52" i="15" s="1"/>
  <c r="U52" i="15" s="1"/>
  <c r="V52" i="15" s="1"/>
  <c r="H54" i="15"/>
  <c r="I54" i="15" s="1"/>
  <c r="J54" i="15" s="1"/>
  <c r="U54" i="15" s="1"/>
  <c r="V54" i="15" s="1"/>
  <c r="H56" i="15"/>
  <c r="I56" i="15" s="1"/>
  <c r="J56" i="15" s="1"/>
  <c r="U56" i="15" s="1"/>
  <c r="V56" i="15" s="1"/>
  <c r="F31" i="24"/>
  <c r="I31" i="24" s="1"/>
  <c r="J31" i="24" s="1"/>
  <c r="F33" i="24"/>
  <c r="I33" i="24" s="1"/>
  <c r="J33" i="24" s="1"/>
  <c r="F35" i="24"/>
  <c r="I35" i="24" s="1"/>
  <c r="J35" i="24" s="1"/>
  <c r="F30" i="24"/>
  <c r="I30" i="24" s="1"/>
  <c r="J30" i="24" s="1"/>
  <c r="F32" i="24"/>
  <c r="I32" i="24" s="1"/>
  <c r="J32" i="24" s="1"/>
  <c r="F34" i="24"/>
  <c r="I34" i="24" s="1"/>
  <c r="J34" i="24" s="1"/>
  <c r="E8" i="23"/>
  <c r="F8" i="23" s="1"/>
  <c r="E10" i="23"/>
  <c r="F10" i="23" s="1"/>
  <c r="E12" i="23"/>
  <c r="F12" i="23" s="1"/>
  <c r="E19" i="22"/>
  <c r="F19" i="22" s="1"/>
  <c r="I19" i="22"/>
  <c r="J19" i="22" s="1"/>
  <c r="M20" i="22"/>
  <c r="N20" i="22" s="1"/>
  <c r="E21" i="22"/>
  <c r="F21" i="22" s="1"/>
  <c r="I21" i="22"/>
  <c r="J21" i="22" s="1"/>
  <c r="M22" i="22"/>
  <c r="N22" i="22" s="1"/>
  <c r="E23" i="22"/>
  <c r="F23" i="22" s="1"/>
  <c r="I23" i="22"/>
  <c r="J23" i="22" s="1"/>
  <c r="M24" i="22"/>
  <c r="N24" i="22" s="1"/>
  <c r="E30" i="22"/>
  <c r="F30" i="22" s="1"/>
  <c r="I30" i="22"/>
  <c r="J30" i="22" s="1"/>
  <c r="M31" i="22"/>
  <c r="N31" i="22" s="1"/>
  <c r="E32" i="22"/>
  <c r="F32" i="22" s="1"/>
  <c r="I32" i="22"/>
  <c r="J32" i="22" s="1"/>
  <c r="I34" i="22"/>
  <c r="J34" i="22" s="1"/>
  <c r="M35" i="22"/>
  <c r="N35" i="22" s="1"/>
  <c r="M42" i="22"/>
  <c r="N42" i="22" s="1"/>
  <c r="I43" i="22"/>
  <c r="J43" i="22" s="1"/>
  <c r="E45" i="22"/>
  <c r="F45" i="22" s="1"/>
  <c r="I45" i="22"/>
  <c r="J45" i="22" s="1"/>
  <c r="M46" i="22"/>
  <c r="N46" i="22" s="1"/>
  <c r="E20" i="22"/>
  <c r="F20" i="22" s="1"/>
  <c r="E22" i="22"/>
  <c r="F22" i="22" s="1"/>
  <c r="E24" i="22"/>
  <c r="F24" i="22" s="1"/>
  <c r="E31" i="22"/>
  <c r="F31" i="22" s="1"/>
  <c r="E33" i="22"/>
  <c r="F33" i="22" s="1"/>
  <c r="E35" i="22"/>
  <c r="F35" i="22" s="1"/>
  <c r="E42" i="22"/>
  <c r="F42" i="22" s="1"/>
  <c r="E44" i="22"/>
  <c r="F44" i="22" s="1"/>
  <c r="E46" i="22"/>
  <c r="F46" i="22" s="1"/>
  <c r="E8" i="21"/>
  <c r="F8" i="21" s="1"/>
  <c r="I8" i="21"/>
  <c r="J8" i="21" s="1"/>
  <c r="E10" i="21"/>
  <c r="F10" i="21" s="1"/>
  <c r="I10" i="21"/>
  <c r="J10" i="21" s="1"/>
  <c r="E12" i="21"/>
  <c r="F12" i="21" s="1"/>
  <c r="I12" i="21"/>
  <c r="J12" i="21" s="1"/>
  <c r="E21" i="21"/>
  <c r="F21" i="21" s="1"/>
  <c r="I21" i="21"/>
  <c r="J21" i="21" s="1"/>
  <c r="E23" i="21"/>
  <c r="F23" i="21" s="1"/>
  <c r="I23" i="21"/>
  <c r="J23" i="21" s="1"/>
  <c r="I42" i="21"/>
  <c r="J42" i="21" s="1"/>
  <c r="I44" i="21"/>
  <c r="J44" i="21" s="1"/>
  <c r="Q8" i="20"/>
  <c r="R8" i="20" s="1"/>
  <c r="Q9" i="20"/>
  <c r="R9" i="20" s="1"/>
  <c r="Q10" i="20"/>
  <c r="R10" i="20" s="1"/>
  <c r="Q11" i="20"/>
  <c r="R11" i="20" s="1"/>
  <c r="Q12" i="20"/>
  <c r="R12" i="20" s="1"/>
  <c r="Q13" i="20"/>
  <c r="R13" i="20" s="1"/>
  <c r="Q19" i="20"/>
  <c r="R19" i="20" s="1"/>
  <c r="Q20" i="20"/>
  <c r="R20" i="20" s="1"/>
  <c r="Q21" i="20"/>
  <c r="R21" i="20" s="1"/>
  <c r="Q22" i="20"/>
  <c r="R22" i="20" s="1"/>
  <c r="Q23" i="20"/>
  <c r="R23" i="20" s="1"/>
  <c r="Q24" i="20"/>
  <c r="R24" i="20" s="1"/>
  <c r="Q30" i="20"/>
  <c r="R30" i="20" s="1"/>
  <c r="Q31" i="20"/>
  <c r="R31" i="20" s="1"/>
  <c r="Q32" i="20"/>
  <c r="R32" i="20" s="1"/>
  <c r="Q33" i="20"/>
  <c r="R33" i="20" s="1"/>
  <c r="Q34" i="20"/>
  <c r="R34" i="20" s="1"/>
  <c r="Q35" i="20"/>
  <c r="R35" i="20" s="1"/>
  <c r="M43" i="20"/>
  <c r="N43" i="20" s="1"/>
  <c r="I44" i="20"/>
  <c r="J44" i="20" s="1"/>
  <c r="M44" i="20"/>
  <c r="N44" i="20" s="1"/>
  <c r="I45" i="20"/>
  <c r="J45" i="20" s="1"/>
  <c r="M45" i="20"/>
  <c r="N45" i="20" s="1"/>
  <c r="M46" i="20"/>
  <c r="N46" i="20" s="1"/>
  <c r="I52" i="20"/>
  <c r="J52" i="20" s="1"/>
  <c r="M52" i="20"/>
  <c r="N52" i="20" s="1"/>
  <c r="I53" i="20"/>
  <c r="J53" i="20" s="1"/>
  <c r="M53" i="20"/>
  <c r="N53" i="20" s="1"/>
  <c r="I54" i="20"/>
  <c r="J54" i="20" s="1"/>
  <c r="M54" i="20"/>
  <c r="N54" i="20" s="1"/>
  <c r="I55" i="20"/>
  <c r="J55" i="20" s="1"/>
  <c r="M55" i="20"/>
  <c r="N55" i="20" s="1"/>
  <c r="I56" i="20"/>
  <c r="J56" i="20" s="1"/>
  <c r="M56" i="20"/>
  <c r="N56" i="20" s="1"/>
  <c r="I57" i="20"/>
  <c r="J57" i="20" s="1"/>
  <c r="M57" i="20"/>
  <c r="N57" i="20" s="1"/>
  <c r="E8" i="20"/>
  <c r="F8" i="20" s="1"/>
  <c r="I8" i="20"/>
  <c r="J8" i="20" s="1"/>
  <c r="I9" i="20"/>
  <c r="J9" i="20" s="1"/>
  <c r="E10" i="20"/>
  <c r="F10" i="20" s="1"/>
  <c r="I10" i="20"/>
  <c r="J10" i="20" s="1"/>
  <c r="E11" i="20"/>
  <c r="F11" i="20" s="1"/>
  <c r="I11" i="20"/>
  <c r="J11" i="20" s="1"/>
  <c r="E12" i="20"/>
  <c r="F12" i="20" s="1"/>
  <c r="E13" i="20"/>
  <c r="F13" i="20" s="1"/>
  <c r="I13" i="20"/>
  <c r="J13" i="20" s="1"/>
  <c r="E19" i="20"/>
  <c r="F19" i="20" s="1"/>
  <c r="I19" i="20"/>
  <c r="J19" i="20" s="1"/>
  <c r="E20" i="20"/>
  <c r="F20" i="20" s="1"/>
  <c r="I20" i="20"/>
  <c r="J20" i="20" s="1"/>
  <c r="E21" i="20"/>
  <c r="F21" i="20" s="1"/>
  <c r="I21" i="20"/>
  <c r="J21" i="20" s="1"/>
  <c r="I22" i="20"/>
  <c r="J22" i="20" s="1"/>
  <c r="E23" i="20"/>
  <c r="F23" i="20" s="1"/>
  <c r="I23" i="20"/>
  <c r="J23" i="20" s="1"/>
  <c r="E24" i="20"/>
  <c r="F24" i="20" s="1"/>
  <c r="I24" i="20"/>
  <c r="J24" i="20" s="1"/>
  <c r="I32" i="20"/>
  <c r="J32" i="20" s="1"/>
  <c r="I34" i="20"/>
  <c r="J34" i="20" s="1"/>
  <c r="I35" i="20"/>
  <c r="J35" i="20" s="1"/>
  <c r="Q30" i="19"/>
  <c r="R30" i="19" s="1"/>
  <c r="I30" i="19"/>
  <c r="J30" i="19" s="1"/>
  <c r="Q31" i="19"/>
  <c r="R31" i="19" s="1"/>
  <c r="I31" i="19"/>
  <c r="J31" i="19" s="1"/>
  <c r="Q32" i="19"/>
  <c r="R32" i="19" s="1"/>
  <c r="I32" i="19"/>
  <c r="J32" i="19" s="1"/>
  <c r="Q33" i="19"/>
  <c r="R33" i="19" s="1"/>
  <c r="I33" i="19"/>
  <c r="J33" i="19" s="1"/>
  <c r="Q34" i="19"/>
  <c r="R34" i="19" s="1"/>
  <c r="I34" i="19"/>
  <c r="J34" i="19" s="1"/>
  <c r="Q35" i="19"/>
  <c r="R35" i="19" s="1"/>
  <c r="I35" i="19"/>
  <c r="J35" i="19" s="1"/>
  <c r="I8" i="19"/>
  <c r="J8" i="19" s="1"/>
  <c r="M8" i="19"/>
  <c r="N8" i="19" s="1"/>
  <c r="I9" i="19"/>
  <c r="J9" i="19" s="1"/>
  <c r="M9" i="19"/>
  <c r="N9" i="19" s="1"/>
  <c r="I10" i="19"/>
  <c r="J10" i="19" s="1"/>
  <c r="I11" i="19"/>
  <c r="J11" i="19" s="1"/>
  <c r="M11" i="19"/>
  <c r="N11" i="19" s="1"/>
  <c r="I12" i="19"/>
  <c r="J12" i="19" s="1"/>
  <c r="M12" i="19"/>
  <c r="N12" i="19" s="1"/>
  <c r="I13" i="19"/>
  <c r="J13" i="19" s="1"/>
  <c r="M13" i="19"/>
  <c r="N13" i="19" s="1"/>
  <c r="I19" i="19"/>
  <c r="J19" i="19" s="1"/>
  <c r="M19" i="19"/>
  <c r="N19" i="19" s="1"/>
  <c r="I20" i="19"/>
  <c r="J20" i="19" s="1"/>
  <c r="M20" i="19"/>
  <c r="N20" i="19" s="1"/>
  <c r="I21" i="19"/>
  <c r="J21" i="19" s="1"/>
  <c r="M21" i="19"/>
  <c r="N21" i="19" s="1"/>
  <c r="I22" i="19"/>
  <c r="J22" i="19" s="1"/>
  <c r="M22" i="19"/>
  <c r="N22" i="19" s="1"/>
  <c r="I23" i="19"/>
  <c r="J23" i="19" s="1"/>
  <c r="M23" i="19"/>
  <c r="N23" i="19" s="1"/>
  <c r="I24" i="19"/>
  <c r="J24" i="19" s="1"/>
  <c r="M24" i="19"/>
  <c r="N24" i="19" s="1"/>
  <c r="M31" i="19"/>
  <c r="N31" i="19" s="1"/>
  <c r="M32" i="19"/>
  <c r="N32" i="19" s="1"/>
  <c r="M33" i="19"/>
  <c r="N33" i="19" s="1"/>
  <c r="M34" i="19"/>
  <c r="N34" i="19" s="1"/>
  <c r="M35" i="19"/>
  <c r="N35" i="19" s="1"/>
  <c r="M19" i="18"/>
  <c r="N19" i="18" s="1"/>
  <c r="E20" i="18"/>
  <c r="F20" i="18" s="1"/>
  <c r="M20" i="18"/>
  <c r="N20" i="18" s="1"/>
  <c r="M21" i="18"/>
  <c r="N21" i="18" s="1"/>
  <c r="E22" i="18"/>
  <c r="F22" i="18" s="1"/>
  <c r="M22" i="18"/>
  <c r="N22" i="18" s="1"/>
  <c r="E23" i="18"/>
  <c r="F23" i="18" s="1"/>
  <c r="M23" i="18"/>
  <c r="N23" i="18" s="1"/>
  <c r="E24" i="18"/>
  <c r="F24" i="18" s="1"/>
  <c r="M24" i="18"/>
  <c r="N24" i="18" s="1"/>
  <c r="E30" i="18"/>
  <c r="F30" i="18" s="1"/>
  <c r="M30" i="18"/>
  <c r="N30" i="18" s="1"/>
  <c r="E31" i="18"/>
  <c r="F31" i="18" s="1"/>
  <c r="M31" i="18"/>
  <c r="N31" i="18" s="1"/>
  <c r="E32" i="18"/>
  <c r="F32" i="18" s="1"/>
  <c r="M32" i="18"/>
  <c r="N32" i="18" s="1"/>
  <c r="E33" i="18"/>
  <c r="F33" i="18" s="1"/>
  <c r="M33" i="18"/>
  <c r="N33" i="18" s="1"/>
  <c r="M34" i="18"/>
  <c r="N34" i="18" s="1"/>
  <c r="E35" i="18"/>
  <c r="F35" i="18" s="1"/>
  <c r="M35" i="18"/>
  <c r="N35" i="18" s="1"/>
  <c r="E41" i="18"/>
  <c r="F41" i="18" s="1"/>
  <c r="M41" i="18"/>
  <c r="N41" i="18" s="1"/>
  <c r="E42" i="18"/>
  <c r="F42" i="18" s="1"/>
  <c r="M42" i="18"/>
  <c r="N42" i="18" s="1"/>
  <c r="E43" i="18"/>
  <c r="F43" i="18" s="1"/>
  <c r="M43" i="18"/>
  <c r="N43" i="18" s="1"/>
  <c r="E44" i="18"/>
  <c r="F44" i="18" s="1"/>
  <c r="M44" i="18"/>
  <c r="N44" i="18" s="1"/>
  <c r="E45" i="18"/>
  <c r="F45" i="18" s="1"/>
  <c r="M45" i="18"/>
  <c r="N45" i="18" s="1"/>
  <c r="E46" i="18"/>
  <c r="F46" i="18" s="1"/>
  <c r="M46" i="18"/>
  <c r="N46" i="18" s="1"/>
  <c r="Q44" i="16"/>
  <c r="R44" i="16" s="1"/>
  <c r="I52" i="16"/>
  <c r="J52" i="16" s="1"/>
  <c r="I53" i="16"/>
  <c r="J53" i="16" s="1"/>
  <c r="I54" i="16"/>
  <c r="J54" i="16" s="1"/>
  <c r="I55" i="16"/>
  <c r="J55" i="16" s="1"/>
  <c r="I56" i="16"/>
  <c r="J56" i="16" s="1"/>
  <c r="I57" i="16"/>
  <c r="J57" i="16" s="1"/>
  <c r="I20" i="16"/>
  <c r="J20" i="16" s="1"/>
  <c r="I22" i="16"/>
  <c r="J22" i="16" s="1"/>
  <c r="I24" i="16"/>
  <c r="J24" i="16" s="1"/>
  <c r="I31" i="16"/>
  <c r="J31" i="16" s="1"/>
  <c r="I33" i="16"/>
  <c r="J33" i="16" s="1"/>
  <c r="I35" i="16"/>
  <c r="J35" i="16" s="1"/>
  <c r="I42" i="16"/>
  <c r="J42" i="16" s="1"/>
  <c r="I44" i="16"/>
  <c r="J44" i="16" s="1"/>
  <c r="M8" i="10"/>
  <c r="N8" i="10" s="1"/>
  <c r="D9" i="10"/>
  <c r="I9" i="10"/>
  <c r="J9" i="10" s="1"/>
  <c r="L9" i="10"/>
  <c r="E10" i="10"/>
  <c r="F10" i="10" s="1"/>
  <c r="D11" i="10"/>
  <c r="I11" i="10"/>
  <c r="J11" i="10" s="1"/>
  <c r="L11" i="10"/>
  <c r="E12" i="10"/>
  <c r="F12" i="10" s="1"/>
  <c r="M12" i="10"/>
  <c r="N12" i="10" s="1"/>
  <c r="D13" i="10"/>
  <c r="I13" i="10"/>
  <c r="J13" i="10" s="1"/>
  <c r="L13" i="10"/>
  <c r="E19" i="10"/>
  <c r="F19" i="10" s="1"/>
  <c r="M19" i="10"/>
  <c r="N19" i="10" s="1"/>
  <c r="D20" i="10"/>
  <c r="I20" i="10"/>
  <c r="J20" i="10" s="1"/>
  <c r="L20" i="10"/>
  <c r="E21" i="10"/>
  <c r="F21" i="10" s="1"/>
  <c r="M21" i="10"/>
  <c r="N21" i="10" s="1"/>
  <c r="D22" i="10"/>
  <c r="I22" i="10"/>
  <c r="J22" i="10" s="1"/>
  <c r="L22" i="10"/>
  <c r="E23" i="10"/>
  <c r="F23" i="10" s="1"/>
  <c r="M23" i="10"/>
  <c r="N23" i="10" s="1"/>
  <c r="D24" i="10"/>
  <c r="I24" i="10"/>
  <c r="J24" i="10" s="1"/>
  <c r="L24" i="10"/>
  <c r="E30" i="10"/>
  <c r="F30" i="10" s="1"/>
  <c r="M30" i="10"/>
  <c r="N30" i="10" s="1"/>
  <c r="I31" i="10"/>
  <c r="J31" i="10" s="1"/>
  <c r="E32" i="10"/>
  <c r="F32" i="10" s="1"/>
  <c r="M32" i="10"/>
  <c r="N32" i="10" s="1"/>
  <c r="I33" i="10"/>
  <c r="J33" i="10" s="1"/>
  <c r="E34" i="10"/>
  <c r="F34" i="10" s="1"/>
  <c r="M34" i="10"/>
  <c r="N34" i="10" s="1"/>
  <c r="I35" i="10"/>
  <c r="J35" i="10" s="1"/>
  <c r="E41" i="10"/>
  <c r="F41" i="10" s="1"/>
  <c r="H41" i="10"/>
  <c r="M41" i="10"/>
  <c r="N41" i="10" s="1"/>
  <c r="I42" i="10"/>
  <c r="J42" i="10" s="1"/>
  <c r="E43" i="10"/>
  <c r="F43" i="10" s="1"/>
  <c r="H43" i="10"/>
  <c r="M43" i="10"/>
  <c r="N43" i="10" s="1"/>
  <c r="I44" i="10"/>
  <c r="J44" i="10" s="1"/>
  <c r="E45" i="10"/>
  <c r="F45" i="10" s="1"/>
  <c r="H45" i="10"/>
  <c r="M45" i="10"/>
  <c r="N45" i="10" s="1"/>
  <c r="I46" i="10"/>
  <c r="J46" i="10" s="1"/>
  <c r="P23" i="5"/>
  <c r="Q23" i="5" s="1"/>
  <c r="R23" i="5" s="1"/>
  <c r="P21" i="5"/>
  <c r="Q21" i="5" s="1"/>
  <c r="R21" i="5" s="1"/>
  <c r="T19" i="5"/>
  <c r="U19" i="5" s="1"/>
  <c r="V19" i="5" s="1"/>
  <c r="T23" i="5"/>
  <c r="U23" i="5" s="1"/>
  <c r="V23" i="5" s="1"/>
  <c r="T21" i="5"/>
  <c r="U21" i="5" s="1"/>
  <c r="V21" i="5" s="1"/>
  <c r="D30" i="5"/>
  <c r="E30" i="5" s="1"/>
  <c r="F30" i="5" s="1"/>
  <c r="D34" i="5"/>
  <c r="E34" i="5" s="1"/>
  <c r="F34" i="5" s="1"/>
  <c r="D32" i="5"/>
  <c r="E32" i="5" s="1"/>
  <c r="F32" i="5" s="1"/>
  <c r="H30" i="5"/>
  <c r="I30" i="5" s="1"/>
  <c r="J30" i="5" s="1"/>
  <c r="H34" i="5"/>
  <c r="I34" i="5" s="1"/>
  <c r="J34" i="5" s="1"/>
  <c r="H32" i="5"/>
  <c r="I32" i="5" s="1"/>
  <c r="J32" i="5" s="1"/>
  <c r="P30" i="5"/>
  <c r="Q30" i="5" s="1"/>
  <c r="R30" i="5" s="1"/>
  <c r="P34" i="5"/>
  <c r="Q34" i="5" s="1"/>
  <c r="R34" i="5" s="1"/>
  <c r="P32" i="5"/>
  <c r="Q32" i="5" s="1"/>
  <c r="R32" i="5" s="1"/>
  <c r="T30" i="5"/>
  <c r="U30" i="5" s="1"/>
  <c r="V30" i="5" s="1"/>
  <c r="T34" i="5"/>
  <c r="U34" i="5" s="1"/>
  <c r="V34" i="5" s="1"/>
  <c r="T32" i="5"/>
  <c r="U32" i="5" s="1"/>
  <c r="V32" i="5" s="1"/>
  <c r="D52" i="5"/>
  <c r="D56" i="5"/>
  <c r="D54" i="5"/>
  <c r="H52" i="5"/>
  <c r="I52" i="5" s="1"/>
  <c r="J52" i="5" s="1"/>
  <c r="H56" i="5"/>
  <c r="I56" i="5" s="1"/>
  <c r="J56" i="5" s="1"/>
  <c r="H54" i="5"/>
  <c r="I54" i="5" s="1"/>
  <c r="J54" i="5" s="1"/>
  <c r="L52" i="5"/>
  <c r="M52" i="5" s="1"/>
  <c r="N52" i="5" s="1"/>
  <c r="L56" i="5"/>
  <c r="M56" i="5" s="1"/>
  <c r="N56" i="5" s="1"/>
  <c r="L54" i="5"/>
  <c r="M54" i="5" s="1"/>
  <c r="N54" i="5" s="1"/>
  <c r="T52" i="5"/>
  <c r="U52" i="5" s="1"/>
  <c r="V52" i="5" s="1"/>
  <c r="T56" i="5"/>
  <c r="U56" i="5" s="1"/>
  <c r="V56" i="5" s="1"/>
  <c r="T54" i="5"/>
  <c r="U54" i="5" s="1"/>
  <c r="V54" i="5" s="1"/>
  <c r="D63" i="5"/>
  <c r="D67" i="5"/>
  <c r="D65" i="5"/>
  <c r="H63" i="5"/>
  <c r="I63" i="5" s="1"/>
  <c r="J63" i="5" s="1"/>
  <c r="H67" i="5"/>
  <c r="I67" i="5" s="1"/>
  <c r="J67" i="5" s="1"/>
  <c r="H65" i="5"/>
  <c r="I65" i="5" s="1"/>
  <c r="J65" i="5" s="1"/>
  <c r="L63" i="5"/>
  <c r="M63" i="5" s="1"/>
  <c r="N63" i="5" s="1"/>
  <c r="L67" i="5"/>
  <c r="M67" i="5" s="1"/>
  <c r="N67" i="5" s="1"/>
  <c r="L65" i="5"/>
  <c r="M65" i="5" s="1"/>
  <c r="N65" i="5" s="1"/>
  <c r="T63" i="5"/>
  <c r="U63" i="5" s="1"/>
  <c r="V63" i="5" s="1"/>
  <c r="T67" i="5"/>
  <c r="U67" i="5" s="1"/>
  <c r="V67" i="5" s="1"/>
  <c r="T65" i="5"/>
  <c r="U65" i="5" s="1"/>
  <c r="V65" i="5" s="1"/>
  <c r="M8" i="5"/>
  <c r="N8" i="5" s="1"/>
  <c r="M12" i="5"/>
  <c r="N12" i="5" s="1"/>
  <c r="M19" i="5"/>
  <c r="N19" i="5" s="1"/>
  <c r="M23" i="5"/>
  <c r="N23" i="5" s="1"/>
  <c r="M21" i="5"/>
  <c r="N21" i="5" s="1"/>
  <c r="D9" i="5"/>
  <c r="E9" i="5" s="1"/>
  <c r="F9" i="5" s="1"/>
  <c r="P24" i="5"/>
  <c r="Q24" i="5" s="1"/>
  <c r="R24" i="5" s="1"/>
  <c r="P22" i="5"/>
  <c r="Q22" i="5" s="1"/>
  <c r="R22" i="5" s="1"/>
  <c r="P20" i="5"/>
  <c r="Q20" i="5" s="1"/>
  <c r="R20" i="5" s="1"/>
  <c r="T24" i="5"/>
  <c r="U24" i="5" s="1"/>
  <c r="V24" i="5" s="1"/>
  <c r="T22" i="5"/>
  <c r="U22" i="5" s="1"/>
  <c r="V22" i="5" s="1"/>
  <c r="T20" i="5"/>
  <c r="U20" i="5" s="1"/>
  <c r="V20" i="5" s="1"/>
  <c r="D35" i="5"/>
  <c r="E35" i="5" s="1"/>
  <c r="F35" i="5" s="1"/>
  <c r="D33" i="5"/>
  <c r="E33" i="5" s="1"/>
  <c r="F33" i="5" s="1"/>
  <c r="D31" i="5"/>
  <c r="E31" i="5" s="1"/>
  <c r="F31" i="5" s="1"/>
  <c r="H35" i="5"/>
  <c r="I35" i="5" s="1"/>
  <c r="J35" i="5" s="1"/>
  <c r="H33" i="5"/>
  <c r="I33" i="5" s="1"/>
  <c r="J33" i="5" s="1"/>
  <c r="H31" i="5"/>
  <c r="I31" i="5" s="1"/>
  <c r="J31" i="5" s="1"/>
  <c r="P35" i="5"/>
  <c r="Q35" i="5" s="1"/>
  <c r="R35" i="5" s="1"/>
  <c r="P33" i="5"/>
  <c r="Q33" i="5" s="1"/>
  <c r="R33" i="5" s="1"/>
  <c r="P31" i="5"/>
  <c r="Q31" i="5" s="1"/>
  <c r="R31" i="5" s="1"/>
  <c r="T35" i="5"/>
  <c r="U35" i="5" s="1"/>
  <c r="V35" i="5" s="1"/>
  <c r="T33" i="5"/>
  <c r="U33" i="5" s="1"/>
  <c r="V33" i="5" s="1"/>
  <c r="T31" i="5"/>
  <c r="U31" i="5" s="1"/>
  <c r="V31" i="5" s="1"/>
  <c r="D57" i="5"/>
  <c r="D55" i="5"/>
  <c r="D53" i="5"/>
  <c r="H57" i="5"/>
  <c r="I57" i="5" s="1"/>
  <c r="J57" i="5" s="1"/>
  <c r="H55" i="5"/>
  <c r="I55" i="5" s="1"/>
  <c r="J55" i="5" s="1"/>
  <c r="H53" i="5"/>
  <c r="I53" i="5" s="1"/>
  <c r="J53" i="5" s="1"/>
  <c r="L57" i="5"/>
  <c r="M57" i="5" s="1"/>
  <c r="N57" i="5" s="1"/>
  <c r="L55" i="5"/>
  <c r="M55" i="5" s="1"/>
  <c r="N55" i="5" s="1"/>
  <c r="L53" i="5"/>
  <c r="M53" i="5" s="1"/>
  <c r="N53" i="5" s="1"/>
  <c r="T57" i="5"/>
  <c r="U57" i="5" s="1"/>
  <c r="V57" i="5" s="1"/>
  <c r="T55" i="5"/>
  <c r="U55" i="5" s="1"/>
  <c r="V55" i="5" s="1"/>
  <c r="T53" i="5"/>
  <c r="U53" i="5" s="1"/>
  <c r="V53" i="5" s="1"/>
  <c r="D68" i="5"/>
  <c r="D66" i="5"/>
  <c r="D64" i="5"/>
  <c r="H68" i="5"/>
  <c r="I68" i="5" s="1"/>
  <c r="J68" i="5" s="1"/>
  <c r="H66" i="5"/>
  <c r="I66" i="5" s="1"/>
  <c r="J66" i="5" s="1"/>
  <c r="H64" i="5"/>
  <c r="I64" i="5" s="1"/>
  <c r="J64" i="5" s="1"/>
  <c r="L68" i="5"/>
  <c r="M68" i="5" s="1"/>
  <c r="N68" i="5" s="1"/>
  <c r="L66" i="5"/>
  <c r="M66" i="5" s="1"/>
  <c r="N66" i="5" s="1"/>
  <c r="L64" i="5"/>
  <c r="M64" i="5" s="1"/>
  <c r="N64" i="5" s="1"/>
  <c r="T68" i="5"/>
  <c r="U68" i="5" s="1"/>
  <c r="V68" i="5" s="1"/>
  <c r="T66" i="5"/>
  <c r="U66" i="5" s="1"/>
  <c r="V66" i="5" s="1"/>
  <c r="T64" i="5"/>
  <c r="U64" i="5" s="1"/>
  <c r="V64" i="5" s="1"/>
  <c r="M13" i="5"/>
  <c r="N13" i="5" s="1"/>
  <c r="M11" i="5"/>
  <c r="N11" i="5" s="1"/>
  <c r="M9" i="5"/>
  <c r="N9" i="5" s="1"/>
  <c r="M24" i="5"/>
  <c r="N24" i="5" s="1"/>
  <c r="M22" i="5"/>
  <c r="N22" i="5" s="1"/>
  <c r="M20" i="5"/>
  <c r="N20" i="5" s="1"/>
  <c r="E37" i="3"/>
  <c r="F37" i="3" s="1"/>
  <c r="E41" i="3"/>
  <c r="F41" i="3" s="1"/>
  <c r="E39" i="3"/>
  <c r="F39" i="3" s="1"/>
  <c r="E48" i="3"/>
  <c r="F48" i="3" s="1"/>
  <c r="E52" i="3"/>
  <c r="F52" i="3" s="1"/>
  <c r="E50" i="3"/>
  <c r="F50" i="3" s="1"/>
  <c r="E59" i="3"/>
  <c r="F59" i="3" s="1"/>
  <c r="E63" i="3"/>
  <c r="F63" i="3" s="1"/>
  <c r="E61" i="3"/>
  <c r="F61" i="3" s="1"/>
  <c r="E70" i="3"/>
  <c r="F70" i="3" s="1"/>
  <c r="E74" i="3"/>
  <c r="F74" i="3" s="1"/>
  <c r="E72" i="3"/>
  <c r="F72" i="3" s="1"/>
  <c r="E81" i="3"/>
  <c r="F81" i="3" s="1"/>
  <c r="E85" i="3"/>
  <c r="F85" i="3" s="1"/>
  <c r="E83" i="3"/>
  <c r="F83" i="3" s="1"/>
  <c r="E92" i="3"/>
  <c r="F92" i="3" s="1"/>
  <c r="E96" i="3"/>
  <c r="F96" i="3" s="1"/>
  <c r="E94" i="3"/>
  <c r="F94" i="3" s="1"/>
  <c r="E103" i="3"/>
  <c r="F103" i="3" s="1"/>
  <c r="E107" i="3"/>
  <c r="F107" i="3" s="1"/>
  <c r="E105" i="3"/>
  <c r="F105" i="3" s="1"/>
  <c r="E42" i="3"/>
  <c r="F42" i="3" s="1"/>
  <c r="E40" i="3"/>
  <c r="F40" i="3" s="1"/>
  <c r="E38" i="3"/>
  <c r="F38" i="3" s="1"/>
  <c r="E53" i="3"/>
  <c r="F53" i="3" s="1"/>
  <c r="E51" i="3"/>
  <c r="F51" i="3" s="1"/>
  <c r="E49" i="3"/>
  <c r="F49" i="3" s="1"/>
  <c r="E64" i="3"/>
  <c r="F64" i="3" s="1"/>
  <c r="E62" i="3"/>
  <c r="F62" i="3" s="1"/>
  <c r="E60" i="3"/>
  <c r="F60" i="3" s="1"/>
  <c r="E75" i="3"/>
  <c r="F75" i="3" s="1"/>
  <c r="E73" i="3"/>
  <c r="F73" i="3" s="1"/>
  <c r="E71" i="3"/>
  <c r="F71" i="3" s="1"/>
  <c r="E86" i="3"/>
  <c r="F86" i="3" s="1"/>
  <c r="E84" i="3"/>
  <c r="F84" i="3" s="1"/>
  <c r="E82" i="3"/>
  <c r="F82" i="3" s="1"/>
  <c r="E97" i="3"/>
  <c r="F97" i="3" s="1"/>
  <c r="E95" i="3"/>
  <c r="F95" i="3" s="1"/>
  <c r="E93" i="3"/>
  <c r="F93" i="3" s="1"/>
  <c r="E108" i="3"/>
  <c r="F108" i="3" s="1"/>
  <c r="E106" i="3"/>
  <c r="F106" i="3" s="1"/>
  <c r="E104" i="3"/>
  <c r="F104" i="3" s="1"/>
  <c r="H107" i="3"/>
  <c r="I107" i="3" s="1"/>
  <c r="J107" i="3" s="1"/>
  <c r="H105" i="3"/>
  <c r="I105" i="3" s="1"/>
  <c r="J105" i="3" s="1"/>
  <c r="L103" i="3"/>
  <c r="M103" i="3" s="1"/>
  <c r="N103" i="3" s="1"/>
  <c r="L107" i="3"/>
  <c r="M107" i="3" s="1"/>
  <c r="N107" i="3" s="1"/>
  <c r="L105" i="3"/>
  <c r="M105" i="3" s="1"/>
  <c r="N105" i="3" s="1"/>
  <c r="P103" i="3"/>
  <c r="Q103" i="3" s="1"/>
  <c r="R103" i="3" s="1"/>
  <c r="P107" i="3"/>
  <c r="Q107" i="3" s="1"/>
  <c r="R107" i="3" s="1"/>
  <c r="P105" i="3"/>
  <c r="Q105" i="3" s="1"/>
  <c r="R105" i="3" s="1"/>
  <c r="T103" i="3"/>
  <c r="U103" i="3" s="1"/>
  <c r="V103" i="3" s="1"/>
  <c r="T107" i="3"/>
  <c r="U107" i="3" s="1"/>
  <c r="V107" i="3" s="1"/>
  <c r="T105" i="3"/>
  <c r="U105" i="3" s="1"/>
  <c r="V105" i="3" s="1"/>
  <c r="X103" i="3"/>
  <c r="Y103" i="3" s="1"/>
  <c r="Z103" i="3" s="1"/>
  <c r="X107" i="3"/>
  <c r="Y107" i="3" s="1"/>
  <c r="Z107" i="3" s="1"/>
  <c r="X105" i="3"/>
  <c r="Y105" i="3" s="1"/>
  <c r="Z105" i="3" s="1"/>
  <c r="AB103" i="3"/>
  <c r="AC103" i="3" s="1"/>
  <c r="AD103" i="3" s="1"/>
  <c r="AB107" i="3"/>
  <c r="AC107" i="3" s="1"/>
  <c r="AD107" i="3" s="1"/>
  <c r="AB105" i="3"/>
  <c r="AC105" i="3" s="1"/>
  <c r="AD105" i="3" s="1"/>
  <c r="AF103" i="3"/>
  <c r="AG103" i="3" s="1"/>
  <c r="AH103" i="3" s="1"/>
  <c r="H108" i="3"/>
  <c r="I108" i="3" s="1"/>
  <c r="J108" i="3" s="1"/>
  <c r="H106" i="3"/>
  <c r="I106" i="3" s="1"/>
  <c r="J106" i="3" s="1"/>
  <c r="H104" i="3"/>
  <c r="I104" i="3" s="1"/>
  <c r="J104" i="3" s="1"/>
  <c r="L108" i="3"/>
  <c r="M108" i="3" s="1"/>
  <c r="N108" i="3" s="1"/>
  <c r="L106" i="3"/>
  <c r="M106" i="3" s="1"/>
  <c r="N106" i="3" s="1"/>
  <c r="L104" i="3"/>
  <c r="M104" i="3" s="1"/>
  <c r="N104" i="3" s="1"/>
  <c r="P108" i="3"/>
  <c r="Q108" i="3" s="1"/>
  <c r="R108" i="3" s="1"/>
  <c r="P106" i="3"/>
  <c r="Q106" i="3" s="1"/>
  <c r="R106" i="3" s="1"/>
  <c r="P104" i="3"/>
  <c r="Q104" i="3" s="1"/>
  <c r="R104" i="3" s="1"/>
  <c r="T108" i="3"/>
  <c r="U108" i="3" s="1"/>
  <c r="V108" i="3" s="1"/>
  <c r="T106" i="3"/>
  <c r="U106" i="3" s="1"/>
  <c r="V106" i="3" s="1"/>
  <c r="T104" i="3"/>
  <c r="U104" i="3" s="1"/>
  <c r="V104" i="3" s="1"/>
  <c r="X108" i="3"/>
  <c r="Y108" i="3" s="1"/>
  <c r="Z108" i="3" s="1"/>
  <c r="X106" i="3"/>
  <c r="Y106" i="3" s="1"/>
  <c r="Z106" i="3" s="1"/>
  <c r="X104" i="3"/>
  <c r="Y104" i="3" s="1"/>
  <c r="Z104" i="3" s="1"/>
  <c r="AB108" i="3"/>
  <c r="AC108" i="3" s="1"/>
  <c r="AD108" i="3" s="1"/>
  <c r="AB106" i="3"/>
  <c r="AC106" i="3" s="1"/>
  <c r="AD106" i="3" s="1"/>
  <c r="AB104" i="3"/>
  <c r="AC104" i="3" s="1"/>
  <c r="AD104" i="3" s="1"/>
  <c r="H37" i="3"/>
  <c r="I37" i="3" s="1"/>
  <c r="J37" i="3" s="1"/>
  <c r="H41" i="3"/>
  <c r="I41" i="3" s="1"/>
  <c r="J41" i="3" s="1"/>
  <c r="H39" i="3"/>
  <c r="I39" i="3" s="1"/>
  <c r="J39" i="3" s="1"/>
  <c r="L37" i="3"/>
  <c r="M37" i="3" s="1"/>
  <c r="N37" i="3" s="1"/>
  <c r="L41" i="3"/>
  <c r="M41" i="3" s="1"/>
  <c r="N41" i="3" s="1"/>
  <c r="L39" i="3"/>
  <c r="M39" i="3" s="1"/>
  <c r="N39" i="3" s="1"/>
  <c r="P37" i="3"/>
  <c r="Q37" i="3" s="1"/>
  <c r="R37" i="3" s="1"/>
  <c r="P41" i="3"/>
  <c r="Q41" i="3" s="1"/>
  <c r="R41" i="3" s="1"/>
  <c r="P39" i="3"/>
  <c r="Q39" i="3" s="1"/>
  <c r="R39" i="3" s="1"/>
  <c r="T37" i="3"/>
  <c r="U37" i="3" s="1"/>
  <c r="V37" i="3" s="1"/>
  <c r="T41" i="3"/>
  <c r="U41" i="3" s="1"/>
  <c r="V41" i="3" s="1"/>
  <c r="T39" i="3"/>
  <c r="U39" i="3" s="1"/>
  <c r="V39" i="3" s="1"/>
  <c r="X37" i="3"/>
  <c r="Y37" i="3" s="1"/>
  <c r="Z37" i="3" s="1"/>
  <c r="X41" i="3"/>
  <c r="Y41" i="3" s="1"/>
  <c r="Z41" i="3" s="1"/>
  <c r="X39" i="3"/>
  <c r="Y39" i="3" s="1"/>
  <c r="Z39" i="3" s="1"/>
  <c r="AB37" i="3"/>
  <c r="AC37" i="3" s="1"/>
  <c r="AD37" i="3" s="1"/>
  <c r="AB41" i="3"/>
  <c r="AC41" i="3" s="1"/>
  <c r="AD41" i="3" s="1"/>
  <c r="AB39" i="3"/>
  <c r="AC39" i="3" s="1"/>
  <c r="AD39" i="3" s="1"/>
  <c r="H48" i="3"/>
  <c r="I48" i="3" s="1"/>
  <c r="J48" i="3" s="1"/>
  <c r="H52" i="3"/>
  <c r="I52" i="3" s="1"/>
  <c r="J52" i="3" s="1"/>
  <c r="H50" i="3"/>
  <c r="I50" i="3" s="1"/>
  <c r="J50" i="3" s="1"/>
  <c r="L48" i="3"/>
  <c r="M48" i="3" s="1"/>
  <c r="N48" i="3" s="1"/>
  <c r="L52" i="3"/>
  <c r="M52" i="3" s="1"/>
  <c r="N52" i="3" s="1"/>
  <c r="L50" i="3"/>
  <c r="M50" i="3" s="1"/>
  <c r="N50" i="3" s="1"/>
  <c r="P48" i="3"/>
  <c r="Q48" i="3" s="1"/>
  <c r="R48" i="3" s="1"/>
  <c r="P52" i="3"/>
  <c r="Q52" i="3" s="1"/>
  <c r="R52" i="3" s="1"/>
  <c r="P50" i="3"/>
  <c r="Q50" i="3" s="1"/>
  <c r="R50" i="3" s="1"/>
  <c r="T48" i="3"/>
  <c r="U48" i="3" s="1"/>
  <c r="V48" i="3" s="1"/>
  <c r="T52" i="3"/>
  <c r="U52" i="3" s="1"/>
  <c r="V52" i="3" s="1"/>
  <c r="T50" i="3"/>
  <c r="U50" i="3" s="1"/>
  <c r="V50" i="3" s="1"/>
  <c r="X48" i="3"/>
  <c r="Y48" i="3" s="1"/>
  <c r="Z48" i="3" s="1"/>
  <c r="X52" i="3"/>
  <c r="Y52" i="3" s="1"/>
  <c r="Z52" i="3" s="1"/>
  <c r="X50" i="3"/>
  <c r="Y50" i="3" s="1"/>
  <c r="Z50" i="3" s="1"/>
  <c r="AB48" i="3"/>
  <c r="AC48" i="3" s="1"/>
  <c r="AD48" i="3" s="1"/>
  <c r="AB52" i="3"/>
  <c r="AC52" i="3" s="1"/>
  <c r="AD52" i="3" s="1"/>
  <c r="AB50" i="3"/>
  <c r="AC50" i="3" s="1"/>
  <c r="AD50" i="3" s="1"/>
  <c r="H59" i="3"/>
  <c r="I59" i="3" s="1"/>
  <c r="J59" i="3" s="1"/>
  <c r="H63" i="3"/>
  <c r="I63" i="3" s="1"/>
  <c r="J63" i="3" s="1"/>
  <c r="H61" i="3"/>
  <c r="I61" i="3" s="1"/>
  <c r="J61" i="3" s="1"/>
  <c r="L59" i="3"/>
  <c r="M59" i="3" s="1"/>
  <c r="N59" i="3" s="1"/>
  <c r="L63" i="3"/>
  <c r="M63" i="3" s="1"/>
  <c r="N63" i="3" s="1"/>
  <c r="L61" i="3"/>
  <c r="M61" i="3" s="1"/>
  <c r="N61" i="3" s="1"/>
  <c r="P59" i="3"/>
  <c r="Q59" i="3" s="1"/>
  <c r="R59" i="3" s="1"/>
  <c r="P63" i="3"/>
  <c r="Q63" i="3" s="1"/>
  <c r="R63" i="3" s="1"/>
  <c r="P61" i="3"/>
  <c r="Q61" i="3" s="1"/>
  <c r="R61" i="3" s="1"/>
  <c r="T59" i="3"/>
  <c r="U59" i="3" s="1"/>
  <c r="V59" i="3" s="1"/>
  <c r="T63" i="3"/>
  <c r="U63" i="3" s="1"/>
  <c r="V63" i="3" s="1"/>
  <c r="T61" i="3"/>
  <c r="U61" i="3" s="1"/>
  <c r="V61" i="3" s="1"/>
  <c r="X59" i="3"/>
  <c r="Y59" i="3" s="1"/>
  <c r="Z59" i="3" s="1"/>
  <c r="X63" i="3"/>
  <c r="Y63" i="3" s="1"/>
  <c r="Z63" i="3" s="1"/>
  <c r="X61" i="3"/>
  <c r="Y61" i="3" s="1"/>
  <c r="Z61" i="3" s="1"/>
  <c r="AB59" i="3"/>
  <c r="AC59" i="3" s="1"/>
  <c r="AD59" i="3" s="1"/>
  <c r="AB63" i="3"/>
  <c r="AC63" i="3" s="1"/>
  <c r="AD63" i="3" s="1"/>
  <c r="AB61" i="3"/>
  <c r="AC61" i="3" s="1"/>
  <c r="AD61" i="3" s="1"/>
  <c r="H70" i="3"/>
  <c r="I70" i="3" s="1"/>
  <c r="J70" i="3" s="1"/>
  <c r="H74" i="3"/>
  <c r="I74" i="3" s="1"/>
  <c r="J74" i="3" s="1"/>
  <c r="H72" i="3"/>
  <c r="I72" i="3" s="1"/>
  <c r="J72" i="3" s="1"/>
  <c r="L70" i="3"/>
  <c r="M70" i="3" s="1"/>
  <c r="N70" i="3" s="1"/>
  <c r="L74" i="3"/>
  <c r="M74" i="3" s="1"/>
  <c r="N74" i="3" s="1"/>
  <c r="L72" i="3"/>
  <c r="M72" i="3" s="1"/>
  <c r="N72" i="3" s="1"/>
  <c r="P70" i="3"/>
  <c r="Q70" i="3" s="1"/>
  <c r="R70" i="3" s="1"/>
  <c r="P74" i="3"/>
  <c r="Q74" i="3" s="1"/>
  <c r="R74" i="3" s="1"/>
  <c r="P72" i="3"/>
  <c r="Q72" i="3" s="1"/>
  <c r="R72" i="3" s="1"/>
  <c r="T70" i="3"/>
  <c r="U70" i="3" s="1"/>
  <c r="V70" i="3" s="1"/>
  <c r="T74" i="3"/>
  <c r="U74" i="3" s="1"/>
  <c r="V74" i="3" s="1"/>
  <c r="T72" i="3"/>
  <c r="U72" i="3" s="1"/>
  <c r="V72" i="3" s="1"/>
  <c r="X70" i="3"/>
  <c r="Y70" i="3" s="1"/>
  <c r="Z70" i="3" s="1"/>
  <c r="X74" i="3"/>
  <c r="Y74" i="3" s="1"/>
  <c r="Z74" i="3" s="1"/>
  <c r="X72" i="3"/>
  <c r="Y72" i="3" s="1"/>
  <c r="Z72" i="3" s="1"/>
  <c r="AB70" i="3"/>
  <c r="AC70" i="3" s="1"/>
  <c r="AD70" i="3" s="1"/>
  <c r="AB74" i="3"/>
  <c r="AC74" i="3" s="1"/>
  <c r="AD74" i="3" s="1"/>
  <c r="AB72" i="3"/>
  <c r="AC72" i="3" s="1"/>
  <c r="AD72" i="3" s="1"/>
  <c r="H81" i="3"/>
  <c r="I81" i="3" s="1"/>
  <c r="J81" i="3" s="1"/>
  <c r="H85" i="3"/>
  <c r="I85" i="3" s="1"/>
  <c r="J85" i="3" s="1"/>
  <c r="H83" i="3"/>
  <c r="I83" i="3" s="1"/>
  <c r="J83" i="3" s="1"/>
  <c r="L81" i="3"/>
  <c r="M81" i="3" s="1"/>
  <c r="N81" i="3" s="1"/>
  <c r="L85" i="3"/>
  <c r="M85" i="3" s="1"/>
  <c r="N85" i="3" s="1"/>
  <c r="L83" i="3"/>
  <c r="M83" i="3" s="1"/>
  <c r="N83" i="3" s="1"/>
  <c r="P81" i="3"/>
  <c r="Q81" i="3" s="1"/>
  <c r="R81" i="3" s="1"/>
  <c r="P85" i="3"/>
  <c r="Q85" i="3" s="1"/>
  <c r="R85" i="3" s="1"/>
  <c r="P83" i="3"/>
  <c r="Q83" i="3" s="1"/>
  <c r="R83" i="3" s="1"/>
  <c r="T81" i="3"/>
  <c r="U81" i="3" s="1"/>
  <c r="V81" i="3" s="1"/>
  <c r="T85" i="3"/>
  <c r="U85" i="3" s="1"/>
  <c r="V85" i="3" s="1"/>
  <c r="T83" i="3"/>
  <c r="U83" i="3" s="1"/>
  <c r="V83" i="3" s="1"/>
  <c r="X81" i="3"/>
  <c r="Y81" i="3" s="1"/>
  <c r="Z81" i="3" s="1"/>
  <c r="X85" i="3"/>
  <c r="Y85" i="3" s="1"/>
  <c r="Z85" i="3" s="1"/>
  <c r="X83" i="3"/>
  <c r="Y83" i="3" s="1"/>
  <c r="Z83" i="3" s="1"/>
  <c r="AB81" i="3"/>
  <c r="AC81" i="3" s="1"/>
  <c r="AD81" i="3" s="1"/>
  <c r="AB85" i="3"/>
  <c r="AC85" i="3" s="1"/>
  <c r="AD85" i="3" s="1"/>
  <c r="AB83" i="3"/>
  <c r="AC83" i="3" s="1"/>
  <c r="AD83" i="3" s="1"/>
  <c r="H92" i="3"/>
  <c r="I92" i="3" s="1"/>
  <c r="J92" i="3" s="1"/>
  <c r="H96" i="3"/>
  <c r="I96" i="3" s="1"/>
  <c r="J96" i="3" s="1"/>
  <c r="H94" i="3"/>
  <c r="I94" i="3" s="1"/>
  <c r="J94" i="3" s="1"/>
  <c r="L92" i="3"/>
  <c r="M92" i="3" s="1"/>
  <c r="N92" i="3" s="1"/>
  <c r="L96" i="3"/>
  <c r="M96" i="3" s="1"/>
  <c r="N96" i="3" s="1"/>
  <c r="L94" i="3"/>
  <c r="M94" i="3" s="1"/>
  <c r="N94" i="3" s="1"/>
  <c r="P92" i="3"/>
  <c r="Q92" i="3" s="1"/>
  <c r="R92" i="3" s="1"/>
  <c r="P96" i="3"/>
  <c r="Q96" i="3" s="1"/>
  <c r="R96" i="3" s="1"/>
  <c r="P94" i="3"/>
  <c r="Q94" i="3" s="1"/>
  <c r="R94" i="3" s="1"/>
  <c r="T92" i="3"/>
  <c r="U92" i="3" s="1"/>
  <c r="V92" i="3" s="1"/>
  <c r="T96" i="3"/>
  <c r="U96" i="3" s="1"/>
  <c r="V96" i="3" s="1"/>
  <c r="T94" i="3"/>
  <c r="U94" i="3" s="1"/>
  <c r="V94" i="3" s="1"/>
  <c r="X92" i="3"/>
  <c r="Y92" i="3" s="1"/>
  <c r="Z92" i="3" s="1"/>
  <c r="X96" i="3"/>
  <c r="Y96" i="3" s="1"/>
  <c r="Z96" i="3" s="1"/>
  <c r="X94" i="3"/>
  <c r="Y94" i="3" s="1"/>
  <c r="Z94" i="3" s="1"/>
  <c r="AB92" i="3"/>
  <c r="AC92" i="3" s="1"/>
  <c r="AD92" i="3" s="1"/>
  <c r="AB96" i="3"/>
  <c r="AC96" i="3" s="1"/>
  <c r="AD96" i="3" s="1"/>
  <c r="AB94" i="3"/>
  <c r="AC94" i="3" s="1"/>
  <c r="AD94" i="3" s="1"/>
  <c r="H42" i="3"/>
  <c r="I42" i="3" s="1"/>
  <c r="J42" i="3" s="1"/>
  <c r="H40" i="3"/>
  <c r="I40" i="3" s="1"/>
  <c r="J40" i="3" s="1"/>
  <c r="H38" i="3"/>
  <c r="I38" i="3" s="1"/>
  <c r="J38" i="3" s="1"/>
  <c r="L42" i="3"/>
  <c r="M42" i="3" s="1"/>
  <c r="N42" i="3" s="1"/>
  <c r="L40" i="3"/>
  <c r="M40" i="3" s="1"/>
  <c r="N40" i="3" s="1"/>
  <c r="L38" i="3"/>
  <c r="M38" i="3" s="1"/>
  <c r="N38" i="3" s="1"/>
  <c r="P42" i="3"/>
  <c r="Q42" i="3" s="1"/>
  <c r="R42" i="3" s="1"/>
  <c r="P40" i="3"/>
  <c r="Q40" i="3" s="1"/>
  <c r="R40" i="3" s="1"/>
  <c r="P38" i="3"/>
  <c r="Q38" i="3" s="1"/>
  <c r="R38" i="3" s="1"/>
  <c r="T42" i="3"/>
  <c r="U42" i="3" s="1"/>
  <c r="V42" i="3" s="1"/>
  <c r="T40" i="3"/>
  <c r="U40" i="3" s="1"/>
  <c r="V40" i="3" s="1"/>
  <c r="T38" i="3"/>
  <c r="U38" i="3" s="1"/>
  <c r="V38" i="3" s="1"/>
  <c r="X42" i="3"/>
  <c r="Y42" i="3" s="1"/>
  <c r="Z42" i="3" s="1"/>
  <c r="X40" i="3"/>
  <c r="Y40" i="3" s="1"/>
  <c r="Z40" i="3" s="1"/>
  <c r="X38" i="3"/>
  <c r="Y38" i="3" s="1"/>
  <c r="Z38" i="3" s="1"/>
  <c r="AB42" i="3"/>
  <c r="AC42" i="3" s="1"/>
  <c r="AD42" i="3" s="1"/>
  <c r="AB40" i="3"/>
  <c r="AC40" i="3" s="1"/>
  <c r="AD40" i="3" s="1"/>
  <c r="AB38" i="3"/>
  <c r="AC38" i="3" s="1"/>
  <c r="AD38" i="3" s="1"/>
  <c r="H53" i="3"/>
  <c r="I53" i="3" s="1"/>
  <c r="J53" i="3" s="1"/>
  <c r="H51" i="3"/>
  <c r="I51" i="3" s="1"/>
  <c r="J51" i="3" s="1"/>
  <c r="H49" i="3"/>
  <c r="I49" i="3" s="1"/>
  <c r="J49" i="3" s="1"/>
  <c r="L53" i="3"/>
  <c r="M53" i="3" s="1"/>
  <c r="N53" i="3" s="1"/>
  <c r="L51" i="3"/>
  <c r="M51" i="3" s="1"/>
  <c r="N51" i="3" s="1"/>
  <c r="L49" i="3"/>
  <c r="M49" i="3" s="1"/>
  <c r="N49" i="3" s="1"/>
  <c r="P53" i="3"/>
  <c r="Q53" i="3" s="1"/>
  <c r="R53" i="3" s="1"/>
  <c r="P51" i="3"/>
  <c r="Q51" i="3" s="1"/>
  <c r="R51" i="3" s="1"/>
  <c r="P49" i="3"/>
  <c r="Q49" i="3" s="1"/>
  <c r="R49" i="3" s="1"/>
  <c r="T53" i="3"/>
  <c r="U53" i="3" s="1"/>
  <c r="V53" i="3" s="1"/>
  <c r="T51" i="3"/>
  <c r="U51" i="3" s="1"/>
  <c r="V51" i="3" s="1"/>
  <c r="T49" i="3"/>
  <c r="U49" i="3" s="1"/>
  <c r="V49" i="3" s="1"/>
  <c r="X53" i="3"/>
  <c r="Y53" i="3" s="1"/>
  <c r="Z53" i="3" s="1"/>
  <c r="X51" i="3"/>
  <c r="Y51" i="3" s="1"/>
  <c r="Z51" i="3" s="1"/>
  <c r="X49" i="3"/>
  <c r="Y49" i="3" s="1"/>
  <c r="Z49" i="3" s="1"/>
  <c r="AB53" i="3"/>
  <c r="AC53" i="3" s="1"/>
  <c r="AD53" i="3" s="1"/>
  <c r="AB51" i="3"/>
  <c r="AC51" i="3" s="1"/>
  <c r="AD51" i="3" s="1"/>
  <c r="AB49" i="3"/>
  <c r="AC49" i="3" s="1"/>
  <c r="AD49" i="3" s="1"/>
  <c r="H64" i="3"/>
  <c r="I64" i="3" s="1"/>
  <c r="J64" i="3" s="1"/>
  <c r="H62" i="3"/>
  <c r="I62" i="3" s="1"/>
  <c r="J62" i="3" s="1"/>
  <c r="H60" i="3"/>
  <c r="I60" i="3" s="1"/>
  <c r="J60" i="3" s="1"/>
  <c r="L64" i="3"/>
  <c r="M64" i="3" s="1"/>
  <c r="N64" i="3" s="1"/>
  <c r="L62" i="3"/>
  <c r="M62" i="3" s="1"/>
  <c r="N62" i="3" s="1"/>
  <c r="L60" i="3"/>
  <c r="M60" i="3" s="1"/>
  <c r="N60" i="3" s="1"/>
  <c r="P64" i="3"/>
  <c r="Q64" i="3" s="1"/>
  <c r="R64" i="3" s="1"/>
  <c r="P62" i="3"/>
  <c r="Q62" i="3" s="1"/>
  <c r="R62" i="3" s="1"/>
  <c r="P60" i="3"/>
  <c r="Q60" i="3" s="1"/>
  <c r="R60" i="3" s="1"/>
  <c r="T64" i="3"/>
  <c r="U64" i="3" s="1"/>
  <c r="V64" i="3" s="1"/>
  <c r="T62" i="3"/>
  <c r="U62" i="3" s="1"/>
  <c r="V62" i="3" s="1"/>
  <c r="T60" i="3"/>
  <c r="U60" i="3" s="1"/>
  <c r="V60" i="3" s="1"/>
  <c r="X64" i="3"/>
  <c r="Y64" i="3" s="1"/>
  <c r="Z64" i="3" s="1"/>
  <c r="X62" i="3"/>
  <c r="Y62" i="3" s="1"/>
  <c r="Z62" i="3" s="1"/>
  <c r="X60" i="3"/>
  <c r="Y60" i="3" s="1"/>
  <c r="Z60" i="3" s="1"/>
  <c r="AB64" i="3"/>
  <c r="AC64" i="3" s="1"/>
  <c r="AD64" i="3" s="1"/>
  <c r="AB62" i="3"/>
  <c r="AC62" i="3" s="1"/>
  <c r="AD62" i="3" s="1"/>
  <c r="AB60" i="3"/>
  <c r="AC60" i="3" s="1"/>
  <c r="AD60" i="3" s="1"/>
  <c r="H75" i="3"/>
  <c r="I75" i="3" s="1"/>
  <c r="J75" i="3" s="1"/>
  <c r="H73" i="3"/>
  <c r="I73" i="3" s="1"/>
  <c r="J73" i="3" s="1"/>
  <c r="H71" i="3"/>
  <c r="I71" i="3" s="1"/>
  <c r="J71" i="3" s="1"/>
  <c r="L75" i="3"/>
  <c r="M75" i="3" s="1"/>
  <c r="N75" i="3" s="1"/>
  <c r="L73" i="3"/>
  <c r="M73" i="3" s="1"/>
  <c r="N73" i="3" s="1"/>
  <c r="L71" i="3"/>
  <c r="M71" i="3" s="1"/>
  <c r="N71" i="3" s="1"/>
  <c r="P75" i="3"/>
  <c r="Q75" i="3" s="1"/>
  <c r="R75" i="3" s="1"/>
  <c r="P73" i="3"/>
  <c r="Q73" i="3" s="1"/>
  <c r="R73" i="3" s="1"/>
  <c r="P71" i="3"/>
  <c r="Q71" i="3" s="1"/>
  <c r="R71" i="3" s="1"/>
  <c r="T75" i="3"/>
  <c r="U75" i="3" s="1"/>
  <c r="V75" i="3" s="1"/>
  <c r="T73" i="3"/>
  <c r="U73" i="3" s="1"/>
  <c r="V73" i="3" s="1"/>
  <c r="T71" i="3"/>
  <c r="U71" i="3" s="1"/>
  <c r="V71" i="3" s="1"/>
  <c r="X75" i="3"/>
  <c r="Y75" i="3" s="1"/>
  <c r="Z75" i="3" s="1"/>
  <c r="X73" i="3"/>
  <c r="Y73" i="3" s="1"/>
  <c r="Z73" i="3" s="1"/>
  <c r="X71" i="3"/>
  <c r="Y71" i="3" s="1"/>
  <c r="Z71" i="3" s="1"/>
  <c r="AB75" i="3"/>
  <c r="AC75" i="3" s="1"/>
  <c r="AD75" i="3" s="1"/>
  <c r="AB73" i="3"/>
  <c r="AC73" i="3" s="1"/>
  <c r="AD73" i="3" s="1"/>
  <c r="AB71" i="3"/>
  <c r="AC71" i="3" s="1"/>
  <c r="AD71" i="3" s="1"/>
  <c r="H86" i="3"/>
  <c r="I86" i="3" s="1"/>
  <c r="J86" i="3" s="1"/>
  <c r="H84" i="3"/>
  <c r="I84" i="3" s="1"/>
  <c r="J84" i="3" s="1"/>
  <c r="H82" i="3"/>
  <c r="I82" i="3" s="1"/>
  <c r="J82" i="3" s="1"/>
  <c r="L86" i="3"/>
  <c r="M86" i="3" s="1"/>
  <c r="N86" i="3" s="1"/>
  <c r="L84" i="3"/>
  <c r="M84" i="3" s="1"/>
  <c r="N84" i="3" s="1"/>
  <c r="L82" i="3"/>
  <c r="M82" i="3" s="1"/>
  <c r="N82" i="3" s="1"/>
  <c r="P86" i="3"/>
  <c r="Q86" i="3" s="1"/>
  <c r="R86" i="3" s="1"/>
  <c r="P84" i="3"/>
  <c r="Q84" i="3" s="1"/>
  <c r="R84" i="3" s="1"/>
  <c r="P82" i="3"/>
  <c r="Q82" i="3" s="1"/>
  <c r="R82" i="3" s="1"/>
  <c r="T86" i="3"/>
  <c r="U86" i="3" s="1"/>
  <c r="V86" i="3" s="1"/>
  <c r="T84" i="3"/>
  <c r="U84" i="3" s="1"/>
  <c r="V84" i="3" s="1"/>
  <c r="T82" i="3"/>
  <c r="U82" i="3" s="1"/>
  <c r="V82" i="3" s="1"/>
  <c r="X86" i="3"/>
  <c r="Y86" i="3" s="1"/>
  <c r="Z86" i="3" s="1"/>
  <c r="X84" i="3"/>
  <c r="Y84" i="3" s="1"/>
  <c r="Z84" i="3" s="1"/>
  <c r="X82" i="3"/>
  <c r="Y82" i="3" s="1"/>
  <c r="Z82" i="3" s="1"/>
  <c r="AB86" i="3"/>
  <c r="AC86" i="3" s="1"/>
  <c r="AD86" i="3" s="1"/>
  <c r="AB84" i="3"/>
  <c r="AC84" i="3" s="1"/>
  <c r="AD84" i="3" s="1"/>
  <c r="AB82" i="3"/>
  <c r="AC82" i="3" s="1"/>
  <c r="AD82" i="3" s="1"/>
  <c r="H97" i="3"/>
  <c r="I97" i="3" s="1"/>
  <c r="J97" i="3" s="1"/>
  <c r="H95" i="3"/>
  <c r="I95" i="3" s="1"/>
  <c r="J95" i="3" s="1"/>
  <c r="H93" i="3"/>
  <c r="I93" i="3" s="1"/>
  <c r="J93" i="3" s="1"/>
  <c r="L97" i="3"/>
  <c r="M97" i="3" s="1"/>
  <c r="N97" i="3" s="1"/>
  <c r="L95" i="3"/>
  <c r="M95" i="3" s="1"/>
  <c r="N95" i="3" s="1"/>
  <c r="L93" i="3"/>
  <c r="M93" i="3" s="1"/>
  <c r="N93" i="3" s="1"/>
  <c r="P97" i="3"/>
  <c r="Q97" i="3" s="1"/>
  <c r="R97" i="3" s="1"/>
  <c r="P95" i="3"/>
  <c r="Q95" i="3" s="1"/>
  <c r="R95" i="3" s="1"/>
  <c r="P93" i="3"/>
  <c r="Q93" i="3" s="1"/>
  <c r="R93" i="3" s="1"/>
  <c r="T97" i="3"/>
  <c r="U97" i="3" s="1"/>
  <c r="V97" i="3" s="1"/>
  <c r="T95" i="3"/>
  <c r="U95" i="3" s="1"/>
  <c r="V95" i="3" s="1"/>
  <c r="T93" i="3"/>
  <c r="U93" i="3" s="1"/>
  <c r="V93" i="3" s="1"/>
  <c r="X97" i="3"/>
  <c r="Y97" i="3" s="1"/>
  <c r="Z97" i="3" s="1"/>
  <c r="X95" i="3"/>
  <c r="Y95" i="3" s="1"/>
  <c r="Z95" i="3" s="1"/>
  <c r="X93" i="3"/>
  <c r="Y93" i="3" s="1"/>
  <c r="Z93" i="3" s="1"/>
  <c r="AB97" i="3"/>
  <c r="AC97" i="3" s="1"/>
  <c r="AD97" i="3" s="1"/>
  <c r="AB95" i="3"/>
  <c r="AC95" i="3" s="1"/>
  <c r="AD95" i="3" s="1"/>
  <c r="AB93" i="3"/>
  <c r="AC93" i="3" s="1"/>
  <c r="AD93" i="3" s="1"/>
  <c r="D9" i="6"/>
  <c r="E9" i="6" s="1"/>
  <c r="F9" i="6" s="1"/>
  <c r="D11" i="6"/>
  <c r="E11" i="6" s="1"/>
  <c r="F11" i="6" s="1"/>
  <c r="D13" i="6"/>
  <c r="E13" i="6" s="1"/>
  <c r="F13" i="6" s="1"/>
  <c r="D24" i="6"/>
  <c r="E24" i="6" s="1"/>
  <c r="F24" i="6" s="1"/>
  <c r="D22" i="6"/>
  <c r="E22" i="6" s="1"/>
  <c r="F22" i="6" s="1"/>
  <c r="D20" i="6"/>
  <c r="E20" i="6" s="1"/>
  <c r="F20" i="6" s="1"/>
  <c r="D8" i="6"/>
  <c r="E8" i="6" s="1"/>
  <c r="F8" i="6" s="1"/>
  <c r="D10" i="6"/>
  <c r="E10" i="6" s="1"/>
  <c r="F10" i="6" s="1"/>
  <c r="D12" i="6"/>
  <c r="E12" i="6" s="1"/>
  <c r="F12" i="6" s="1"/>
  <c r="D19" i="6"/>
  <c r="E19" i="6" s="1"/>
  <c r="F19" i="6" s="1"/>
  <c r="D23" i="6"/>
  <c r="E23" i="6" s="1"/>
  <c r="F23" i="6" s="1"/>
  <c r="D21" i="6"/>
  <c r="E21" i="6" s="1"/>
  <c r="F21" i="6" s="1"/>
  <c r="D12" i="5"/>
  <c r="E12" i="5" s="1"/>
  <c r="F12" i="5" s="1"/>
  <c r="H8" i="5"/>
  <c r="I8" i="5" s="1"/>
  <c r="J8" i="5" s="1"/>
  <c r="H12" i="5"/>
  <c r="I12" i="5" s="1"/>
  <c r="J12" i="5" s="1"/>
  <c r="P8" i="5"/>
  <c r="Q8" i="5" s="1"/>
  <c r="R8" i="5" s="1"/>
  <c r="P13" i="5"/>
  <c r="Q13" i="5" s="1"/>
  <c r="R13" i="5" s="1"/>
  <c r="T12" i="5"/>
  <c r="U12" i="5" s="1"/>
  <c r="V12" i="5" s="1"/>
  <c r="D19" i="5"/>
  <c r="E19" i="5" s="1"/>
  <c r="F19" i="5" s="1"/>
  <c r="D24" i="5"/>
  <c r="E24" i="5" s="1"/>
  <c r="F24" i="5" s="1"/>
  <c r="D22" i="5"/>
  <c r="E22" i="5" s="1"/>
  <c r="F22" i="5" s="1"/>
  <c r="H19" i="5"/>
  <c r="I19" i="5" s="1"/>
  <c r="J19" i="5" s="1"/>
  <c r="H23" i="5"/>
  <c r="I23" i="5" s="1"/>
  <c r="J23" i="5" s="1"/>
  <c r="H21" i="5"/>
  <c r="I21" i="5" s="1"/>
  <c r="J21" i="5" s="1"/>
  <c r="D11" i="5"/>
  <c r="E11" i="5" s="1"/>
  <c r="F11" i="5" s="1"/>
  <c r="D13" i="5"/>
  <c r="E13" i="5" s="1"/>
  <c r="F13" i="5" s="1"/>
  <c r="H9" i="5"/>
  <c r="I9" i="5" s="1"/>
  <c r="J9" i="5" s="1"/>
  <c r="H11" i="5"/>
  <c r="I11" i="5" s="1"/>
  <c r="J11" i="5" s="1"/>
  <c r="H13" i="5"/>
  <c r="I13" i="5" s="1"/>
  <c r="J13" i="5" s="1"/>
  <c r="P9" i="5"/>
  <c r="Q9" i="5" s="1"/>
  <c r="R9" i="5" s="1"/>
  <c r="P11" i="5"/>
  <c r="Q11" i="5" s="1"/>
  <c r="R11" i="5" s="1"/>
  <c r="D20" i="5"/>
  <c r="E20" i="5" s="1"/>
  <c r="F20" i="5" s="1"/>
  <c r="H33" i="18" l="1"/>
  <c r="I33" i="18" s="1"/>
  <c r="J33" i="18" s="1"/>
  <c r="Q33" i="18"/>
  <c r="R33" i="18" s="1"/>
  <c r="I12" i="24"/>
  <c r="J12" i="24" s="1"/>
  <c r="E57" i="5"/>
  <c r="F57" i="5"/>
  <c r="E52" i="5"/>
  <c r="F52" i="5"/>
  <c r="P24" i="15"/>
  <c r="Q24" i="15" s="1"/>
  <c r="R24" i="15" s="1"/>
  <c r="M24" i="15"/>
  <c r="N24" i="15" s="1"/>
  <c r="I13" i="24"/>
  <c r="J13" i="24" s="1"/>
  <c r="E67" i="5"/>
  <c r="F67" i="5"/>
  <c r="E65" i="5"/>
  <c r="F65" i="5"/>
  <c r="E68" i="5"/>
  <c r="F68" i="5"/>
  <c r="E53" i="5"/>
  <c r="F53" i="5"/>
  <c r="E54" i="5"/>
  <c r="F54" i="5"/>
  <c r="E64" i="5"/>
  <c r="F64" i="5"/>
  <c r="E66" i="5"/>
  <c r="F66" i="5"/>
  <c r="E63" i="5"/>
  <c r="F63" i="5"/>
  <c r="E55" i="5"/>
  <c r="F55" i="5"/>
  <c r="E56" i="5"/>
  <c r="F56" i="5"/>
  <c r="I45" i="10"/>
  <c r="J45" i="10" s="1"/>
  <c r="I43" i="10"/>
  <c r="J43" i="10" s="1"/>
  <c r="I41" i="10"/>
  <c r="J41" i="10" s="1"/>
  <c r="M22" i="10"/>
  <c r="N22" i="10" s="1"/>
  <c r="E22" i="10"/>
  <c r="F22" i="10" s="1"/>
  <c r="M13" i="10"/>
  <c r="N13" i="10" s="1"/>
  <c r="E13" i="10"/>
  <c r="F13" i="10" s="1"/>
  <c r="M9" i="10"/>
  <c r="N9" i="10" s="1"/>
  <c r="E9" i="10"/>
  <c r="F9" i="10" s="1"/>
  <c r="M24" i="10"/>
  <c r="N24" i="10" s="1"/>
  <c r="E24" i="10"/>
  <c r="F24" i="10" s="1"/>
  <c r="M20" i="10"/>
  <c r="N20" i="10" s="1"/>
  <c r="E20" i="10"/>
  <c r="F20" i="10" s="1"/>
  <c r="M11" i="10"/>
  <c r="N11" i="10" s="1"/>
  <c r="E11" i="10"/>
  <c r="F11" i="10" s="1"/>
  <c r="M8" i="18"/>
  <c r="N8" i="18" s="1"/>
  <c r="D8" i="18"/>
  <c r="E8" i="18"/>
  <c r="F8" i="18" s="1"/>
  <c r="H8" i="18"/>
  <c r="I8" i="18" s="1"/>
  <c r="J8" i="18" s="1"/>
  <c r="E19" i="21"/>
  <c r="F19" i="21" s="1"/>
  <c r="H19" i="21"/>
  <c r="I19" i="21" s="1"/>
  <c r="J19" i="21" s="1"/>
  <c r="D41" i="22"/>
  <c r="E41" i="22" s="1"/>
  <c r="F41" i="22" s="1"/>
  <c r="I41" i="22"/>
  <c r="J41" i="22" s="1"/>
  <c r="M41" i="22" l="1"/>
  <c r="N41" i="22" s="1"/>
</calcChain>
</file>

<file path=xl/comments1.xml><?xml version="1.0" encoding="utf-8"?>
<comments xmlns="http://schemas.openxmlformats.org/spreadsheetml/2006/main">
  <authors>
    <author>Kubinek</author>
  </authors>
  <commentList>
    <comment ref="B4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4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4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6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6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POŽADOVANÁ JEDNOTKA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7" authorId="0">
      <text>
        <r>
          <rPr>
            <sz val="9"/>
            <color indexed="81"/>
            <rFont val="Tahoma"/>
            <family val="2"/>
            <charset val="238"/>
          </rPr>
          <t xml:space="preserve">VZOREC PRO VÝPOČET PŘEVODU
</t>
        </r>
      </text>
    </comment>
    <comment ref="H7" authorId="0">
      <text>
        <r>
          <rPr>
            <b/>
            <sz val="9"/>
            <color indexed="81"/>
            <rFont val="Tahoma"/>
            <family val="2"/>
            <charset val="238"/>
          </rPr>
          <t>VZOREC PRO VÝPOČET PŘEVODU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8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1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18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1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1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18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1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1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20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POŽADOVANÁ JEDNOTKA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20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POŽADOVANÁ JEDNOTKA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21" authorId="0">
      <text>
        <r>
          <rPr>
            <b/>
            <sz val="9"/>
            <color indexed="81"/>
            <rFont val="Tahoma"/>
            <family val="2"/>
            <charset val="238"/>
          </rPr>
          <t>VZOREC PRO VÝPOČET PŘEVODU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21" authorId="0">
      <text>
        <r>
          <rPr>
            <b/>
            <sz val="9"/>
            <color indexed="81"/>
            <rFont val="Tahoma"/>
            <family val="2"/>
            <charset val="238"/>
          </rPr>
          <t>VZOREC PRO VÝPOČET PŘEVODU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31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3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31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31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31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3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31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31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31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33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</text>
    </comment>
    <comment ref="C3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POŽADOVANÁ JEDNOTKA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3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POŽADOVANÁ JEDNOTKA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34" authorId="0">
      <text>
        <r>
          <rPr>
            <b/>
            <sz val="9"/>
            <color indexed="81"/>
            <rFont val="Tahoma"/>
            <family val="2"/>
            <charset val="238"/>
          </rPr>
          <t>VZOREC PRO VÝPOČET PŘEVODU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34" authorId="0">
      <text>
        <r>
          <rPr>
            <b/>
            <sz val="9"/>
            <color indexed="81"/>
            <rFont val="Tahoma"/>
            <family val="2"/>
            <charset val="238"/>
          </rPr>
          <t>VZOREC PRO VÝPOČET PŘEVODU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Kubinek</author>
  </authors>
  <commentList>
    <comment ref="B4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4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4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4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M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4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Q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6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6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6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6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6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5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1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15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1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15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1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15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M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1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15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Q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7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17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17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17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26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26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26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26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M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26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Q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28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28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28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28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37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3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37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3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37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3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37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M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3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37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Q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39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39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39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39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39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48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4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48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4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4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48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4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4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4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48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M4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4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4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48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Q4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4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50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50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50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50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50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>
  <authors>
    <author>Kubinek</author>
  </authors>
  <commentList>
    <comment ref="B4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4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4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4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M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6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6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6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6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5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1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15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1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15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1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15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M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7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17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1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POŽADOVANÁ JEDNOTKA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26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26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26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26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M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28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28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2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POŽADOVANÁ JEDNOTKA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37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3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37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3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37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3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37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M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39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39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39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3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POŽADOVANÁ JEDNOTKA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>
  <authors>
    <author>Kubinek</author>
  </authors>
  <commentList>
    <comment ref="B4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4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6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6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5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1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15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7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>
  <authors>
    <author>Kubinek</author>
  </authors>
  <commentList>
    <comment ref="B4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4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4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6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6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6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5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1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15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1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15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7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17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26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26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26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28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28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>
  <authors>
    <author>Kubinek</author>
  </authors>
  <commentList>
    <comment ref="B4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4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6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6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5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1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15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7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>
  <authors>
    <author>Kubinek</author>
  </authors>
  <commentList>
    <comment ref="B4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4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4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4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M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4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Q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T4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U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V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6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6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6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6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6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6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5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1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15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1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15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1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15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M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1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15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Q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15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T15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U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V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7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POŽADOVANÁ JEDNOTKA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17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17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17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17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26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26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26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26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M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26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Q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T26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U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V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2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POŽADOVANÁ JEDNOTKA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28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28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28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28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37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3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37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3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37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3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37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M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3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37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Q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3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T37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U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V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39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3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POŽADOVANÁ JEDNOTKA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39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39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39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39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48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4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48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4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4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48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4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4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4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48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M4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4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4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48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Q4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4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4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T48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U4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V4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50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50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POŽADOVANÁ JEDNOTKA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50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50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50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50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59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5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59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5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5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5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59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5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5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5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59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M5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5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5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59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Q5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5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5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T59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U5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V5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61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6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POŽADOVANÁ JEDNOTKA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61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61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61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61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16.xml><?xml version="1.0" encoding="utf-8"?>
<comments xmlns="http://schemas.openxmlformats.org/spreadsheetml/2006/main">
  <authors>
    <author>Kubinek</author>
  </authors>
  <commentList>
    <comment ref="B4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4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4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4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M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4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Q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T4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U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V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6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6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6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6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6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6" authorId="0">
      <text>
        <r>
          <rPr>
            <b/>
            <sz val="9"/>
            <color indexed="81"/>
            <rFont val="Tahoma"/>
            <family val="2"/>
            <charset val="238"/>
          </rPr>
          <t>Kubinek: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5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1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15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1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15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1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15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M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1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15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Q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1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T15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U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V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7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17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17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17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17" authorId="0">
      <text>
        <r>
          <rPr>
            <b/>
            <sz val="9"/>
            <color indexed="81"/>
            <rFont val="Tahoma"/>
            <family val="2"/>
            <charset val="238"/>
          </rPr>
          <t>Kubinek: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26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26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26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26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M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26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Q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T26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U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V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28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28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28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28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28" authorId="0">
      <text>
        <r>
          <rPr>
            <b/>
            <sz val="9"/>
            <color indexed="81"/>
            <rFont val="Tahoma"/>
            <family val="2"/>
            <charset val="238"/>
          </rPr>
          <t>Kubinek: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37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3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37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3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37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3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37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M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3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37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Q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3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T37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U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V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39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39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39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39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39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39" authorId="0">
      <text>
        <r>
          <rPr>
            <b/>
            <sz val="9"/>
            <color indexed="81"/>
            <rFont val="Tahoma"/>
            <family val="2"/>
            <charset val="238"/>
          </rPr>
          <t>Kubinek: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48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4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48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4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4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48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4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4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4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48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M4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4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4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48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Q4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4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4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T48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U4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V4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50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50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50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50" authorId="0">
      <text>
        <r>
          <rPr>
            <b/>
            <sz val="9"/>
            <color indexed="81"/>
            <rFont val="Tahoma"/>
            <family val="2"/>
            <charset val="238"/>
          </rPr>
          <t>Kubinek: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59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5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59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5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5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5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59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5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5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5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59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M5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5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5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59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Q5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5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5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T59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U5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V5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61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61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61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61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17.xml><?xml version="1.0" encoding="utf-8"?>
<comments xmlns="http://schemas.openxmlformats.org/spreadsheetml/2006/main">
  <authors>
    <author>Kubinek</author>
  </authors>
  <commentList>
    <comment ref="B4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4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4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4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M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6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5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1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15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1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15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1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15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M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7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</text>
    </comment>
    <comment ref="B26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26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26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26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M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37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3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37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3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37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3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37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M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39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18.xml><?xml version="1.0" encoding="utf-8"?>
<comments xmlns="http://schemas.openxmlformats.org/spreadsheetml/2006/main">
  <authors>
    <author>Kubinek</author>
  </authors>
  <commentList>
    <comment ref="B5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5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5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5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M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5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Q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T5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U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V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X5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Y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Z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A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B5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AC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D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E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F5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AG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H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7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7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7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7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7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7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7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A7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E7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6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1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16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1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1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16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1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1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1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16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M1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1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1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16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Q1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1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1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T16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U1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V1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1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X16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Y1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Z1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A1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B16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AC1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D1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E1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F16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AG1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H1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18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18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1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POŽADOVANÁ JEDNOTKA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1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POŽADOVANÁ JEDNOTKA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1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POŽADOVANÁ JEDNOTKA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1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POŽADOVANÁ JEDNOTKA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A1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POŽADOVANÁ JEDNOTKA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E1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POŽADOVANÁ JEDNOTKA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27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2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27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2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2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27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2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2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2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27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M2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2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2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27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Q2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2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2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T27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U2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V2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2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X27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Y2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Z2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A2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B27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AC2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D2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E2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F27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AG2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H2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29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29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29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2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POŽADOVANÁ JEDNOTKA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2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POŽADOVANÁ JEDNOTKA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2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POŽADOVANÁ JEDNOTKA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2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POŽADOVANÁ JEDNOTKA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A2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POŽADOVANÁ JEDNOTKA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E2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POŽADOVANÁ JEDNOTKA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38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3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38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3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3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3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38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3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3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3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38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M3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3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3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38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Q3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3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3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T38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U3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V3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3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X38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Y3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Z3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A3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B38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AC3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D3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E3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F38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AG3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H3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40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40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40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POŽADOVANÁ JEDNOTKA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40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POŽADOVANÁ JEDNOTKA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40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POŽADOVANÁ JEDNOTKA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40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POŽADOVANÁ JEDNOTKA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A40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POŽADOVANÁ JEDNOTKA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E40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POŽADOVANÁ JEDNOTKA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49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4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49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4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4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49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4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4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4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49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M4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4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4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49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Q4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4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4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T49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U4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V4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4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X49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Y4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Z4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A4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B49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AC4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D4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E4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F49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AG4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H4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51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51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51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51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51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51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51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A51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E51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60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60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60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60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60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60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60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60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60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60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60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M60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60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60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60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Q60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60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60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T60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U60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V60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60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X60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Y60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Z60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A60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B60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AC60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D60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E60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F60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AG60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H60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62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62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62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62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62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62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62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A62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E62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71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7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71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71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71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7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71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71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71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7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71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M71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71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7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71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Q71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71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7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T71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U71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V71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7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X71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Y71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Z71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A7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B71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AC71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D71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E7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F71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AG71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H71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73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7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POŽADOVANÁ JEDNOTKA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7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POŽADOVANÁ JEDNOTKA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73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73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73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73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A73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E73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82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8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82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82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82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8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82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82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82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8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82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M82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82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8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82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Q82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82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8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T82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U82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V82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8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X82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Y82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Z82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A8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B82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AC82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D82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E8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F82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AG82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H82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84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8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POŽADOVANÁ JEDNOTKA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8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POŽADOVANÁ JEDNOTKA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84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84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84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84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A84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E84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93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9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93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93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93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9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93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93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93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9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93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M93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93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9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93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Q93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93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9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T93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U93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V93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9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X93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Y93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Z93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A9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B93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AC93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D93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E9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F93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AG93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H93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95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9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POŽADOVANÁ JEDNOTKA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9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POŽADOVANÁ JEDNOTKA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95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95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95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95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A95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E95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>
  <authors>
    <author>Kubinek</author>
  </authors>
  <commentList>
    <comment ref="B4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4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4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4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M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4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Q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6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6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6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6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6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5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1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15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1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15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1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15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M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1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15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Q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7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17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17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17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26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26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26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26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M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26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Q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28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28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28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37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3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37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3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37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3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37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M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3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37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Q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39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39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39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39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48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4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48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4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4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48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4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4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4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48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M4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4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4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48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Q4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4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50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50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50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Kubinek</author>
  </authors>
  <commentList>
    <comment ref="B4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4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4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4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M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4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Q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T4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U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V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VÝCHOZÍ JEDNOTKA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6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6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6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6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6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7" authorId="0">
      <text>
        <r>
          <rPr>
            <b/>
            <sz val="9"/>
            <color indexed="81"/>
            <rFont val="Tahoma"/>
            <family val="2"/>
            <charset val="238"/>
          </rPr>
          <t>VZOREC PRO VÝPOČET PŘEVODU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7" authorId="0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VZOREC PRO VÝPOČET PŘEVODU</t>
        </r>
      </text>
    </comment>
    <comment ref="L7" authorId="0">
      <text>
        <r>
          <rPr>
            <b/>
            <sz val="9"/>
            <color indexed="81"/>
            <rFont val="Tahoma"/>
            <family val="2"/>
            <charset val="238"/>
          </rPr>
          <t>VZOREC PRO VÝPOČET PŘEVODU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7" authorId="0">
      <text>
        <r>
          <rPr>
            <b/>
            <sz val="9"/>
            <color indexed="81"/>
            <rFont val="Tahoma"/>
            <family val="2"/>
            <charset val="238"/>
          </rPr>
          <t>VZOREC PRO VÝPOČET PŘEVODU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T7" authorId="0">
      <text>
        <r>
          <rPr>
            <b/>
            <sz val="9"/>
            <color indexed="81"/>
            <rFont val="Tahoma"/>
            <family val="2"/>
            <charset val="238"/>
          </rPr>
          <t>VZOREC PRO VÝPOČET PŘEVODU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5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1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15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1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15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1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15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M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1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15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Q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1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T15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U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V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7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POŽADOVANÁ JEDNOTKA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17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17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17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17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26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26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26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26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M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26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Q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T26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U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V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2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POŽADOVANÁ JEDNOTKA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28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28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28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28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37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3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37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3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37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3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37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M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3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37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Q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3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T37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U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V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39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3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POŽADOVANÁ JEDNOTKA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39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39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39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39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48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4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48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4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4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48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4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4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4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48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M4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4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4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48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Q4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4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4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T48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U4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V4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50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50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POŽADOVANÁ JEDNOTKA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50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50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50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50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59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5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59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5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5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5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59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5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5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5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59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M5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5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5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59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Q5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5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5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T59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U5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V5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61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6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POŽADOVANÁ JEDNOTKA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61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61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61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61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0.xml><?xml version="1.0" encoding="utf-8"?>
<comments xmlns="http://schemas.openxmlformats.org/spreadsheetml/2006/main">
  <authors>
    <author>Kubinek</author>
  </authors>
  <commentList>
    <comment ref="B4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4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4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4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M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6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6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6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6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5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1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15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1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15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1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15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M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7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17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17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26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26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26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26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M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28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28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28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37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3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37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3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37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3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37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M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39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39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39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39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1.xml><?xml version="1.0" encoding="utf-8"?>
<comments xmlns="http://schemas.openxmlformats.org/spreadsheetml/2006/main">
  <authors>
    <author>Kubinek</author>
  </authors>
  <commentList>
    <comment ref="B4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4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6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6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5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1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15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7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2.xml><?xml version="1.0" encoding="utf-8"?>
<comments xmlns="http://schemas.openxmlformats.org/spreadsheetml/2006/main">
  <authors>
    <author>Kubinek</author>
  </authors>
  <commentList>
    <comment ref="B4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4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4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6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6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6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9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1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19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1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1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19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1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1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21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21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21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34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3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34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3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3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3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34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3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3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36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36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3.xml><?xml version="1.0" encoding="utf-8"?>
<comments xmlns="http://schemas.openxmlformats.org/spreadsheetml/2006/main">
  <authors>
    <author>Kubinek</author>
  </authors>
  <commentList>
    <comment ref="B4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4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4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4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M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4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Q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T4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U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V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X4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Y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Z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A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B4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AC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D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E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F4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AG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H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I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J4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AK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L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M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N4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AO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P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Q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R4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AS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T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6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6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6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6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6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6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6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A6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E6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I6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M6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Q6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9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1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19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1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1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19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1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1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1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19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M1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1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1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19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Q1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1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1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T19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U1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V1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1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X19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Y1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Z1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A1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B19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AC1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D1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E1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F19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AG1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H1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I1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J19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AK1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L1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M1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N19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AO1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P1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Q1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R19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AS1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T1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21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21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21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21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21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21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21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A21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E21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I21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M21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Q21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33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3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33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33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33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3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33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33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33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3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33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M33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33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3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33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Q33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33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3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T33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U33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V33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3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X33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Y33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Z33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A3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B33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AC33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D33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E3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F33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AG33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H33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I3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J33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AK33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L33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M3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N33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AO33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P33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Q33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R33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AS33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T33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35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35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35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35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35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35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35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A35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E35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I35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M35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Q35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44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4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44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4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4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44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4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4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4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44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M4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4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4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44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Q4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4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4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T44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U4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V4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4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X44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Y4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Z4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A4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B44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AC4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D4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E4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F44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AG4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H4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I4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J44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AK4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L4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M4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N44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AO4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P4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Q4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R44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AS4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T4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46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46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46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46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46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46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46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A46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E46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I46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M46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Q46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55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5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55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5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5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5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55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5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5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5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55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M5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5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5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55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Q5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5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5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T55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U5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V5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5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X55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Y5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Z5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A5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B55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AC5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D5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E5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F55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AG5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H5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I5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J55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AK5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L5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M5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N55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AO5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P5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Q5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R55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AS5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T5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57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57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57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57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57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57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57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A57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E57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I57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M57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Q57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66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6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66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6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6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6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66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6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6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6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66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M6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6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6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66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Q6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6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6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T66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U6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V6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6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X66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Y6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Z6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A6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B66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AC6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D6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E6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F66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AG6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H6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I6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J66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AK6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L6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M6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N66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AO6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P6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Q6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R66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AS6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T6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68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68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68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68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68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68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68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A68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E68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I68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M68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Q68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77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7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77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7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7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7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77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7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7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7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77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M7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7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7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77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Q7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7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7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T77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U7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V7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7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X77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Y7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Z7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A7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B77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AC7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D7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E7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F77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AG7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H7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I7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J77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AK7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L7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M7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N77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AO7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P7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Q7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R77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AS7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T7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79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79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79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79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79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79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79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A79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E79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I79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M79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Q79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88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8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88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8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8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8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88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8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8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8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88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M8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8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8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88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Q8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8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8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T88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U8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V8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8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X88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Y8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Z8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A8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B88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AC8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D8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E8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F88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AG8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H8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I8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J88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AK8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L8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M8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N88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AO8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P8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Q8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R88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AS8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T8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90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90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90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90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90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90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90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A90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E90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I90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M90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Q90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99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9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99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9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9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9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99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9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9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9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99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M9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9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9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99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Q9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9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9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T99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U9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V9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9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X99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Y9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Z9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A9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B99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AC9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D9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E9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F99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AG9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H9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I9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J99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AK9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L9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M9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N99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AO9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P9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Q9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R99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AS9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T9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01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101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101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101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101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101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101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A101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I101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M101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Q101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10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110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110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110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10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110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110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110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110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110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110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M110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110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110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110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Q110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110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110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T110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U110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V110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110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X110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Y110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Z110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A110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B110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AC110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D110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E110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F110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AG110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H110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I110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J110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AK110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L110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M110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N110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AO110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P110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Q110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R110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AS110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T110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12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112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112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112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112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112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112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A112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I112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M112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Q112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21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12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121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121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21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12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121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121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121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12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121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M121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121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12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121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Q121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121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12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T121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U121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V121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12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X121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Y121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Z121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A12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B121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AC121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D121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E12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F121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AG121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H121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I12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J121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AK121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L121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M12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N121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AO121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P121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Q12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R121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AS121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T121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23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123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123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123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123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123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123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A123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I123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M123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Q123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32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13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132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132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32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13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132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132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132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13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132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M132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132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13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132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Q132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132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13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T132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U132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V132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13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X132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Y132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Z132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A13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B132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AC132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D132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E13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F132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AG132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H132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I13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J132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AK132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L132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M13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N132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AO132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P132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Q13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R132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AS132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T132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34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134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134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134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134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134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134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A134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I134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M134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Q134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4.xml><?xml version="1.0" encoding="utf-8"?>
<comments xmlns="http://schemas.openxmlformats.org/spreadsheetml/2006/main">
  <authors>
    <author>Kubinek</author>
  </authors>
  <commentList>
    <comment ref="B4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4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4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4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M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4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Q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T4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U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V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X4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Y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Z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6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6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6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6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6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6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6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5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1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15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1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15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1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15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M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1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15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Q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1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T15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U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V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1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X15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Y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Z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7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17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17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17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17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17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26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26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26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26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M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26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Q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T26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U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V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X26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Y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Z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28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28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28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28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28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28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37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3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37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3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37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3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37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M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3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37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Q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3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T37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U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V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3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X37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Y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Z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39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39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39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39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39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39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39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48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4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48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4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4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48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4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4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4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48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M4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4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4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48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Q4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4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4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T48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U4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V4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4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X48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Y4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Z4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50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50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50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50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50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50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50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59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5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59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5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5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5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59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5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5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5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59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M5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5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5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59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Q5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5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5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T59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U5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V5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5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X59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Y5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Z59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61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61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61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61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61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61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61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68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6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68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6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6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6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68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6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6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6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68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M6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6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6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68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Q6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6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6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T68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U6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V6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6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X68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Y6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Z6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70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70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70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70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70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70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70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Kubinek</author>
  </authors>
  <commentList>
    <comment ref="B4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4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4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4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M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4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Q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6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6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6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6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6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5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1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15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1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15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1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15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M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1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15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Q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7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17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1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POŽADOVANÁ JEDNOTKA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1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POŽADOVANÁ JEDNOTKA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26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26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26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26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M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26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Q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28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28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2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POŽADOVANÁ JEDNOTKA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2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POŽADOVANÁ JEDNOTKA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37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3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37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3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37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3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37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M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3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37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Q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39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39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39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3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POŽADOVANÁ JEDNOTKA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3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POŽADOVANÁ JEDNOTKA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48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4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48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4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4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48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4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4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4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48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M4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4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4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48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Q4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4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50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50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50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50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POŽADOVANÁ JEDNOTKA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50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POŽADOVANÁ JEDNOTKA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Kubinek</author>
  </authors>
  <commentList>
    <comment ref="B4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4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4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4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M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6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6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6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6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5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1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15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1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15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1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15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M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7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17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1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POŽADOVANÁ JEDNOTKA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26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26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26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26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M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28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28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2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POŽADOVANÁ JEDNOTKA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37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3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37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3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37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3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37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M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39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39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39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3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POŽADOVANÁ JEDNOTKA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Kubinek</author>
  </authors>
  <commentList>
    <comment ref="B4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4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4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4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M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4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Q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6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6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6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6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6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5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1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15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1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15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1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15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M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1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15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Q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7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17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1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POŽADOVANÁ JEDNOTKA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1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POŽADOVANÁ JEDNOTKA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26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26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26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26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M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26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Q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28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28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2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POŽADOVANÁ JEDNOTKA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2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POŽADOVANÁ JEDNOTKA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37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3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37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3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37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3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37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M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3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37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Q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39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39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39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3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POŽADOVANÁ JEDNOTKA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3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POŽADOVANÁ JEDNOTKA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48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4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48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4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4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48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4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4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4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48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M4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4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4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48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Q4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4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50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50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50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50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POŽADOVANÁ JEDNOTKA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50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POŽADOVANÁ JEDNOTKA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Kubinek</author>
  </authors>
  <commentList>
    <comment ref="B4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4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4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4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M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4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Q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6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6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6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6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6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5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1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15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1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15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1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15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M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1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15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Q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7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17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1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POŽADOVANÁ JEDNOTKA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1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POŽADOVANÁ JEDNOTKA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26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26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26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26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M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26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Q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28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28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2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POŽADOVANÁ JEDNOTKA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2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POŽADOVANÁ JEDNOTKA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37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3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37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3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37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3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37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M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3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37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Q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39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39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39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3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POŽADOVANÁ JEDNOTKA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3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POŽADOVANÁ JEDNOTKA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48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4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48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4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4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48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4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4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4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48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M4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4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4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48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Q4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4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50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50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50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50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POŽADOVANÁ JEDNOTKA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50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POŽADOVANÁ JEDNOTKA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Kubinek</author>
  </authors>
  <commentList>
    <comment ref="B4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4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4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4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M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4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Q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6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6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6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6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6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5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1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15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1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15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1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15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M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1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15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Q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7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17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1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POŽADOVANÁ JEDNOTKA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1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POŽADOVANÁ JEDNOTKA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26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26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26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26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M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26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Q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28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28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2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POŽADOVANÁ JEDNOTKA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2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POŽADOVANÁ JEDNOTKA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37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3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37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3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37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3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37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M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3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37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Q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39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39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39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3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POŽADOVANÁ JEDNOTKA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3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POŽADOVANÁ JEDNOTKA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48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4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48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4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4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48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4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4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4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48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M4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4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4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P48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Q4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48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50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50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50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50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POŽADOVANÁ JEDNOTKA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50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POŽADOVANÁ JEDNOTKA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Kubinek</author>
  </authors>
  <commentList>
    <comment ref="B4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4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4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4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M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6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6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6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6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5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1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15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1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15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1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15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M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7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17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1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POŽADOVANÁ JEDNOTKA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26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26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26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26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M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28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28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2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POŽADOVANÁ JEDNOTKA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37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3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37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3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37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3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37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M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39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39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39" authorId="0">
      <text>
        <r>
          <rPr>
            <b/>
            <sz val="9"/>
            <color indexed="81"/>
            <rFont val="Tahoma"/>
            <family val="2"/>
            <charset val="238"/>
          </rPr>
          <t>POŽADOVANÁ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3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POŽADOVANÁ JEDNOTKA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Kubinek</author>
  </authors>
  <commentList>
    <comment ref="B4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4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4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4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M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4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6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5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1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15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1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15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15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15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M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15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7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</text>
    </comment>
    <comment ref="B26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26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26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26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26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M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26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37" authorId="0">
      <text>
        <r>
          <rPr>
            <sz val="9"/>
            <color indexed="81"/>
            <rFont val="Tahoma"/>
            <family val="2"/>
            <charset val="238"/>
          </rPr>
          <t xml:space="preserve">SLOUPEC OBSAHUJE 
VSTUPNÍ HODNOTY
</t>
        </r>
      </text>
    </comment>
    <comment ref="C3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37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E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3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37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I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3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V TOMTO SLOUPCI JSOU UVEDENY HODNOTY PŘEVODU ZÍSKANÉ PROGRAMEM VIKLAN: jednotky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37" authorId="0">
      <text>
        <r>
          <rPr>
            <sz val="9"/>
            <color indexed="81"/>
            <rFont val="Tahoma"/>
            <family val="2"/>
            <charset val="238"/>
          </rPr>
          <t xml:space="preserve">TENTO SLOUPEC OBSAHUJE HODNOTY ZÍSKANÉ BĚŽNÝM VÝPOČTEM PODLE VZORCŮ UVEDENÝCH V BUŇCE "Vzorec pro výpočet převodu"
</t>
        </r>
      </text>
    </comment>
    <comment ref="M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37" authorId="0">
      <text>
        <r>
          <rPr>
            <b/>
            <sz val="9"/>
            <color indexed="81"/>
            <rFont val="Tahoma"/>
            <family val="2"/>
            <charset val="238"/>
          </rPr>
          <t>ROZDÍL MEZI VÝSLEDNOU HODNOTOU
ZÍSKANOU PROGRAMEM VIKLAN: jednotky A BĚŽNÝM VÝPOČTEM V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39" authorId="0">
      <text>
        <r>
          <rPr>
            <b/>
            <sz val="9"/>
            <color indexed="81"/>
            <rFont val="Tahoma"/>
            <family val="2"/>
            <charset val="238"/>
          </rPr>
          <t>VÝCHOZÍ JEDNOTKA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<sst xmlns="http://schemas.openxmlformats.org/spreadsheetml/2006/main" count="5732" uniqueCount="746">
  <si>
    <t>88552211447799</t>
  </si>
  <si>
    <t>666555444</t>
  </si>
  <si>
    <t>0.78965</t>
  </si>
  <si>
    <t>36,547</t>
  </si>
  <si>
    <t>-258</t>
  </si>
  <si>
    <t>1</t>
  </si>
  <si>
    <t>33669988552211</t>
  </si>
  <si>
    <t>444555666</t>
  </si>
  <si>
    <t>0,3698</t>
  </si>
  <si>
    <t>67,789</t>
  </si>
  <si>
    <t>Zadaná hodnota</t>
  </si>
  <si>
    <t>sekunda [s]</t>
  </si>
  <si>
    <t>minuta [min]</t>
  </si>
  <si>
    <t>hodina [h]</t>
  </si>
  <si>
    <t>Výsledná hodnota</t>
  </si>
  <si>
    <t>stupeň Celsia [°C]</t>
  </si>
  <si>
    <t>stupeň Fahrenheita [°F]</t>
  </si>
  <si>
    <t>kelvin [K]</t>
  </si>
  <si>
    <t>Pascal [Pa]</t>
  </si>
  <si>
    <t>technická atmosféra [at]</t>
  </si>
  <si>
    <t>fyzikální atmosféra [atm]</t>
  </si>
  <si>
    <t>bar [bar]</t>
  </si>
  <si>
    <t>Kilopascal [kPa]</t>
  </si>
  <si>
    <t>mm vodního sloupce [mm H2O]</t>
  </si>
  <si>
    <t>Megapascal [MPa]</t>
  </si>
  <si>
    <t>libra na čtv. palec [psi]</t>
  </si>
  <si>
    <t>mm rtuťového sloupce [Torr]</t>
  </si>
  <si>
    <t>pascalů = technických atmosfér / 0.00001019716</t>
  </si>
  <si>
    <t>fyzikálních atmosfér = pascalů * 0.000009869233</t>
  </si>
  <si>
    <t>barů = pascalů / 100000</t>
  </si>
  <si>
    <t>kilopascalů = pascalů / 1000</t>
  </si>
  <si>
    <t>milimetrů vodního sloupce = pascalů / 9.80665</t>
  </si>
  <si>
    <t>megapascalů = pascalů / 1000000</t>
  </si>
  <si>
    <t>torrů = pascalů * 0.007500616</t>
  </si>
  <si>
    <t>newton [N]</t>
  </si>
  <si>
    <t>kilopond [kp]</t>
  </si>
  <si>
    <t>kilopondů = newtonů / 9.80665</t>
  </si>
  <si>
    <t>centimetr [cm]</t>
  </si>
  <si>
    <t>stopa [ft]</t>
  </si>
  <si>
    <t>palec [in]</t>
  </si>
  <si>
    <t>metr [m]</t>
  </si>
  <si>
    <t>míle [mi]</t>
  </si>
  <si>
    <t>milimetr [mm]</t>
  </si>
  <si>
    <t>joule [J]</t>
  </si>
  <si>
    <t>kilokalorie [kcal]</t>
  </si>
  <si>
    <t>kilojoule [kJ]</t>
  </si>
  <si>
    <t>kilowatthodina [kWh]</t>
  </si>
  <si>
    <t>gram [g]</t>
  </si>
  <si>
    <t>kilogram [kg]</t>
  </si>
  <si>
    <t>libra [lb]</t>
  </si>
  <si>
    <t>tuna [t]</t>
  </si>
  <si>
    <t>trojská unce [tr oz]</t>
  </si>
  <si>
    <t>koňská síla [HP]</t>
  </si>
  <si>
    <t>kilopond metr za sekundu [kp.m/s]</t>
  </si>
  <si>
    <t>kilowatt [kW]</t>
  </si>
  <si>
    <t>watt [W]</t>
  </si>
  <si>
    <t>centilitr [cl]</t>
  </si>
  <si>
    <t>decilitr [dl]</t>
  </si>
  <si>
    <t>hektolitr [hl]</t>
  </si>
  <si>
    <t>litr [l]</t>
  </si>
  <si>
    <t>metr krychlový [m3]</t>
  </si>
  <si>
    <t>mililitr [ml]</t>
  </si>
  <si>
    <t>čtverečný centimetr [cm2]</t>
  </si>
  <si>
    <t>čtverečný decimetr [dm2]</t>
  </si>
  <si>
    <t>čtverečný metr [m2]</t>
  </si>
  <si>
    <t>čtverečný milimetr [mm2]</t>
  </si>
  <si>
    <t>čtverečná stopa [sq ft]</t>
  </si>
  <si>
    <t>čtverečný palec [sq in]</t>
  </si>
  <si>
    <t>newtonů = kilopondů * 9.80665</t>
  </si>
  <si>
    <t>metr krychlový za sekundu [m3/s]</t>
  </si>
  <si>
    <t>metr krychlový za hodinu [m3/h]</t>
  </si>
  <si>
    <t>litr za sekundu [l/s]</t>
  </si>
  <si>
    <t>metr krychlový za minutu [m3/min]</t>
  </si>
  <si>
    <t>minuta [´]</t>
  </si>
  <si>
    <t>sekunda ["]</t>
  </si>
  <si>
    <t>stupeň [°]</t>
  </si>
  <si>
    <t>grad [g]</t>
  </si>
  <si>
    <t>radián [rad]</t>
  </si>
  <si>
    <t>kilometr za hodinu [km/h]</t>
  </si>
  <si>
    <t>metr za minutu [m/min]</t>
  </si>
  <si>
    <t>metr za sekundu [m/s]</t>
  </si>
  <si>
    <t>míle za hodinu [MPH]</t>
  </si>
  <si>
    <t>minut = sekund / 60</t>
  </si>
  <si>
    <t>hodin = sekund / 3600</t>
  </si>
  <si>
    <t>sekund = minut * 60</t>
  </si>
  <si>
    <t>sekund = hodin * 3600</t>
  </si>
  <si>
    <t>sekund = minut * 60
hodin = sekund / 3600</t>
  </si>
  <si>
    <t>sekund = hodin * 3600
minut = sekund / 60</t>
  </si>
  <si>
    <t>metrů = centimetrů / 100</t>
  </si>
  <si>
    <t>metrů = centimetrů / 100
stop = metrů / 0.3048</t>
  </si>
  <si>
    <t>metrů = centimetrů / 100
palců = metrů * 100 / 2.54</t>
  </si>
  <si>
    <t>metrů = centimetrů / 100
mílí = metrů / 63360 / 2.54 * 100</t>
  </si>
  <si>
    <t>metrů = centimetrů / 100
milimetrů = metrů * 1000</t>
  </si>
  <si>
    <t>metrů = stop * 0.3048</t>
  </si>
  <si>
    <t>metrů = stop * 0.3048
centimetrů = metrů * 100</t>
  </si>
  <si>
    <t>metrů = stop * 0.3048
palců = metrů * 100 / 2.54</t>
  </si>
  <si>
    <t>metrů = stop * 0.3048
mílí = metrů / 63360 / 2.54 * 100</t>
  </si>
  <si>
    <t>metrů = stop * 0.3048
milimetrů = metrů * 1000</t>
  </si>
  <si>
    <t>metrů = palců * 2.54 / 100</t>
  </si>
  <si>
    <t>metrů = palců * 2.54 / 100
centimetrů = metrů * 100</t>
  </si>
  <si>
    <t>metrů = palců * 2.54 / 100
stop = metrů / 0.3048</t>
  </si>
  <si>
    <t>metrů = palců * 2.54 / 100
mílí = metrů / 63360 / 2.54 * 100</t>
  </si>
  <si>
    <t>metrů = palců * 2.54 / 100
milimetrů = metrů * 1000</t>
  </si>
  <si>
    <t>centimetrů = metrů * 100</t>
  </si>
  <si>
    <t>stop = metrů / 0.3048</t>
  </si>
  <si>
    <t>palců = metrů * 100 / 2.54</t>
  </si>
  <si>
    <t>mílí = metrů / 63360 / 2.54 * 100</t>
  </si>
  <si>
    <t>milimetrů = metrů * 1000</t>
  </si>
  <si>
    <t>metrů = mílí * 63360 * 2.54 / 100</t>
  </si>
  <si>
    <t>metrů = mílí * 63360 * 2.54 / 100
centimetrů = metrů * 100</t>
  </si>
  <si>
    <t>metrů = mílí * 63360 * 2.54 / 100
stop = metrů / 0.3048</t>
  </si>
  <si>
    <t>metrů = mílí * 63360 * 2.54 / 100
palců = metrů * 100 / 2.54</t>
  </si>
  <si>
    <t>metrů = mílí * 63360 * 2.54 / 100
milimetrů = metrů * 1000</t>
  </si>
  <si>
    <t>metrů = milimetrů / 1000</t>
  </si>
  <si>
    <t>metrů = milimetrů / 1000
centimetrů = metrů * 100</t>
  </si>
  <si>
    <t>metrů = milimetrů / 1000
stop = metrů / 0.3048</t>
  </si>
  <si>
    <t>metrů = milimetrů / 1000
palců = metrů * 100 / 2.54</t>
  </si>
  <si>
    <t>metrů = milimetrů / 1000
mílí = metrů / 63360 / 2.54 * 100</t>
  </si>
  <si>
    <t>kilojoulů = joulů / 1000</t>
  </si>
  <si>
    <t>kilojoulů = joulů / 1000
kilokalorií = kilojoulů / 4.187</t>
  </si>
  <si>
    <t>kilojoulů = joulů / 1000
kilowatthodin = kilojoulů / 3600</t>
  </si>
  <si>
    <t>joulů = kilojoulů * 1000</t>
  </si>
  <si>
    <t>kilojoulů = kilokalorií * 4.187</t>
  </si>
  <si>
    <t>kilojoulů = kilokalorií * 4.187
joulů = kilojoulů * 1000</t>
  </si>
  <si>
    <t>kilojoulů = kilokalorií * 4.187
kilowatthodin = kilojoulů / 3600</t>
  </si>
  <si>
    <t>kilokalorií = kilojoulů / 4.187</t>
  </si>
  <si>
    <t>kilowatthodin = kilojoulů / 3600</t>
  </si>
  <si>
    <t>kilojoulů = kilowatthodin * 3600</t>
  </si>
  <si>
    <t>kilojoulů = kilowatthodin * 3600
kilokalorií = kilojoulů / 4.187</t>
  </si>
  <si>
    <t>kilojoulů = kilowatthodin * 3600
joulů = kilojoulů * 1000</t>
  </si>
  <si>
    <t>kilogramů = gramů / 1000</t>
  </si>
  <si>
    <t>kilogramů = gramů / 1000
liber = kilogramů / 0.45359237</t>
  </si>
  <si>
    <t>kilogramů = gramů / 1000
tun = kilogramů / 1000</t>
  </si>
  <si>
    <t>kilogramů = gramů / 1000
trojských uncí = kilogramů * 1000 / 31.1034768</t>
  </si>
  <si>
    <t>gramů = kilogramů * 1000</t>
  </si>
  <si>
    <t>liber = kilogramů / 0.45359237</t>
  </si>
  <si>
    <t>tun = kilogramů / 1000</t>
  </si>
  <si>
    <t>trojských uncí = kilogramů * 1000 / 31.1034768</t>
  </si>
  <si>
    <t>kilogramů = liber * 0.45359237</t>
  </si>
  <si>
    <t>kilogramů = liber * 0.45359237
gramů = kilogramů * 1000</t>
  </si>
  <si>
    <t>kilogramů = liber * 0.45359237
tun = kilogramů / 1000</t>
  </si>
  <si>
    <t>kilogramů = liber * 0.45359237
trojských uncí = kilogramů * 1000 / 31.1034768</t>
  </si>
  <si>
    <t>kilogramů = tun * 1000</t>
  </si>
  <si>
    <t>kilogramů = tun * 1000
gramů = kilogramů * 1000</t>
  </si>
  <si>
    <t>kilogramů = tun * 1000
liber = kilogramů / 0.45359237</t>
  </si>
  <si>
    <t>kilogramů = tun * 1000
trojských uncí = kilogramů * 1000 / 31.1034768</t>
  </si>
  <si>
    <t>kilogramů = trojských uncí * 31.1034768 / 1000</t>
  </si>
  <si>
    <t>kilogramů = trojských uncí * 31.1034768 / 1000
gramů = kilogramů * 1000</t>
  </si>
  <si>
    <t>kilogramů = trojských uncí * 31.1034768 / 1000
liber = kilogramů / 0.45359237</t>
  </si>
  <si>
    <t>kilogramů = trojských uncí * 31.1034768 / 1000
tun = kilogramů / 1000</t>
  </si>
  <si>
    <t>kelvinů = stupňů Celsia + 273.15</t>
  </si>
  <si>
    <t>kelvinů = stupňů Celsia + 273.15
stupňů Fahrenheita = 9 * kelvinů / 5 - 459.67</t>
  </si>
  <si>
    <t>kelvinů = 5 * (stupňů Fahrenheita + 459.67) / 9</t>
  </si>
  <si>
    <t>kelvinů = 5 * (stupňů Fahrenheita + 459.67) / 9
stupňů Celsia = kelvinů - 273.15</t>
  </si>
  <si>
    <t>stupňů Celsia = kelvinů - 273.15</t>
  </si>
  <si>
    <t>stupňů Fahrenheita = 9 * kelvinů / 5 - 459.67</t>
  </si>
  <si>
    <t>metrů krychlových = centilitrů / 100000</t>
  </si>
  <si>
    <t>metrů krychlových = centilitrů / 100000
decilitrů = metrů krychlových * 10000</t>
  </si>
  <si>
    <t>metrů krychlových = centilitrů / 100000
hektolitrů = metrů krychlových * 10</t>
  </si>
  <si>
    <t>metrů krychlových = centilitrů / 100000
litrů = metrů krychlových * 1000</t>
  </si>
  <si>
    <t>metrů krychlových = centilitrů / 100000
mililitrů = metrů krychlových * 1000000</t>
  </si>
  <si>
    <t>metrů krychlových = decilitrů / 10000</t>
  </si>
  <si>
    <t>metrů krychlových = decilitrů / 10000
centilitrů = metrů krychlových * 100000</t>
  </si>
  <si>
    <t>metrů krychlových = decilitrů / 10000
hektolitrů = metrů krychlových * 10</t>
  </si>
  <si>
    <t>metrů krychlových = decilitrů / 10000
litrů = metrů krychlových * 1000</t>
  </si>
  <si>
    <t>metrů krychlových = decilitrů / 10000
mililitrů = metrů krychlových * 1000000</t>
  </si>
  <si>
    <t>metrů krychlových = hektolitrů / 10</t>
  </si>
  <si>
    <t>metrů krychlových = hektolitrů / 10
centilitrů = metrů krychlových * 100000</t>
  </si>
  <si>
    <t>metrů krychlových = hektolitrů / 10
decilitrů = metrů krychlových * 10000</t>
  </si>
  <si>
    <t>metrů krychlových = hektolitrů / 10
litrů = metrů krychlových * 1000</t>
  </si>
  <si>
    <t>metrů krychlových = hektolitrů / 10
mililitrů = metrů krychlových * 1000000</t>
  </si>
  <si>
    <t>metrů krychlových = litrů / 1000</t>
  </si>
  <si>
    <t>metrů krychlových = litrů / 1000
centilitrů = metrů krychlových * 100000</t>
  </si>
  <si>
    <t>metrů krychlových = litrů / 1000
decilitrů = metrů krychlových * 10000</t>
  </si>
  <si>
    <t>metrů krychlových = litrů / 1000
hektolitrů = metrů krychlových * 10</t>
  </si>
  <si>
    <t>metrů krychlových = litrů / 1000
mililitrů = metrů krychlových * 1000000</t>
  </si>
  <si>
    <t>centilitrů = metrů krychlových * 100000</t>
  </si>
  <si>
    <t>decilitrů = metrů krychlových * 10000</t>
  </si>
  <si>
    <t>hektolitrů = metrů krychlových * 10</t>
  </si>
  <si>
    <t>litrů = metrů krychlových * 1000</t>
  </si>
  <si>
    <t>mililitrů = metrů krychlových * 1000000</t>
  </si>
  <si>
    <t>metrů krychlových = mililitrů / 1000000</t>
  </si>
  <si>
    <t>metrů krychlových = mililitrů / 1000000
centilitrů = metrů krychlových * 100000</t>
  </si>
  <si>
    <t>metrů krychlových = mililitrů / 1000000
decilitrů = metrů krychlových * 10000</t>
  </si>
  <si>
    <t>metrů krychlových = mililitrů / 1000000
hektolitrů = metrů krychlových * 10</t>
  </si>
  <si>
    <t>metrů krychlových = mililitrů / 1000000
litrů = metrů krychlových * 1000</t>
  </si>
  <si>
    <t>metrů čtverečných = centimetrů čtverečných / 10000</t>
  </si>
  <si>
    <t>metrů čtverečných = centimetrů čtverečných / 10000
decimetrů čtverečných = metrů čtverečných * 100</t>
  </si>
  <si>
    <t>metrů čtverečných = centimetrů čtverečných / 10000
milimetrů čtverečných = metrů čtverečných * 1000000</t>
  </si>
  <si>
    <t>metrů čtverečných = centimetrů čtverečných / 10000
stop čtverečných = metrů čtverečných / 144 * 10000 / (2.54 * 2.54)</t>
  </si>
  <si>
    <t>metrů čtverečných = centimetrů čtverečných / 10000
palců čtverečných = metrů čtverečných * 10000/ (2.54 * 2.54)</t>
  </si>
  <si>
    <t>metrů čtverečných = decimetrů čtverečných / 100</t>
  </si>
  <si>
    <t>metrů čtverečných = decimetrů čtverečných / 100
centimetrů čtverečných = metrů čtverečných * 10000</t>
  </si>
  <si>
    <t>metrů čtverečných = decimetrů čtverečných / 100
milimetrů čtverečných = metrů čtverečných * 1000000</t>
  </si>
  <si>
    <t>metrů čtverečných = decimetrů čtverečných / 100
stop čtverečných = metrů čtverečných / 144 * 10000 / (2.54 * 2.54)</t>
  </si>
  <si>
    <t>metrů čtverečných = decimetrů čtverečných / 100
palců čtverečných = metrů čtverečných * 10000/ (2.54 * 2.54)</t>
  </si>
  <si>
    <t>centimetrů čtverečných = metrů čtverečných * 10000</t>
  </si>
  <si>
    <t>decimetrů čtverečných = metrů čtverečných * 100</t>
  </si>
  <si>
    <t>milimetrů čtverečných = metrů čtverečných * 1000000</t>
  </si>
  <si>
    <t>stop čtverečných = metrů čtverečných / 144 * 10000 / (2.54 * 2.54)</t>
  </si>
  <si>
    <t>palců čtverečných = metrů čtverečných * 10000/ (2.54 * 2.54)</t>
  </si>
  <si>
    <t>metrů čtverečných = milimetrů čtverečných / 1000000</t>
  </si>
  <si>
    <t>metrů čtverečných = milimetrů čtverečných / 1000000
centimetrů čtverečných = metrů čtverečných * 10000</t>
  </si>
  <si>
    <t>metrů čtverečných = milimetrů čtverečných / 1000000
decimetrů čtverečných = metrů čtverečných * 100</t>
  </si>
  <si>
    <t>metrů čtverečných = milimetrů čtverečných / 1000000
stop čtverečných = metrů čtverečných / 144 * 10000 / (2.54 * 2.54)</t>
  </si>
  <si>
    <t>metrů čtverečných = milimetrů čtverečných / 1000000
palců čtverečných = metrů čtverečných * 10000/ (2.54 * 2.54)</t>
  </si>
  <si>
    <t>metrů čtverečných = stop čtverečných * 144 / 10000 * (2.54 * 2.54)</t>
  </si>
  <si>
    <t>metrů čtverečných = stop čtverečných * 144 / 10000 * (2.54 * 2.54)
centimetrů čtverečných = metrů čtverečných * 10000</t>
  </si>
  <si>
    <t>metrů čtverečných = stop čtverečných * 144 / 10000 * (2.54 * 2.54)
decimetrů čtverečných = metrů čtverečných * 100</t>
  </si>
  <si>
    <t>metrů čtverečných = stop čtverečných * 144 / 10000 * (2.54 * 2.54)
milimetrů čtverečných = metrů čtverečných * 1000000</t>
  </si>
  <si>
    <t>metrů čtverečných = stop čtverečných * 144 / 10000 * (2.54 * 2.54)
palců čtverečných = metrů čtverečných * 10000/ (2.54 * 2.54)</t>
  </si>
  <si>
    <t>metrů čtverečných = palců čtverečných / 10000 * (2.54 * 2.54)</t>
  </si>
  <si>
    <t>metrů čtverečných = palců čtverečných / 10000 * (2.54 * 2.54)
centimetrů čtverečných = metrů čtverečných * 10000</t>
  </si>
  <si>
    <t>metrů čtverečných = palců čtverečných / 10000 * (2.54 * 2.54)
decimetrů čtverečných = metrů čtverečných * 100</t>
  </si>
  <si>
    <t>metrů čtverečných = palců čtverečných / 10000 * (2.54 * 2.54)
milimetrů čtverečných = metrů čtverečných * 1000000</t>
  </si>
  <si>
    <t>metrů čtverečných = palců čtverečných / 10000 * (2.54 * 2.54)
stop čtverečných = metrů čtverečných / 144 * 10000 / (2.54 * 2.54)</t>
  </si>
  <si>
    <t>metrů za sekundu = kilometrů za hodinu * 1000 / 3600</t>
  </si>
  <si>
    <t>metrů za sekundu = kilometrů za hodinu * 1000 / 3600
metrů za minutu = metrů za sekundu * 60</t>
  </si>
  <si>
    <t>metrů za sekundu = kilometrů za hodinu * 1000 / 3600
mílí za hodinu = metrů za sekundu * 3600 / 1609.4</t>
  </si>
  <si>
    <t>metrů za sekundu = metrů za minutu / 60</t>
  </si>
  <si>
    <t>metrů za sekundu = metrů za minutu / 60
kilometrů za hodinu = metrů za sekundu * 3600 / 1000</t>
  </si>
  <si>
    <t>metrů za sekundu = metrů za minutu / 60
mílí za hodinu = metrů za sekundu * 3600 / 1609.4</t>
  </si>
  <si>
    <t>kilometrů za hodinu = metrů za sekundu * 3600 / 1000</t>
  </si>
  <si>
    <t>metrů za minutu = metrů za sekundu * 60</t>
  </si>
  <si>
    <t>mílí za hodinu = metrů za sekundu * 3600 / 1609.4</t>
  </si>
  <si>
    <t>metrů za sekundu = mílí za hodinu * 1609.4 / 3600</t>
  </si>
  <si>
    <t>metrů za sekundu = mílí za hodinu * 1609.4 / 3600
kilometrů za hodinu = metrů za sekundu * 3600 / 1000</t>
  </si>
  <si>
    <t>metrů za sekundu = mílí za hodinu * 1609.4 / 3600
metrů za minutu = metrů za sekundu * 60</t>
  </si>
  <si>
    <t>kilowattů = koňských sil * 0.74569987158227022</t>
  </si>
  <si>
    <t>kilowattů = koňských sil * 0.74569987158227022
kilopond metrů za sekundu = kilowattů * 1000 / 9.80665</t>
  </si>
  <si>
    <t>kilowattů = koňských sil * 0.74569987158227022
wattů = kilowattů * 1000</t>
  </si>
  <si>
    <t>kilowattů = kilopond metrů za sekundu * 9.80665 / 1000</t>
  </si>
  <si>
    <t>kilowattů = kilopond metrů za sekundu * 9.80665 / 1000
wattů = kilowattů * 1000</t>
  </si>
  <si>
    <t>kilopond metrů za sekundu = kilowattů * 1000 / 9.80665</t>
  </si>
  <si>
    <t>wattů = kilowattů * 1000</t>
  </si>
  <si>
    <t>kilowattů = wattů / 1000</t>
  </si>
  <si>
    <t>kilowattů = wattů / 1000
kilopond metrů za sekundu = kilowattů * 1000 / 9.80665</t>
  </si>
  <si>
    <t>metrů krychlových za hodinu = metrů krychlových za sekundu * 3600</t>
  </si>
  <si>
    <t>metrů krychlových za minutu = metrů krychlových za sekundu * 60</t>
  </si>
  <si>
    <t>litrů za sekundu = metrů krychlových za sekundu * 1000</t>
  </si>
  <si>
    <t>metrů krychlových za sekundu = metrů krychlových za hodinu / 3600</t>
  </si>
  <si>
    <t>metrů krychlových za sekundu = litrů za sekundu / 1000</t>
  </si>
  <si>
    <t>metrů krychlových za sekundu = litrů za sekundu / 1000
metrů krychlových za minutu = metrů krychlových za sekundu * 60</t>
  </si>
  <si>
    <t>metrů krychlových za sekundu = litrů za sekundu / 1000
metrů krychlových za hodinu = metrů krychlových za sekundu * 3600</t>
  </si>
  <si>
    <t>metrů krychlových za sekundu = metrů krychlových za hodinu / 3600
litrů za sekundu = metrů krychlových za sekundu * 1000</t>
  </si>
  <si>
    <t>metrů krychlových za sekundu = metrů krychlových za hodinu / 3600
metrů krychlových za minutu = metrů krychlových za sekundu * 60</t>
  </si>
  <si>
    <t>metrů krychlových za sekundu = metrů krychlových za minutu / 60
litrů za sekundu = metrů krychlových za sekundu * 1000</t>
  </si>
  <si>
    <t>metrů krychlových za sekundu = metrů krychlových za minutu / 60
metrů krychlových za hodinu = metrů krychlových za sekundu * 3600</t>
  </si>
  <si>
    <t>metrů krychlových za sekundu = metrů krychlových za minutu / 60</t>
  </si>
  <si>
    <t>stupňů = minut / 60</t>
  </si>
  <si>
    <t>stupňů = minut / 60
sekund = stupňů * 3600</t>
  </si>
  <si>
    <t>stupňů = minut / 60
gradů = stupňů / 0.9</t>
  </si>
  <si>
    <t>stupňů = minut / 60
radiánů = stupňů / 180 * PI</t>
  </si>
  <si>
    <t>stupňů = sekund / 3600</t>
  </si>
  <si>
    <t>stupňů = sekund / 3600
minut = stupňů * 60</t>
  </si>
  <si>
    <t>stupňů = sekund / 3600
gradů = stupňů / 0.9</t>
  </si>
  <si>
    <t>stupňů = sekund / 3600
radiánů = stupňů / 180 * PI</t>
  </si>
  <si>
    <t>stupňů = gradů * 0.9</t>
  </si>
  <si>
    <t>stupňů = radiánů / PI * 180</t>
  </si>
  <si>
    <t>minut = stupňů * 60</t>
  </si>
  <si>
    <t>sekund = stupňů * 3600</t>
  </si>
  <si>
    <t>gradů = stupňů / 0.9</t>
  </si>
  <si>
    <t>radiánů = stupňů / 180 * PI</t>
  </si>
  <si>
    <t>stupňů = gradů * 0.9
minut = stupňů * 60</t>
  </si>
  <si>
    <t>stupňů = gradů * 0.9
sekund = stupňů * 3600</t>
  </si>
  <si>
    <t>stupňů = gradů * 0.9
radiánů = stupňů / 180 * PI</t>
  </si>
  <si>
    <t>stupňů = radiánů / PI * 180
minut = stupňů * 60</t>
  </si>
  <si>
    <t>stupňů = radiánů / PI * 180
sekund = stupňů * 3600</t>
  </si>
  <si>
    <t>stupňů = radiánů / PI * 180
gradů = stupňů / 0.9</t>
  </si>
  <si>
    <t>pascalů = technických atmosfér / 0.00001019716
fyzikálních atmosfér = pascalů * 0.000009869233</t>
  </si>
  <si>
    <t>pascalů = technických atmosfér / 0.00001019716
barů = pascalů / 100000</t>
  </si>
  <si>
    <t>pascalů = technických atmosfér / 0.00001019716
kilopascalů = pascalů / 1000</t>
  </si>
  <si>
    <t>pascalů = technických atmosfér / 0.00001019716
milimetrů vodního sloupce = pascalů / 9.80665</t>
  </si>
  <si>
    <t>pascalů = technických atmosfér / 0.00001019716
megapascalů = pascalů / 1000000</t>
  </si>
  <si>
    <t>pascalů = technických atmosfér / 0.00001019716
liber na čtverečný palec = pascalů * 0.0001450377</t>
  </si>
  <si>
    <t>pascalů = technických atmosfér / 0.00001019716
torrů = pascalů * 0.007500616</t>
  </si>
  <si>
    <t>pascalů = fyzikálních atmosfér / 0.000009869233
barů = pascalů / 100000</t>
  </si>
  <si>
    <t>pascalů = fyzikálních atmosfér / 0.000009869233
kilopascalů = pascalů / 1000</t>
  </si>
  <si>
    <t>pascalů = fyzikálních atmosfér / 0.000009869233
milimetrů vodního sloupce = pascalů / 9.80665</t>
  </si>
  <si>
    <t>pascalů = fyzikálních atmosfér / 0.000009869233
megapascalů = pascalů / 1000000</t>
  </si>
  <si>
    <t>pascalů = barů * 100000</t>
  </si>
  <si>
    <t>pascalů = barů * 100000
kilopascalů = pascalů / 1000</t>
  </si>
  <si>
    <t>pascalů = barů * 100000
megapascalů = pascalů / 1000000</t>
  </si>
  <si>
    <t>pascalů = kilopascalů * 1000</t>
  </si>
  <si>
    <t>pascalů = kilopascalů * 1000
barů = pascalů / 100000</t>
  </si>
  <si>
    <t>pascalů = kilopascalů * 1000
megapascalů = pascalů / 1000000</t>
  </si>
  <si>
    <t>pascalů = megapascalů * 1000000</t>
  </si>
  <si>
    <t>pascalů = megapascalů * 1000000
barů = pascalů / 100000</t>
  </si>
  <si>
    <t>pascalů = megapascalů * 1000000
kilopascalů = pascalů / 1000</t>
  </si>
  <si>
    <t>POROVNÁNÍ HODNOT ZÍSKANÝCH POUŽITÍM PROGRAMU VIKLAN: JEDNOTKY A BĚŽNÝM VÝPOČTEM</t>
  </si>
  <si>
    <t>VIKLAN: jednotky</t>
  </si>
  <si>
    <t>Běžný výpočet</t>
  </si>
  <si>
    <t>kilowattů = kilopond metrů za sekundu * 9.80665 / 1000
koňských sil = kilowattů / 0.74569987158227022</t>
  </si>
  <si>
    <t>koňských sil = kilowattů / 0.74569987158227022</t>
  </si>
  <si>
    <t>kilowattů = wattů / 1000
koňských sil = kilowattů / 0.74569987158227022</t>
  </si>
  <si>
    <t>technických atmosfér = pascalů * 0.00001019716</t>
  </si>
  <si>
    <t>liber na čtverečný palec = pascalů * 0.0001450377</t>
  </si>
  <si>
    <t>pascalů = fyzikálních atmosfér / 0.000009869233</t>
  </si>
  <si>
    <t>pascalů = fyzikálních atmosfér / 0.000009869233
technických atmosfér = pascalů * 0.00001019716</t>
  </si>
  <si>
    <t>pascalů = fyzikálních atmosfér / 0.000009869233
liber na čtverečný palec = pascalů * 0.0001450377</t>
  </si>
  <si>
    <t>pascalů = fyzikálních atmosfér / 0.000009869233
torrů = pascalů * 0.007500616</t>
  </si>
  <si>
    <t>pascalů = barů * 100000
technických atmosfér = pascalů * 0.00001019716</t>
  </si>
  <si>
    <t>pascalů = barů * 100000
fyzikálních atmosfér = pascalů * 0.000009869233</t>
  </si>
  <si>
    <t>pascalů = barů * 100000
milimetrů vodního sloupce = pascalů / 9.80665</t>
  </si>
  <si>
    <t>pascalů = barů * 100000
liber na čtverečný palec = pascalů * 0.0001450377</t>
  </si>
  <si>
    <t>pascalů = barů * 100000
torrů = pascalů * 0.007500616</t>
  </si>
  <si>
    <t>pascalů = kilopascalů * 1000
technických atmosfér = pascalů * 0.00001019716</t>
  </si>
  <si>
    <t>pascalů = kilopascalů * 1000
fyzikálních atmosfér = pascalů * 0.000009869233</t>
  </si>
  <si>
    <t>pascalů = kilopascalů * 1000
milimetrů vodního sloupce = pascalů / 9.80665</t>
  </si>
  <si>
    <t>pascalů = kilopascalů * 1000
liber na čtverečný palec = pascalů * 0.0001450377</t>
  </si>
  <si>
    <t>pascalů = kilopascalů * 1000
torrů = pascalů * 0.007500616</t>
  </si>
  <si>
    <t>pascalů = milimetrů vodního sloupce * 9.80665</t>
  </si>
  <si>
    <t>pascalů = milimetrů vodního sloupce * 9.80665
technických atmosfér = pascalů * 0.00001019716</t>
  </si>
  <si>
    <t>pascalů = milimetrů vodního sloupce * 9.80665
fyzikálních atmosfér = pascalů * 0.000009869233</t>
  </si>
  <si>
    <t>pascalů = milimetrů vodního sloupce * 9.80665
barů = pascalů / 100000</t>
  </si>
  <si>
    <t>pascalů = milimetrů vodního sloupce * 9.80665
kilopascalů = pascalů / 1000</t>
  </si>
  <si>
    <t>pascalů = milimetrů vodního sloupce * 9.80665
megapascalů = pascalů / 1000000</t>
  </si>
  <si>
    <t>pascalů = milimetrů vodního sloupce * 9.80665
liber na čtverečný palec = pascalů * 0.0001450377</t>
  </si>
  <si>
    <t>pascalů = milimetrů vodního sloupce * 9.80665
torrů = pascalů * 0.007500616</t>
  </si>
  <si>
    <t>pascalů = megapascalů * 1000000
technických atmosfér = pascalů * 0.00001019716</t>
  </si>
  <si>
    <t>pascalů = megapascalů * 1000000
fyzikálních atmosfér = pascalů * 0.000009869233</t>
  </si>
  <si>
    <t>pascalů = megapascalů * 1000000
milimetrů vodního sloupce = pascalů / 9.80665</t>
  </si>
  <si>
    <t>pascalů = megapascalů * 1000000
liber na čtverečný palec = pascalů * 0.0001450377</t>
  </si>
  <si>
    <t>pascalů = megapascalů * 1000000
torrů = pascalů * 0.007500616</t>
  </si>
  <si>
    <t>pascalů = liber na čtverečný palec / 0.0001450377</t>
  </si>
  <si>
    <t>pascalů = liber na čtverečný palec / 0.0001450377
technických atmosfér = pascalů * 0.00001019716</t>
  </si>
  <si>
    <t>pascalů = liber na čtverečný palec / 0.0001450377
fyzikálních atmosfér = pascalů * 0.000009869233</t>
  </si>
  <si>
    <t>pascalů = liber na čtverečný palec / 0.0001450377
barů = pascalů / 100000</t>
  </si>
  <si>
    <t>pascalů = liber na čtverečný palec / 0.0001450377
kilopascalů = pascalů / 1000</t>
  </si>
  <si>
    <t>pascalů = liber na čtverečný palec / 0.0001450377
milimetrů vodního sloupce = pascalů / 9.80665</t>
  </si>
  <si>
    <t>pascalů = liber na čtverečný palec / 0.0001450377
megapascalů = pascalů / 1000000</t>
  </si>
  <si>
    <t>pascalů = liber na čtverečný palec / 0.0001450377
torrů = pascalů * 0.007500616</t>
  </si>
  <si>
    <t>pascalů = torrů / 0.007500616</t>
  </si>
  <si>
    <t>pascalů = torrů / 0.007500616
technických atmosfér = pascalů * 0.00001019716</t>
  </si>
  <si>
    <t>pascalů = torrů / 0.007500616
fyzikálních atmosfér = pascalů * 0.000009869233</t>
  </si>
  <si>
    <t>pascalů = torrů / 0.007500616
barů = pascalů / 100000</t>
  </si>
  <si>
    <t>pascalů = torrů / 0.007500616
kilopascalů = pascalů / 1000</t>
  </si>
  <si>
    <t>pascalů = torrů / 0.007500616
milimetrů vodního sloupce = pascalů / 9.80665</t>
  </si>
  <si>
    <t>pascalů = torrů / 0.007500616
megapascalů = pascalů / 1000000</t>
  </si>
  <si>
    <t>pascalů = torrů / 0.007500616
liber na čtverečný palec = pascalů * 0.0001450377</t>
  </si>
  <si>
    <t>KONTROLOVAL :</t>
  </si>
  <si>
    <t>Kubinek</t>
  </si>
  <si>
    <t>DNE: 03.02.2011</t>
  </si>
  <si>
    <t>DNE: 05.02.2011</t>
  </si>
  <si>
    <t>DNE: 06.02.2011</t>
  </si>
  <si>
    <t>DNE: 09.02.2011</t>
  </si>
  <si>
    <t>DNE: 12.02.2011</t>
  </si>
  <si>
    <t>DNE: 16.02.2011</t>
  </si>
  <si>
    <t>DNE: 19.02.2011</t>
  </si>
  <si>
    <t>DNE: 20.02.2011</t>
  </si>
  <si>
    <t>DNE: 25.02.2011</t>
  </si>
  <si>
    <t>DNE: 26.02.2011</t>
  </si>
  <si>
    <t>DNE: 28.02.2011</t>
  </si>
  <si>
    <t>DNE: 02.03.2011</t>
  </si>
  <si>
    <t>Rozdíl</t>
  </si>
  <si>
    <t>Rozdíl v %</t>
  </si>
  <si>
    <t>DNE: 27.05.2011</t>
  </si>
  <si>
    <t>farad [F]</t>
  </si>
  <si>
    <t>milifarad [mF]</t>
  </si>
  <si>
    <t>nanofarad [nF]</t>
  </si>
  <si>
    <t>pikofarad [pF]</t>
  </si>
  <si>
    <t>mikrofarad [μF]</t>
  </si>
  <si>
    <t>mikrofaradů = faradů * 1 000 000</t>
  </si>
  <si>
    <t>mikrofaradů = faradů * 1 000 000
milifaradů = mikrofaradů / 1000</t>
  </si>
  <si>
    <t>mikrofaradů = faradů * 1 000 000
nanofaradů = mikrofaradů * 1000</t>
  </si>
  <si>
    <t>mikrofaradů = faradů * 1 000 000
pikofaradů = mikrofaradů * 1 000 000</t>
  </si>
  <si>
    <t>mikrofaradů = milifaradů * 1000</t>
  </si>
  <si>
    <t>mikrofaradů = milifaradů * 1000
faradů = mikrofaradů / 1 000 000</t>
  </si>
  <si>
    <t>mikrofaradů = milifaradů * 1000
nanofaradů = mikrofaradů * 1000</t>
  </si>
  <si>
    <t>mikrofaradů = milifaradů * 1000
pikofaradů = mikrofaradů * 1 000 000</t>
  </si>
  <si>
    <t>mikrofaradů = nanofaradů / 1000</t>
  </si>
  <si>
    <t>mikrofaradů = nanofaradů / 1000
faradů = mikrofaradů / 1 000 000</t>
  </si>
  <si>
    <t>mikrofaradů = nanofaradů / 1000
milifaradů = mikrofaradů / 1000</t>
  </si>
  <si>
    <t>mikrofaradů = nanofaradů / 1000
pikofaradů = mikrofaradů * 1 000 000</t>
  </si>
  <si>
    <t>pikofaradů = mikrofaradů * 1 000 000</t>
  </si>
  <si>
    <t>mikrofaradů = pikofaradů / 1 000 000</t>
  </si>
  <si>
    <t>mikrofaradů = pikofaradů / 1 000 000
faradů = mikrofaradů / 1 000 000</t>
  </si>
  <si>
    <t>mikrofaradů = pikofaradů / 1 000 000
milifaradů = mikrofaradů / 1000</t>
  </si>
  <si>
    <t>mikrofaradů = pikofaradů / 1 000 000
nanofaradů = mikrofaradů * 1000</t>
  </si>
  <si>
    <t>faradů = mikrofaradů / 1 000 000</t>
  </si>
  <si>
    <t>milifaradů = mikrofaradů / 1000</t>
  </si>
  <si>
    <t>nanofaradů = mikrofaradů * 1000</t>
  </si>
  <si>
    <t>kilosiemens [kS]</t>
  </si>
  <si>
    <t>milisiemens [mS]</t>
  </si>
  <si>
    <t>siemens [S]</t>
  </si>
  <si>
    <t>mikrosiemens [μS]</t>
  </si>
  <si>
    <t>siemensů = kilosiemensů * 1000</t>
  </si>
  <si>
    <t>siemensů = kilosiemensů * 1000
milisiemensů = siemensů * 1000</t>
  </si>
  <si>
    <t>siemensů = kilosiemensů * 1000
mikrosiemensů = siemensů * 1 000 000</t>
  </si>
  <si>
    <t>siemensů = milisiemensů / 1000</t>
  </si>
  <si>
    <t>kilosiemensů = siemensů / 1000</t>
  </si>
  <si>
    <t>milisiemensů = siemensů * 1000</t>
  </si>
  <si>
    <t>mikrosiemensů = siemensů * 1 000 000</t>
  </si>
  <si>
    <t>siemensů = milisiemensů / 1000
kilosiemensů = siemensů / 1000</t>
  </si>
  <si>
    <t>siemensů = milisiemensů / 1000
mikrosiemensů = siemensů * 1 000 000</t>
  </si>
  <si>
    <t>siemensů = mikrosiemensů / 1 000 000</t>
  </si>
  <si>
    <t>siemensů = mikrosiemensů / 1 000 000
kilosiemensů = siemensů / 1000</t>
  </si>
  <si>
    <t>siemensů = mikrosiemensů / 1 000 000
milisiemensů = siemensů * 1000</t>
  </si>
  <si>
    <t>DNE: 28.05.2011</t>
  </si>
  <si>
    <t>DNE: 29.05.2011</t>
  </si>
  <si>
    <t>kilovolt [kV]</t>
  </si>
  <si>
    <t>milivolt [mV]</t>
  </si>
  <si>
    <t>megavolt [MV]</t>
  </si>
  <si>
    <t>volt [V]</t>
  </si>
  <si>
    <t>mikrovolt [μV]</t>
  </si>
  <si>
    <t>voltů = kilovoltů * 1000</t>
  </si>
  <si>
    <t>voltů = kilovoltů * 1000
milivoltů = voltů * 1000</t>
  </si>
  <si>
    <t>voltů = kilovoltů * 1000
megavoltů = voltů / 1 000 000</t>
  </si>
  <si>
    <t>voltů = kilovoltů * 1000
mikrovoltů = voltů * 1 000 000</t>
  </si>
  <si>
    <t>voltů = milivoltů / 1000</t>
  </si>
  <si>
    <t>voltů = milivoltů / 1000
kilovoltů = voltů / 1000</t>
  </si>
  <si>
    <t>voltů = milivoltů / 1000
megavoltů = voltů / 1 000 000</t>
  </si>
  <si>
    <t>voltů = milivoltů / 1000
mikrovoltů = voltů * 1 000 000</t>
  </si>
  <si>
    <t>voltů = megavoltů * 1 000 000</t>
  </si>
  <si>
    <t>voltů = megavoltů * 1 000 000
kilovoltů = voltů / 1000</t>
  </si>
  <si>
    <t>voltů = megavoltů * 1 000 000
milivoltů = voltů * 1000</t>
  </si>
  <si>
    <t>voltů = megavoltů * 1 000 000
mikrovoltů = voltů * 1 000 000</t>
  </si>
  <si>
    <t>kilovoltů = voltů / 1000</t>
  </si>
  <si>
    <t>milivoltů = voltů * 1000</t>
  </si>
  <si>
    <t>megavoltů = voltů / 1 000 000</t>
  </si>
  <si>
    <t>mikrovoltů = voltů * 1 000 000</t>
  </si>
  <si>
    <t>voltů = mikrovoltů / 1 000 000</t>
  </si>
  <si>
    <t>voltů = mikrovoltů / 1 000 000
kilovoltů = voltů / 1000</t>
  </si>
  <si>
    <t>voltů = mikrovoltů / 1 000 000
megavoltů = voltů / 1 000 000</t>
  </si>
  <si>
    <t>voltů = mikrovoltů / 1 000 000
milivoltů = voltů * 1 000</t>
  </si>
  <si>
    <t>ampér hodina [Ah]</t>
  </si>
  <si>
    <t>ampér sekunda [As]</t>
  </si>
  <si>
    <t>coulomb [C]</t>
  </si>
  <si>
    <t>milicoulomb [mC]</t>
  </si>
  <si>
    <t>mikrocoulomb [μC]</t>
  </si>
  <si>
    <t xml:space="preserve">coulombů = ampér hodin * 3600
</t>
  </si>
  <si>
    <t>coulombů = ampér hodin * 3600
ampér sekund = coulombů</t>
  </si>
  <si>
    <t>coulombů = ampér hodin * 3600
milicoulobmů = coulombů * 1000</t>
  </si>
  <si>
    <t>coulombů = ampér hodin * 3600
mikrocoulobmů = coulombů * 1 000 000</t>
  </si>
  <si>
    <t xml:space="preserve">coulombů = ampér sekund
</t>
  </si>
  <si>
    <t>coulombů = ampér sekund
ampér hodin = coulombů / 3600</t>
  </si>
  <si>
    <t>coulombů = ampér sekund
milicoulobmů = coulombů * 1000</t>
  </si>
  <si>
    <t>coulombů = ampér sekund
mikrocoulobmů = coulombů * 1 000 000</t>
  </si>
  <si>
    <t>ampér hodin = coulombů / 3600</t>
  </si>
  <si>
    <t>ampér sekund = coulombů</t>
  </si>
  <si>
    <t>milicoulobmů = coulombů * 1000</t>
  </si>
  <si>
    <t>mikrocoulobmů = coulombů * 1 000 000</t>
  </si>
  <si>
    <t>coulombů = milicoulombů / 1000</t>
  </si>
  <si>
    <t>coulombů = milicoulombů / 1000
ampér hodin = coulombů / 3600</t>
  </si>
  <si>
    <t>coulombů = milicoulombů / 1000
ampér sekund = coulombů</t>
  </si>
  <si>
    <t>coulombů = milicoulombů / 1000
mikrocoulobmů = coulombů * 1 000 000</t>
  </si>
  <si>
    <t>coulombů = mikrocoulombů / 1 000 000</t>
  </si>
  <si>
    <t>coulombů = mikrocoulombů / 1 000 000
ampér hodin = coulombů / 3600</t>
  </si>
  <si>
    <t>coulombů = mikrocoulombů / 1 000 000
ampér sekund = coulombů</t>
  </si>
  <si>
    <t>coulombů = mikrocoulombů / 1 000 000
milicoulobmů = coulombů * 1000</t>
  </si>
  <si>
    <t>DNE: 31.05.2011</t>
  </si>
  <si>
    <t xml:space="preserve">kiloohm [kΩ] </t>
  </si>
  <si>
    <t>miliohm [mΩ]</t>
  </si>
  <si>
    <t>megaohm [MΩ]</t>
  </si>
  <si>
    <t>mikroohm [μΩ]</t>
  </si>
  <si>
    <t>ohm [Ω]</t>
  </si>
  <si>
    <t>ohmů = kiloohmů * 1000
miliohmů = ohmů * 1000</t>
  </si>
  <si>
    <t>ohmů = kiloohmů * 1000
mikroohmů = ohmů * 1 000 000</t>
  </si>
  <si>
    <t>ohmů = kiloohmů * 1000
megaohmů = ohmů / 1 000 000</t>
  </si>
  <si>
    <t>ohmů = kiloohmů * 1000</t>
  </si>
  <si>
    <t>ohmů = miliohmů / 1000</t>
  </si>
  <si>
    <t>ohmů = miliohmů / 1000
kiloohmů = ohmů / 1000</t>
  </si>
  <si>
    <t>ohmů = miliohmů / 1000
mikroohmů = ohmů * 1 000 000</t>
  </si>
  <si>
    <t>ohmů = miliohmů / 1000
megaohmů = ohmů / 1 000 000</t>
  </si>
  <si>
    <t>ohmů = megaohmů * 1 000 000</t>
  </si>
  <si>
    <t>ohmů = megaohmů * 1 000 000
kiloohmů = ohmů / 1000</t>
  </si>
  <si>
    <t>ohmů = megaohmů * 1 000 000
miliohmů = ohmů * 1000</t>
  </si>
  <si>
    <t>ohmů = megaohmů * 1 000 000
mikroohmů = ohmů * 1 000 000</t>
  </si>
  <si>
    <t>ohmů = mikroohmů / 1 000 000</t>
  </si>
  <si>
    <t>ohmů = mikroohmů / 1 000 000
kiloohmů = ohmů / 1000</t>
  </si>
  <si>
    <t>ohmů = mikroohmů / 1 000 000
miliohmů = ohmů * 1000</t>
  </si>
  <si>
    <t>ohmů = mikroohmů / 1 000 000
megaohmů = ohmů / 1 000 000</t>
  </si>
  <si>
    <t>miliohmů = ohmů * 1000</t>
  </si>
  <si>
    <t>mikroohmů = ohmů * 1 000 000</t>
  </si>
  <si>
    <t>megaohmů = ohmů / 1 000 000</t>
  </si>
  <si>
    <t>kiloohmů = ohmů / 1000</t>
  </si>
  <si>
    <t>DNE: 30.05.2011</t>
  </si>
  <si>
    <t>ampér [A]</t>
  </si>
  <si>
    <t>kiloampér [kA]</t>
  </si>
  <si>
    <t>miliampér [mA]</t>
  </si>
  <si>
    <t>mikroampér [μA]</t>
  </si>
  <si>
    <t>miliampérů = ampérů * 1000</t>
  </si>
  <si>
    <t>kiloampérů = ampérů / 1 000</t>
  </si>
  <si>
    <t>mikroampérů = ampérů * 1 000 000</t>
  </si>
  <si>
    <t xml:space="preserve">ampérů = kiloampérů * 1000
</t>
  </si>
  <si>
    <t>ampérů = kiloampérů * 1000
miliampérů = ampérů * 1000</t>
  </si>
  <si>
    <t>ampérů = kiloampérů * 1000
mikroampérů = ampérů * 1000000</t>
  </si>
  <si>
    <t>ampérů = miliampérů / 1000</t>
  </si>
  <si>
    <t>ampérů = miliampérů / 1000
kiloampérů = ampérů / 1 000</t>
  </si>
  <si>
    <t>ampérů = miliampérů / 1000
mikroampérů = ampérů * 1 000 000</t>
  </si>
  <si>
    <t>ampérů = mikroampérů / 1 000 000</t>
  </si>
  <si>
    <t>ampérů = mikroampérů / 1 000 000
miliampérů = ampérů * 1 000</t>
  </si>
  <si>
    <t>ampérů = mikroampérů / 1 000 000
kiloampérů = ampérů / 1 000</t>
  </si>
  <si>
    <t>DNE: 01.06.2011</t>
  </si>
  <si>
    <t>ampér na centimetr [A/cm]</t>
  </si>
  <si>
    <t>ampér na metr [A/m]</t>
  </si>
  <si>
    <t>ampér na milimetr [A/mm]</t>
  </si>
  <si>
    <t>kiloampér na metr [kA/m]</t>
  </si>
  <si>
    <t>ampérů na metr = ampérů na centimetr * 100</t>
  </si>
  <si>
    <t>ampérů na metr = ampérů na centimetr * 100
ampérů na milimetr = ampérů na metr / 1000</t>
  </si>
  <si>
    <t>ampérů na metr = ampérů na centimetr * 100
kiloampérů na metr = ampérů na metr / 1000</t>
  </si>
  <si>
    <t>ampérů na centimetr = ampérů na metr / 100</t>
  </si>
  <si>
    <t>ampérů na milimetr = ampérů na metr / 1000</t>
  </si>
  <si>
    <t>kiloampérů na metr = ampérů na metr / 1000</t>
  </si>
  <si>
    <t>ampérů na metr = ampérů na milimetr * 1000</t>
  </si>
  <si>
    <t>ampérů na metr = ampérů na milimetr * 1000
ampérů na centimetr = ampérů na metr / 100</t>
  </si>
  <si>
    <t>ampérů na metr = ampérů na milimetr * 1000
kiloampérů na metr = ampérů na metr / 1000</t>
  </si>
  <si>
    <t>ampérů na metr = kiloampérů na metr * 1000</t>
  </si>
  <si>
    <t>ampérů na metr = kiloampérů na metr * 1000
ampérů na centimetr = ampérů na metr / 100</t>
  </si>
  <si>
    <t>ampérů na metr = kiloampérů na metr * 1000
ampérů na milimetr = ampérů na metr / 1000</t>
  </si>
  <si>
    <t>lux [lx]</t>
  </si>
  <si>
    <t>lumen/m2 [lm/m2]</t>
  </si>
  <si>
    <t>lumenů na metr čtverečný = luxů</t>
  </si>
  <si>
    <t>luxů = lumenů na metr čtverečný</t>
  </si>
  <si>
    <t>militesla [mT]</t>
  </si>
  <si>
    <t>tesla [T]</t>
  </si>
  <si>
    <t>mikrotesla [μT]</t>
  </si>
  <si>
    <t>militesla = tesla * 1000</t>
  </si>
  <si>
    <t>tesla = militesla / 1000</t>
  </si>
  <si>
    <t>tesla = militesla / 1000
mikrotesla = tesla * 1 000 000</t>
  </si>
  <si>
    <t>tesla = mikrotesla / 1 000 000</t>
  </si>
  <si>
    <t>tesla = mikrotesla / 1 000 000
militesla = tesla * 1000</t>
  </si>
  <si>
    <t>mikrotesla = tesla * 1 000 000</t>
  </si>
  <si>
    <t>DNE: 02.06.2011</t>
  </si>
  <si>
    <t>miliweber [mWb]</t>
  </si>
  <si>
    <t>weber [Wb]</t>
  </si>
  <si>
    <t>weberů = miliweberů / 1000</t>
  </si>
  <si>
    <t>miliweberů = weberů * 1000</t>
  </si>
  <si>
    <t>miliwatt [mW]</t>
  </si>
  <si>
    <t>dBmW [dBm]</t>
  </si>
  <si>
    <t>dBW [dBW]</t>
  </si>
  <si>
    <t>kilowattů = koňských sil * 0.74569987158227022
miliwattů = kilowattů * 1 000 000</t>
  </si>
  <si>
    <t>kilowattů = kilopond metrů za sekundu * 9.80665 / 1000
miliwattů = kilowattů * 1 000 000</t>
  </si>
  <si>
    <t>miliwattů = kilowattů * 1 000 000</t>
  </si>
  <si>
    <t>kilowattů = wattů / 1000
miliwattů = kilowattů * 1 000 000</t>
  </si>
  <si>
    <t>kilowattů = miliwattů / 1 000 000
koňských sil = kilowattů / 0.74569987158227022</t>
  </si>
  <si>
    <t>kilowattů = miliwattů / 1 000 000
kilopond metrů za sekundu = kilowattů * 1000 / 9.80665</t>
  </si>
  <si>
    <t>kilowattů = miliwattů / 1 000 000</t>
  </si>
  <si>
    <t>kilowattů = miliwattů / 1 000 000
wattů = kilowattů * 1000</t>
  </si>
  <si>
    <t>Není číslo</t>
  </si>
  <si>
    <t>DNE: 03.06.2011</t>
  </si>
  <si>
    <t>Neplatný vstup pro log10</t>
  </si>
  <si>
    <t>kilowattů = (10^dBm/10) / 1 000 000
koňských sil = kilowattů / 0.74569987158227022</t>
  </si>
  <si>
    <t>kilowattů = (10^dBm/10) / 1 000 000
kilopond metrů za sekundu = kilowattů * 1000 / 9.80665</t>
  </si>
  <si>
    <t>kilowattů = (10^dBm/10) / 1 000 000</t>
  </si>
  <si>
    <t>kilowattů = (10^dBm/10) / 1 000 000
wattů = kilowattů * 1000</t>
  </si>
  <si>
    <t>kilowattů = (10^dBm/10) / 1 000 000
miliwattů = kilowattů * 1 000 000</t>
  </si>
  <si>
    <t>kilowattů = (10^dBW/10) / 1000
koňských sil = kilowattů / 0.74569987158227022</t>
  </si>
  <si>
    <t>kilowattů = (10^dBW/10) / 1000
kilopond metrů za sekundu = kilowattů * 1000 / 9.80665</t>
  </si>
  <si>
    <t>kilowattů = (10^dBW/10) / 1000</t>
  </si>
  <si>
    <t>kilowattů = (10^dBW/10) / 1000
wattů = kilowattů * 1000</t>
  </si>
  <si>
    <t>kilowattů = (10^dBW/10) / 1000
miliwattů = kilowattů * 1 000 000</t>
  </si>
  <si>
    <r>
      <t>kilowattů = koňských sil * 0.74569987158227022
dBW = 10*log</t>
    </r>
    <r>
      <rPr>
        <b/>
        <vertAlign val="subscript"/>
        <sz val="11"/>
        <color theme="3" tint="-0.249977111117893"/>
        <rFont val="Calibri"/>
        <family val="2"/>
        <charset val="238"/>
        <scheme val="minor"/>
      </rPr>
      <t>10</t>
    </r>
    <r>
      <rPr>
        <b/>
        <sz val="11"/>
        <color theme="3" tint="-0.249977111117893"/>
        <rFont val="Calibri"/>
        <family val="2"/>
        <charset val="238"/>
        <scheme val="minor"/>
      </rPr>
      <t>(kilowattů * 1000)</t>
    </r>
  </si>
  <si>
    <r>
      <t>kilowattů = kilopond metrů za sekundu * 9.80665 / 1000
dBW = 10*log</t>
    </r>
    <r>
      <rPr>
        <b/>
        <vertAlign val="subscript"/>
        <sz val="11"/>
        <color theme="3" tint="-0.249977111117893"/>
        <rFont val="Calibri"/>
        <family val="2"/>
        <charset val="238"/>
        <scheme val="minor"/>
      </rPr>
      <t>10</t>
    </r>
    <r>
      <rPr>
        <b/>
        <sz val="11"/>
        <color theme="3" tint="-0.249977111117893"/>
        <rFont val="Calibri"/>
        <family val="2"/>
        <charset val="238"/>
        <scheme val="minor"/>
      </rPr>
      <t>(kilowattů * 1000)</t>
    </r>
  </si>
  <si>
    <r>
      <t>dBW = 10*log</t>
    </r>
    <r>
      <rPr>
        <b/>
        <vertAlign val="subscript"/>
        <sz val="11"/>
        <color theme="3" tint="-0.249977111117893"/>
        <rFont val="Calibri"/>
        <family val="2"/>
        <charset val="238"/>
        <scheme val="minor"/>
      </rPr>
      <t>10</t>
    </r>
    <r>
      <rPr>
        <b/>
        <sz val="11"/>
        <color theme="3" tint="-0.249977111117893"/>
        <rFont val="Calibri"/>
        <family val="2"/>
        <charset val="238"/>
        <scheme val="minor"/>
      </rPr>
      <t>(kilowattů * 1000)</t>
    </r>
  </si>
  <si>
    <r>
      <t>kilowattů = wattů / 1000
dBW = 10*log</t>
    </r>
    <r>
      <rPr>
        <b/>
        <vertAlign val="subscript"/>
        <sz val="11"/>
        <color theme="3" tint="-0.249977111117893"/>
        <rFont val="Calibri"/>
        <family val="2"/>
        <charset val="238"/>
        <scheme val="minor"/>
      </rPr>
      <t>10</t>
    </r>
    <r>
      <rPr>
        <b/>
        <sz val="11"/>
        <color theme="3" tint="-0.249977111117893"/>
        <rFont val="Calibri"/>
        <family val="2"/>
        <charset val="238"/>
        <scheme val="minor"/>
      </rPr>
      <t>(kilowattů * 1000)</t>
    </r>
  </si>
  <si>
    <r>
      <t>kilowattů = miliwattů / 1 000 000
dBW = 10*log</t>
    </r>
    <r>
      <rPr>
        <b/>
        <vertAlign val="subscript"/>
        <sz val="11"/>
        <color theme="3" tint="-0.249977111117893"/>
        <rFont val="Calibri"/>
        <family val="2"/>
        <charset val="238"/>
        <scheme val="minor"/>
      </rPr>
      <t>10</t>
    </r>
    <r>
      <rPr>
        <b/>
        <sz val="11"/>
        <color theme="3" tint="-0.249977111117893"/>
        <rFont val="Calibri"/>
        <family val="2"/>
        <charset val="238"/>
        <scheme val="minor"/>
      </rPr>
      <t>(kilowattů * 1000)</t>
    </r>
  </si>
  <si>
    <r>
      <t>kilowattů = (10^dBm/10) / 1 000 000
dBW = 10*log</t>
    </r>
    <r>
      <rPr>
        <b/>
        <vertAlign val="subscript"/>
        <sz val="11"/>
        <color theme="3" tint="-0.249977111117893"/>
        <rFont val="Calibri"/>
        <family val="2"/>
        <charset val="238"/>
        <scheme val="minor"/>
      </rPr>
      <t>10</t>
    </r>
    <r>
      <rPr>
        <b/>
        <sz val="11"/>
        <color theme="3" tint="-0.249977111117893"/>
        <rFont val="Calibri"/>
        <family val="2"/>
        <charset val="238"/>
        <scheme val="minor"/>
      </rPr>
      <t>(kilowattů * 1000)</t>
    </r>
  </si>
  <si>
    <r>
      <t>kilowattů = (10^dBW/10) / 1000
dBm = 10*log</t>
    </r>
    <r>
      <rPr>
        <b/>
        <vertAlign val="subscript"/>
        <sz val="11"/>
        <color theme="3" tint="-0.249977111117893"/>
        <rFont val="Calibri"/>
        <family val="2"/>
        <charset val="238"/>
        <scheme val="minor"/>
      </rPr>
      <t>10</t>
    </r>
    <r>
      <rPr>
        <b/>
        <sz val="11"/>
        <color theme="3" tint="-0.249977111117893"/>
        <rFont val="Calibri"/>
        <family val="2"/>
        <charset val="238"/>
        <scheme val="minor"/>
      </rPr>
      <t>(kilowattů * 1 000 000)</t>
    </r>
  </si>
  <si>
    <r>
      <t>kilowattů = miliwattů / 1 000 000
dBm = 10*log</t>
    </r>
    <r>
      <rPr>
        <b/>
        <vertAlign val="subscript"/>
        <sz val="11"/>
        <color theme="3" tint="-0.249977111117893"/>
        <rFont val="Calibri"/>
        <family val="2"/>
        <charset val="238"/>
        <scheme val="minor"/>
      </rPr>
      <t>10</t>
    </r>
    <r>
      <rPr>
        <b/>
        <sz val="11"/>
        <color theme="3" tint="-0.249977111117893"/>
        <rFont val="Calibri"/>
        <family val="2"/>
        <charset val="238"/>
        <scheme val="minor"/>
      </rPr>
      <t>(kilowattů * 1 000 000)</t>
    </r>
  </si>
  <si>
    <r>
      <t>kilowattů = wattů / 1000
dBm = 10*log</t>
    </r>
    <r>
      <rPr>
        <b/>
        <vertAlign val="subscript"/>
        <sz val="11"/>
        <color theme="3" tint="-0.249977111117893"/>
        <rFont val="Calibri"/>
        <family val="2"/>
        <charset val="238"/>
        <scheme val="minor"/>
      </rPr>
      <t>10</t>
    </r>
    <r>
      <rPr>
        <b/>
        <sz val="11"/>
        <color theme="3" tint="-0.249977111117893"/>
        <rFont val="Calibri"/>
        <family val="2"/>
        <charset val="238"/>
        <scheme val="minor"/>
      </rPr>
      <t>(kilowattů * 1 000 000)</t>
    </r>
  </si>
  <si>
    <r>
      <t>dBm = 10*log</t>
    </r>
    <r>
      <rPr>
        <b/>
        <vertAlign val="subscript"/>
        <sz val="11"/>
        <color theme="3" tint="-0.249977111117893"/>
        <rFont val="Calibri"/>
        <family val="2"/>
        <charset val="238"/>
        <scheme val="minor"/>
      </rPr>
      <t>10</t>
    </r>
    <r>
      <rPr>
        <b/>
        <sz val="11"/>
        <color theme="3" tint="-0.249977111117893"/>
        <rFont val="Calibri"/>
        <family val="2"/>
        <charset val="238"/>
        <scheme val="minor"/>
      </rPr>
      <t>(kilowattů * 1 000 000)</t>
    </r>
  </si>
  <si>
    <r>
      <t>kilowattů = kilopond metrů za sekundu * 9.80665 / 1000
dBm = 10*log</t>
    </r>
    <r>
      <rPr>
        <b/>
        <vertAlign val="subscript"/>
        <sz val="11"/>
        <color theme="3" tint="-0.249977111117893"/>
        <rFont val="Calibri"/>
        <family val="2"/>
        <charset val="238"/>
        <scheme val="minor"/>
      </rPr>
      <t>10</t>
    </r>
    <r>
      <rPr>
        <b/>
        <sz val="11"/>
        <color theme="3" tint="-0.249977111117893"/>
        <rFont val="Calibri"/>
        <family val="2"/>
        <charset val="238"/>
        <scheme val="minor"/>
      </rPr>
      <t>(kilowattů * 1 000 000)</t>
    </r>
  </si>
  <si>
    <r>
      <t>kilowattů = koňských sil * 0.74569987158227022
dBm = 10*log</t>
    </r>
    <r>
      <rPr>
        <b/>
        <vertAlign val="subscript"/>
        <sz val="11"/>
        <color theme="3" tint="-0.249977111117893"/>
        <rFont val="Calibri"/>
        <family val="2"/>
        <charset val="238"/>
        <scheme val="minor"/>
      </rPr>
      <t>10</t>
    </r>
    <r>
      <rPr>
        <b/>
        <sz val="11"/>
        <color theme="3" tint="-0.249977111117893"/>
        <rFont val="Calibri"/>
        <family val="2"/>
        <charset val="238"/>
        <scheme val="minor"/>
      </rPr>
      <t>(kilowattů * 1 000 000)</t>
    </r>
  </si>
  <si>
    <t>litr za hodinu [l/h]</t>
  </si>
  <si>
    <t>litrů za sekundu = metrů krychlových za sekundu * 1000
litrů za hodinu = litrů za sekundu * 3600</t>
  </si>
  <si>
    <t>litr za minutu [l/min]</t>
  </si>
  <si>
    <t>litrů za sekundu = metrů krychlových za sekundu * 1000
litrů za minutu = litrů za sekundu * 60</t>
  </si>
  <si>
    <t>litrů za hodinu = litrů za sekundu * 3600</t>
  </si>
  <si>
    <t>litrů za minutu = litrů za sekundu * 60</t>
  </si>
  <si>
    <t>stopa krychlová za minutu [cf/min]</t>
  </si>
  <si>
    <t>stopa krychlová za hodinu [cf/h]</t>
  </si>
  <si>
    <t>stop krychlových za sekundu = metrů krychlových za sekundu / 0.3048^3
stop krychlových za hodinu = stop krychlových za sekundu * 3600</t>
  </si>
  <si>
    <t>stop krychlových za sekundu = metrů krychlových za sekundu / 0.3048^3
stop krychlových za minutu = stop krychlových za sekundu * 60</t>
  </si>
  <si>
    <t>stopa krychlová za sekundu [cf/s]</t>
  </si>
  <si>
    <t>stop krychlových za sekundu = metrů krychlových za sekundu / 0.3048^3</t>
  </si>
  <si>
    <t>stop krychlových za sekundu = litrů za sekundu /  ( 0.3048^3 *1000)
stop krychlových za minutu = stop krychlových za sekundu * 60</t>
  </si>
  <si>
    <t>stop krychlových za sekundu = litrů za sekundu / ( 0.3048^3 *1000)</t>
  </si>
  <si>
    <t>litrů za hodinu = metrů krychlových za hodinu * 1000</t>
  </si>
  <si>
    <t xml:space="preserve"> litr za minutu [l/min]</t>
  </si>
  <si>
    <t>litrů za hodinu = metrů krychlových za hodinu * 1000
litrů za minutu = litrů za hodinu /60</t>
  </si>
  <si>
    <t>litrů za minutu = metrů krychlových za minutu * 1000</t>
  </si>
  <si>
    <t>litrů za minutu = metrů krychlových za minutu * 1000
litrů za hodinu = litrů za minutu * 60</t>
  </si>
  <si>
    <t xml:space="preserve">stop krychlových za hodinu = metrů krychlových za hodinu / 0.3048^3 </t>
  </si>
  <si>
    <t>stop krychlových za hodinu = metrů krychlových za hodinu / 0.3048^3 
stop krychlových za minutu = stopa krychlová za hodinu / 60</t>
  </si>
  <si>
    <t>stop krychlových za hodinu = metrů krychlových za hodinu / 0.3048^3 
stop krychlových za sekundu = stopa krychlová za hodinu / 3600</t>
  </si>
  <si>
    <t>stop krychlových za minutu = metrů krychlových za minutu / 0,3048^3
stop krychlových za hodinu = stop krychlových za minutu * 60</t>
  </si>
  <si>
    <t>stop krychlových za minutu = metrů krychlových za minutu / 0,3048^3</t>
  </si>
  <si>
    <t>stop krychlových za minutu = metrů krychlových za minutu / 0,3048^3
stop krychlových za sekundu = stop krychlových za minutu / 60</t>
  </si>
  <si>
    <t>litrů za minutu = litrů za hodinu / 60</t>
  </si>
  <si>
    <t>litrů za sekundu = litrů za hodinu / 3600</t>
  </si>
  <si>
    <t>litrů za sekundu = litrů za minutu / 60</t>
  </si>
  <si>
    <t>metrů krychlových za hodinu = litrů za hodinu / 1000</t>
  </si>
  <si>
    <t>metrů krychlových za hodinu = litrů za hodinu / 1000
metrů krychlových za minutu = metrů krychlových za hodinu / 60</t>
  </si>
  <si>
    <t>metrů krychlových za hodinu = litrů za hodinu / 1000
metrů krychlových za sekundu = metrů krychlových za hodinu / 3600</t>
  </si>
  <si>
    <t>stop krychlových za sekundu = litrů za sekundu / (0.3048^3 *1000)
stop krychlových za hodinu = stop krychlových za sekundu * 3600</t>
  </si>
  <si>
    <t>stop krychlových za hodinu = litrů za hodinu / (0.3048^3 *1000)</t>
  </si>
  <si>
    <t>stop krychlových za hodinu = litrů za hodinu / (0.3048^3 *1000)
stop krychlových za minutu = stop krychlových za hodinu / 60</t>
  </si>
  <si>
    <t>stop krychlových za hodinu = litrů za hodinu / (0.3048^3 *1000)
stop krychlových za sekundu = stop krychlových za hodinu / 3600</t>
  </si>
  <si>
    <t>metrů krychlových za minutu = litrů za minutu / 1000
metrů krychlových za hodinu = metrů krychlových za minutu * 60</t>
  </si>
  <si>
    <t>metrů krychlových za minutu = litrů za minutu / 1000</t>
  </si>
  <si>
    <t>metrů krychlových za minutu = litrů za minutu / 1000
metrů krychlových za sekundu = metrů krychlových za minutu / 60</t>
  </si>
  <si>
    <t>stop krychlových za minutu = litrů za minutu / (0.3048^3 *1000)
stop krychlových za hodinu = stop krychlových za minutu * 60</t>
  </si>
  <si>
    <t>stop krychlových za minutu = litrů za minutu / (0.3048^3 *1000)</t>
  </si>
  <si>
    <t>stop krychlových za minutu = litrů za minutu / (0.3048^3 *1000)
stop krychlových za sekundu = stop krychlových za minutu / 60</t>
  </si>
  <si>
    <t>litrů za hodinu = litrů za minutu * 60</t>
  </si>
  <si>
    <t>litrů za hodinu = stop krychlových za hodinu * (0.3048^3 *1000)</t>
  </si>
  <si>
    <t>stop krychlových za minutu = stop krychlových za hodinu / 60</t>
  </si>
  <si>
    <t>stop krychlových za sekundu = stop krychlových za hodinu / 3600</t>
  </si>
  <si>
    <t>litrů za hodinu = stop krychlových za hodinu * (0.3048^3 *1000)
litrů za minutu = litrů za hodinu / 60</t>
  </si>
  <si>
    <t>litrů za hodinu = stop krychlových za hodinu * (0.3048^3 *1000)
litrů za sekundu = litrů za hodinu / 3600</t>
  </si>
  <si>
    <t xml:space="preserve">metrů krychlových za hodinu = stop krychlových za hodinu * 0.3048^3 </t>
  </si>
  <si>
    <t>metrů krychlových za hodinu = stop krychlových za hodinu * 0.3048^3 
metrů krychlových za sekundu = metrů krychlových za hodinu / 3600</t>
  </si>
  <si>
    <t>metrů krychlových za hodinu = stop krychlových za hodinu * 0.3048^3 
metrů krychlových za minutu = metrů krychlových za hodinu / 60</t>
  </si>
  <si>
    <t>stop krychlových za hodinu = stop krychlových za minutu * 60</t>
  </si>
  <si>
    <t>stop krychlových za sekundu = stop krychlových za minutu / 60</t>
  </si>
  <si>
    <t>litrů za minutu = stop krychlových za minutu * (0.3048^3 *1000)
litrů za hodinu = litrů za minutu * 60</t>
  </si>
  <si>
    <t>litrů za minutu = stop krychlových za minutu * (0.3048^3 *1000)</t>
  </si>
  <si>
    <t>litrů za minutu = stop krychlových za minutu * (0.3048^3 *1000)
litrů za sekundu = litrů za minutu / 60</t>
  </si>
  <si>
    <t xml:space="preserve">metrů krychlových za minutu = stop krychlových za minutu * 0.3048^3 </t>
  </si>
  <si>
    <t>metrů krychlových za minutu = stop krychlových za minutu * 0.3048^3 
metrů krychlových za sekundu = metrů krychlových za minutu / 60</t>
  </si>
  <si>
    <t>stop krychlových za hodinu = stop krychlových za sekundu * 3600</t>
  </si>
  <si>
    <t>stop krychlových za minutu = stop krychlových za sekundu * 60</t>
  </si>
  <si>
    <t>litrů za sekundu = stop krychlových za sekundu * (0.3048^3 *1000)
litrů za hodinu = litrů za sekundu * 3600</t>
  </si>
  <si>
    <t>litrů za sekundu = stop krychlových za sekundu * (0.3048^3 *1000)
litrů za minutu = litrů za sekundu * 60</t>
  </si>
  <si>
    <t>litrů za sekundu = stop krychlových za sekundu * (0.3048^3 *1000)</t>
  </si>
  <si>
    <t xml:space="preserve">metrů krychlových za hodinu = stop krychlových za hodinu * 0.3048^3
metrů krychlových za hodinu = metrů krychlových za minutu * 60 </t>
  </si>
  <si>
    <t xml:space="preserve">metrů krychlových za sekundu = stop krychlových za sekundu * 0.3048^3
metrů krychlových za hodinu = metrů krychlových za sekundu * 3600 </t>
  </si>
  <si>
    <t>metrů krychlových za sekundu = stop krychlových za sekundu * 0.3048^3
metrů krychlových za minutu = metrů krychlových za sekundu * 60</t>
  </si>
  <si>
    <t xml:space="preserve">metrů krychlových za sekundu = stop krychlových za sekundu * 0.3048^3 </t>
  </si>
  <si>
    <t>m3/s</t>
  </si>
  <si>
    <t>cf/h</t>
  </si>
  <si>
    <t>cf/s</t>
  </si>
  <si>
    <t>l/s</t>
  </si>
  <si>
    <t>l/min</t>
  </si>
  <si>
    <t>cf/min</t>
  </si>
  <si>
    <t>l/h</t>
  </si>
  <si>
    <t>m3/h</t>
  </si>
  <si>
    <t>m3/min</t>
  </si>
  <si>
    <t>Teplota - zadání</t>
  </si>
  <si>
    <t>Tlak - zadání</t>
  </si>
  <si>
    <t>Průtok - zadání</t>
  </si>
  <si>
    <t>Teplota - výsledek</t>
  </si>
  <si>
    <t>Tlak - výsledek</t>
  </si>
  <si>
    <t>kPa</t>
  </si>
  <si>
    <t>Tlak - zadání v Pa</t>
  </si>
  <si>
    <t>Teplota zadání v K</t>
  </si>
  <si>
    <t>Tlak - výsledek v Pa</t>
  </si>
  <si>
    <t>atm</t>
  </si>
  <si>
    <t>°C</t>
  </si>
  <si>
    <t>F</t>
  </si>
  <si>
    <t>Teplota - výsledek v K</t>
  </si>
  <si>
    <t>Nm3/s</t>
  </si>
  <si>
    <t>Nm3/h</t>
  </si>
  <si>
    <t xml:space="preserve">Výsledná hodnota </t>
  </si>
  <si>
    <t>v požadovaných jednotkách</t>
  </si>
  <si>
    <t>Nm3/min</t>
  </si>
  <si>
    <t>mmH2O</t>
  </si>
  <si>
    <t>K</t>
  </si>
  <si>
    <t>Torr</t>
  </si>
  <si>
    <t>psi</t>
  </si>
  <si>
    <t>bar</t>
  </si>
  <si>
    <t>m</t>
  </si>
  <si>
    <t>Tlak v Pa</t>
  </si>
  <si>
    <t>pN=</t>
  </si>
  <si>
    <t>Pa</t>
  </si>
  <si>
    <t>TN=</t>
  </si>
  <si>
    <t>R=</t>
  </si>
  <si>
    <t>N·m /(mol·K)</t>
  </si>
  <si>
    <t>G=</t>
  </si>
  <si>
    <r>
      <t>m/s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</si>
  <si>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M =</t>
  </si>
  <si>
    <t>kg/mol</t>
  </si>
  <si>
    <t>Nadmořská výška v m</t>
  </si>
  <si>
    <t>POROVNÁNÍ HODNOT ZÍSKANÝCH POUŽITÍM PROGRAMU VIKLAN: JEDNOTKY A BĚŽNÝM VÝPOČTEM (PŘEVOD Z NORMÁLNÍHO STAVU)</t>
  </si>
  <si>
    <t>POROVNÁNÍ HODNOT ZÍSKANÝCH POUŽITÍM PROGRAMU VIKLAN: JEDNOTKY A BĚŽNÝM VÝPOČTEM (PŘEVOD DO NORMÁLNÍHO STAVU)</t>
  </si>
  <si>
    <t>Pomocné konstanty</t>
  </si>
  <si>
    <t>POROVNÁNÍ HODNOT VYPOČTENÉ NADMOŘSKÉ VÝŠKY POUŽITÍM PROGRAMU VIKLAN S BĚŽNÝM VÝPOČTEM</t>
  </si>
  <si>
    <t>POROVNÁNÍ HODNOT VYPOČTENÉHO ATMOSFÉRICKÉHO TLAKU POUŽITÍM PROGRAMU VIKLAN S BĚŽNÝM VÝPOČTEM</t>
  </si>
  <si>
    <t>DNE: 01.10.2015</t>
  </si>
  <si>
    <t>Žáková Lenka</t>
  </si>
  <si>
    <t>milibar [mbar]</t>
  </si>
  <si>
    <t>mbarů = pascalů /100</t>
  </si>
  <si>
    <t>pascalů = technických atmosfér / 0.00001019716
mbarů = pascalů/100</t>
  </si>
  <si>
    <t>pascalů = fyzikálních atmosfér / 0.000009869233
mbarů = pascalů/100</t>
  </si>
  <si>
    <t>pascalů = kilopascalů * 1000
mbarů = pascalů/100</t>
  </si>
  <si>
    <t>mbar = bar*1000</t>
  </si>
  <si>
    <t>pascalů = milimetrů vodního sloupce * 9.80665
mbarů = pascalů/100</t>
  </si>
  <si>
    <t>pascalů = megapascalů * 1000000
mbarů = pascalů/100</t>
  </si>
  <si>
    <t>pascalů = liber na čtverečný palec / 0.0001450377
mbarů = pascalů/100</t>
  </si>
  <si>
    <t>pascalů = torrů / 0.007500616
mbarů = pascalů/100</t>
  </si>
  <si>
    <t>pascalů = mbarů*100
technických atmosfér = pascalů * 0.00001019716</t>
  </si>
  <si>
    <t>pascalů = mbarů*100</t>
  </si>
  <si>
    <t>pascalů = mbarů*100
fyzikálních atmosfér = pascalů * 0.000009869233</t>
  </si>
  <si>
    <t>barů = mbarů/1000</t>
  </si>
  <si>
    <t>pascalů = mbarů*100
kilopascalů = pascalů / 1000</t>
  </si>
  <si>
    <t>pascalů = mbarů*100
milimetrů vodního sloupce = pascalů / 9.80665</t>
  </si>
  <si>
    <t>pascalů = mbarů*100
megapascalů = pascalů / 1000000</t>
  </si>
  <si>
    <t>pascalů = mbarů*100
liber na čtverečný palec = pascalů * 0.0001450377</t>
  </si>
  <si>
    <t>pascalů = mbarů*100
torrů = pascalů*0.007500616</t>
  </si>
  <si>
    <t>inch vodního sloupce [inH2O]</t>
  </si>
  <si>
    <t>inH2O = pascalů /(25.4*9.80665)</t>
  </si>
  <si>
    <t>pascalů = technických atmosfér / 0.00001019716
inH2O = pascalů/(25.4*9.80665)</t>
  </si>
  <si>
    <t>pascalů = fyzikálních atmosfér / 0.000009869233
inH2O = pascalů/(25.4*9.80665)</t>
  </si>
  <si>
    <t>pascalů = bar*100000
inH2O=pascalů/(25.4*9.80665)</t>
  </si>
  <si>
    <t>pascalů = kilopascalů * 1000
inH2O = pascalů/(25.4*9.80665)</t>
  </si>
  <si>
    <t>pascalů = milimetrů vodního sloupce * 9.80665
inH2O = pascalů/(25.4*9.80665)</t>
  </si>
  <si>
    <t>pascalů = megapascalů * 1000000
inH2O = pascalů/(25.4*9.80665)</t>
  </si>
  <si>
    <t>pascalů = liber na čtverečný palec / 0.0001450377
inH2O = pascalů/(25.4*9.80665)</t>
  </si>
  <si>
    <t>pascalů = torrů / 0.007500616
inH2O = pascalů/(25.4*9.80665)</t>
  </si>
  <si>
    <t>pascalů = mbarů*100
inH2O = pascalů/(25.4*9.80665)</t>
  </si>
  <si>
    <t>pascalů = inH2O*(25.4*9.80665)</t>
  </si>
  <si>
    <t>pascalů = inH2O*(25.4*9.80665)
torrů=pascalů*0.007500616</t>
  </si>
  <si>
    <t>pascalů = inH2O*(25.4*9.80665)
mbarů= pascalů/100</t>
  </si>
  <si>
    <t>pascalů= inH2O * (25.4*9.80665)
liber na čtverečný palec = pascalů*0.0001450377</t>
  </si>
  <si>
    <t>pascalů = inH2O*(25.4*9.80665)
megapascalů = pascalů / 1000000</t>
  </si>
  <si>
    <t>pascalů = inH2O*(25.4*9.80665)
milimetrů vodního sloupce = pascalů / 9.80665</t>
  </si>
  <si>
    <t>pascalů = inH2O*(25.4*9.80665)
kilopascalů = pascalů / 1000</t>
  </si>
  <si>
    <t>pascalů = inH2O*(25.4*9.80665)
barů = pascalů/100000</t>
  </si>
  <si>
    <t>pascalů = inH2O*(25.4*9.80665)
fyzikálních atmosfér = pascalů * 0.000009869233</t>
  </si>
  <si>
    <t>pascalů = inH2O*(25.4*9.80665)
technických atmosfér = pascalů * 0.00001019716</t>
  </si>
  <si>
    <t>mm rtuťového sloupce [mm Hg]</t>
  </si>
  <si>
    <t>mm Hg = pascalů * 0.007500616</t>
  </si>
  <si>
    <t>pascalů = technických atmosfér / 0.00001019716
mm Hg = pascalů * 0.007500616</t>
  </si>
  <si>
    <t>pascalů = fyzikálních atmosfér / 0.000009869233
mm Hg = pascalů * 0.007500616</t>
  </si>
  <si>
    <t>pascalů = barů * 100000
mm Hg = pascalů * 0.007500616</t>
  </si>
  <si>
    <t>pascalů = kilopascalů * 1000
mm Hg = pascalů * 0.007500616</t>
  </si>
  <si>
    <t>pascalů = milimetrů vodního sloupce * 9.80665
mm Hg = pascalů * 0.007500616</t>
  </si>
  <si>
    <t>pascalů = megapascalů * 1000000
mm Hg = pascalů * 0.007500616</t>
  </si>
  <si>
    <t>pascalů = liber na čtverečný palec / 0.0001450377
mm Hg = pascalů * 0.007500616</t>
  </si>
  <si>
    <t>pascalů = mbarů*100
mm Hg = pascalů*0.007500616</t>
  </si>
  <si>
    <t>pascalů = inH2O*(25.4*9.80665)
mm Hg = pascalů*0.007500616</t>
  </si>
  <si>
    <t>pascalů = mm Hg / 0.007500616
inH2O = pascalů/(25.4*9.80665)</t>
  </si>
  <si>
    <t>pascalů = mm Hg / 0.007500616
mbarů = pascalů/100</t>
  </si>
  <si>
    <t>pascalů = mm Hg / 0.007500616
liber na čtverečný palec = pascalů * 0.0001450377</t>
  </si>
  <si>
    <t>pascalů = mm Hg / 0.007500616
megapascalů = pascalů / 1000000</t>
  </si>
  <si>
    <t>pascalů = mm Hg / 0.007500616
milimetrů vodního sloupce = pascalů / 9.80665</t>
  </si>
  <si>
    <t>pascalů = mm Hg / 0.007500616
kilopascalů = pascalů / 1000</t>
  </si>
  <si>
    <t>pascalů = mm Hg / 0.007500616
technických atmosfér = pascalů * 0.00001019716</t>
  </si>
  <si>
    <t>pascalů = mm Hg / 0.007500616</t>
  </si>
  <si>
    <t>pascalů = mm Hg / 0.007500616
fyzikálních atmosfér = pascalů * 0.000009869233</t>
  </si>
  <si>
    <t>pascalů = mm Hg / 0.007500616
barů = pascalů / 100000</t>
  </si>
  <si>
    <t>pascalů = torrů/0.007500616
mm Hg = pascalů*0.007500616</t>
  </si>
  <si>
    <t>pascalů = mm Hg/0.007500616
torrů = pascalů*0.007500616</t>
  </si>
  <si>
    <t>Mackeová</t>
  </si>
  <si>
    <t>DNE: 18.12.2019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</si>
</sst>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164" formatCode="0.0000000000"/>
    <numFmt numFmtId="165" formatCode="#,##0.00000"/>
    <numFmt numFmtId="166" formatCode="0.0000"/>
    <numFmt numFmtId="167" formatCode="0.00000"/>
    <numFmt numFmtId="168" formatCode="#,##0.0000"/>
    <numFmt numFmtId="169" formatCode="0.000"/>
    <numFmt numFmtId="170" formatCode="0.000000000000000"/>
    <numFmt numFmtId="171" formatCode="0.0000000000000000"/>
    <numFmt numFmtId="172" formatCode="0.0"/>
    <numFmt numFmtId="173" formatCode="0.0000000000000"/>
    <numFmt numFmtId="174" formatCode="0.00000000000000"/>
    <numFmt numFmtId="175" formatCode="0.00000000000000000000"/>
    <numFmt numFmtId="176" formatCode="0.0000000000000000000"/>
    <numFmt numFmtId="177" formatCode="0.00000000000000000"/>
    <numFmt numFmtId="178" formatCode="0.000000000000000000"/>
    <numFmt numFmtId="179" formatCode="0.000000000000000000000000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3" tint="-0.249977111117893"/>
      <name val="Calibri"/>
      <family val="2"/>
      <charset val="238"/>
      <scheme val="minor"/>
    </font>
    <font>
      <sz val="11"/>
      <color theme="3" tint="-0.249977111117893"/>
      <name val="Calibri"/>
      <family val="2"/>
      <charset val="238"/>
      <scheme val="minor"/>
    </font>
    <font>
      <b/>
      <sz val="8"/>
      <color theme="3" tint="-0.249977111117893"/>
      <name val="Calibri"/>
      <family val="2"/>
      <charset val="238"/>
      <scheme val="minor"/>
    </font>
    <font>
      <sz val="11"/>
      <color theme="3" tint="-0.249977111117893"/>
      <name val="Calibri"/>
      <family val="2"/>
      <charset val="238"/>
    </font>
    <font>
      <b/>
      <sz val="2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i/>
      <sz val="11"/>
      <color theme="3" tint="-0.249977111117893"/>
      <name val="Calibri"/>
      <family val="2"/>
      <charset val="238"/>
      <scheme val="minor"/>
    </font>
    <font>
      <b/>
      <vertAlign val="subscript"/>
      <sz val="11"/>
      <color theme="3" tint="-0.249977111117893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4D9FC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48">
    <xf numFmtId="0" fontId="0" fillId="0" borderId="0" xfId="0"/>
    <xf numFmtId="4" fontId="0" fillId="0" borderId="0" xfId="0" applyNumberFormat="1"/>
    <xf numFmtId="49" fontId="0" fillId="0" borderId="0" xfId="0" applyNumberFormat="1"/>
    <xf numFmtId="49" fontId="2" fillId="0" borderId="0" xfId="0" applyNumberFormat="1" applyFont="1"/>
    <xf numFmtId="0" fontId="2" fillId="0" borderId="0" xfId="0" applyFont="1"/>
    <xf numFmtId="49" fontId="0" fillId="0" borderId="0" xfId="0" applyNumberFormat="1" applyAlignment="1">
      <alignment horizontal="right"/>
    </xf>
    <xf numFmtId="49" fontId="2" fillId="0" borderId="0" xfId="0" applyNumberFormat="1" applyFont="1" applyAlignment="1">
      <alignment horizontal="right"/>
    </xf>
    <xf numFmtId="0" fontId="3" fillId="0" borderId="0" xfId="0" applyFont="1"/>
    <xf numFmtId="49" fontId="2" fillId="0" borderId="0" xfId="0" applyNumberFormat="1" applyFont="1" applyBorder="1" applyAlignment="1">
      <alignment horizontal="right"/>
    </xf>
    <xf numFmtId="49" fontId="0" fillId="0" borderId="0" xfId="0" applyNumberFormat="1" applyFill="1" applyBorder="1" applyAlignment="1">
      <alignment horizontal="right"/>
    </xf>
    <xf numFmtId="49" fontId="2" fillId="0" borderId="0" xfId="0" applyNumberFormat="1" applyFont="1" applyFill="1" applyBorder="1" applyAlignment="1">
      <alignment horizontal="right"/>
    </xf>
    <xf numFmtId="0" fontId="1" fillId="0" borderId="0" xfId="0" applyFont="1"/>
    <xf numFmtId="164" fontId="2" fillId="0" borderId="0" xfId="0" applyNumberFormat="1" applyFont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164" fontId="4" fillId="7" borderId="1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1" fontId="1" fillId="0" borderId="0" xfId="0" applyNumberFormat="1" applyFont="1"/>
    <xf numFmtId="49" fontId="4" fillId="4" borderId="2" xfId="0" applyNumberFormat="1" applyFont="1" applyFill="1" applyBorder="1" applyAlignment="1">
      <alignment horizontal="center" wrapText="1"/>
    </xf>
    <xf numFmtId="49" fontId="4" fillId="4" borderId="13" xfId="0" applyNumberFormat="1" applyFont="1" applyFill="1" applyBorder="1" applyAlignment="1">
      <alignment horizontal="center" wrapText="1"/>
    </xf>
    <xf numFmtId="175" fontId="5" fillId="0" borderId="6" xfId="0" applyNumberFormat="1" applyFont="1" applyFill="1" applyBorder="1" applyAlignment="1">
      <alignment horizontal="center"/>
    </xf>
    <xf numFmtId="170" fontId="5" fillId="0" borderId="6" xfId="0" applyNumberFormat="1" applyFont="1" applyFill="1" applyBorder="1" applyAlignment="1">
      <alignment horizontal="center"/>
    </xf>
    <xf numFmtId="175" fontId="5" fillId="0" borderId="0" xfId="0" applyNumberFormat="1" applyFont="1" applyBorder="1" applyAlignment="1">
      <alignment horizontal="center"/>
    </xf>
    <xf numFmtId="170" fontId="5" fillId="0" borderId="1" xfId="0" applyNumberFormat="1" applyFont="1" applyFill="1" applyBorder="1" applyAlignment="1">
      <alignment horizontal="center"/>
    </xf>
    <xf numFmtId="0" fontId="4" fillId="6" borderId="23" xfId="0" applyFont="1" applyFill="1" applyBorder="1" applyAlignment="1">
      <alignment horizontal="center"/>
    </xf>
    <xf numFmtId="3" fontId="1" fillId="10" borderId="6" xfId="0" applyNumberFormat="1" applyFont="1" applyFill="1" applyBorder="1" applyAlignment="1">
      <alignment horizontal="center"/>
    </xf>
    <xf numFmtId="3" fontId="1" fillId="10" borderId="4" xfId="0" applyNumberFormat="1" applyFont="1" applyFill="1" applyBorder="1" applyAlignment="1">
      <alignment horizontal="center"/>
    </xf>
    <xf numFmtId="165" fontId="1" fillId="10" borderId="5" xfId="0" applyNumberFormat="1" applyFont="1" applyFill="1" applyBorder="1" applyAlignment="1">
      <alignment horizontal="center"/>
    </xf>
    <xf numFmtId="168" fontId="1" fillId="10" borderId="5" xfId="0" applyNumberFormat="1" applyFont="1" applyFill="1" applyBorder="1" applyAlignment="1">
      <alignment horizontal="center"/>
    </xf>
    <xf numFmtId="1" fontId="1" fillId="10" borderId="15" xfId="0" applyNumberFormat="1" applyFont="1" applyFill="1" applyBorder="1" applyAlignment="1">
      <alignment horizontal="center"/>
    </xf>
    <xf numFmtId="0" fontId="1" fillId="10" borderId="15" xfId="0" applyNumberFormat="1" applyFont="1" applyFill="1" applyBorder="1" applyAlignment="1">
      <alignment horizontal="center"/>
    </xf>
    <xf numFmtId="1" fontId="1" fillId="10" borderId="17" xfId="0" applyNumberFormat="1" applyFont="1" applyFill="1" applyBorder="1" applyAlignment="1">
      <alignment horizontal="center"/>
    </xf>
    <xf numFmtId="49" fontId="1" fillId="10" borderId="15" xfId="0" applyNumberFormat="1" applyFont="1" applyFill="1" applyBorder="1" applyAlignment="1">
      <alignment horizontal="center"/>
    </xf>
    <xf numFmtId="49" fontId="1" fillId="10" borderId="17" xfId="0" applyNumberFormat="1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177" fontId="5" fillId="0" borderId="1" xfId="0" applyNumberFormat="1" applyFont="1" applyFill="1" applyBorder="1" applyAlignment="1">
      <alignment horizontal="center"/>
    </xf>
    <xf numFmtId="171" fontId="5" fillId="0" borderId="1" xfId="0" applyNumberFormat="1" applyFont="1" applyFill="1" applyBorder="1" applyAlignment="1">
      <alignment horizontal="center"/>
    </xf>
    <xf numFmtId="174" fontId="5" fillId="0" borderId="1" xfId="0" applyNumberFormat="1" applyFont="1" applyFill="1" applyBorder="1" applyAlignment="1">
      <alignment horizontal="center"/>
    </xf>
    <xf numFmtId="167" fontId="5" fillId="0" borderId="1" xfId="0" applyNumberFormat="1" applyFont="1" applyFill="1" applyBorder="1" applyAlignment="1">
      <alignment horizontal="center"/>
    </xf>
    <xf numFmtId="173" fontId="5" fillId="0" borderId="1" xfId="0" applyNumberFormat="1" applyFont="1" applyFill="1" applyBorder="1" applyAlignment="1">
      <alignment horizontal="center"/>
    </xf>
    <xf numFmtId="3" fontId="1" fillId="10" borderId="14" xfId="0" applyNumberFormat="1" applyFont="1" applyFill="1" applyBorder="1" applyAlignment="1">
      <alignment horizontal="center"/>
    </xf>
    <xf numFmtId="164" fontId="5" fillId="0" borderId="9" xfId="0" applyNumberFormat="1" applyFont="1" applyFill="1" applyBorder="1" applyAlignment="1">
      <alignment horizontal="center"/>
    </xf>
    <xf numFmtId="178" fontId="5" fillId="0" borderId="9" xfId="0" applyNumberFormat="1" applyFont="1" applyFill="1" applyBorder="1" applyAlignment="1">
      <alignment horizontal="center"/>
    </xf>
    <xf numFmtId="3" fontId="1" fillId="10" borderId="15" xfId="0" applyNumberFormat="1" applyFont="1" applyFill="1" applyBorder="1" applyAlignment="1">
      <alignment horizontal="center"/>
    </xf>
    <xf numFmtId="165" fontId="1" fillId="10" borderId="17" xfId="0" applyNumberFormat="1" applyFont="1" applyFill="1" applyBorder="1" applyAlignment="1">
      <alignment horizontal="center"/>
    </xf>
    <xf numFmtId="164" fontId="5" fillId="0" borderId="11" xfId="0" applyNumberFormat="1" applyFont="1" applyFill="1" applyBorder="1" applyAlignment="1">
      <alignment horizontal="center"/>
    </xf>
    <xf numFmtId="176" fontId="5" fillId="0" borderId="11" xfId="0" applyNumberFormat="1" applyFont="1" applyFill="1" applyBorder="1" applyAlignment="1">
      <alignment horizontal="center"/>
    </xf>
    <xf numFmtId="49" fontId="13" fillId="4" borderId="24" xfId="0" applyNumberFormat="1" applyFont="1" applyFill="1" applyBorder="1" applyAlignment="1">
      <alignment horizontal="center" wrapText="1"/>
    </xf>
    <xf numFmtId="175" fontId="5" fillId="0" borderId="1" xfId="0" applyNumberFormat="1" applyFont="1" applyFill="1" applyBorder="1" applyAlignment="1">
      <alignment horizontal="center"/>
    </xf>
    <xf numFmtId="49" fontId="0" fillId="3" borderId="1" xfId="0" applyNumberFormat="1" applyFont="1" applyFill="1" applyBorder="1" applyAlignment="1">
      <alignment horizontal="center"/>
    </xf>
    <xf numFmtId="175" fontId="5" fillId="0" borderId="9" xfId="0" applyNumberFormat="1" applyFont="1" applyFill="1" applyBorder="1" applyAlignment="1">
      <alignment horizontal="center"/>
    </xf>
    <xf numFmtId="49" fontId="0" fillId="3" borderId="9" xfId="0" applyNumberFormat="1" applyFont="1" applyFill="1" applyBorder="1" applyAlignment="1">
      <alignment horizontal="center"/>
    </xf>
    <xf numFmtId="49" fontId="0" fillId="3" borderId="11" xfId="0" applyNumberFormat="1" applyFont="1" applyFill="1" applyBorder="1" applyAlignment="1">
      <alignment horizontal="center"/>
    </xf>
    <xf numFmtId="175" fontId="5" fillId="0" borderId="11" xfId="0" applyNumberFormat="1" applyFont="1" applyFill="1" applyBorder="1" applyAlignment="1">
      <alignment horizontal="center"/>
    </xf>
    <xf numFmtId="170" fontId="5" fillId="0" borderId="9" xfId="0" applyNumberFormat="1" applyFont="1" applyFill="1" applyBorder="1" applyAlignment="1">
      <alignment horizontal="center"/>
    </xf>
    <xf numFmtId="170" fontId="5" fillId="0" borderId="11" xfId="0" applyNumberFormat="1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178" fontId="5" fillId="0" borderId="11" xfId="0" applyNumberFormat="1" applyFont="1" applyFill="1" applyBorder="1" applyAlignment="1">
      <alignment horizontal="center"/>
    </xf>
    <xf numFmtId="0" fontId="1" fillId="9" borderId="26" xfId="0" applyFont="1" applyFill="1" applyBorder="1" applyAlignment="1">
      <alignment horizontal="center"/>
    </xf>
    <xf numFmtId="0" fontId="1" fillId="9" borderId="27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6" borderId="13" xfId="0" applyFont="1" applyFill="1" applyBorder="1" applyAlignment="1">
      <alignment horizontal="center"/>
    </xf>
    <xf numFmtId="49" fontId="13" fillId="4" borderId="24" xfId="0" applyNumberFormat="1" applyFont="1" applyFill="1" applyBorder="1" applyAlignment="1">
      <alignment horizontal="center" vertical="center"/>
    </xf>
    <xf numFmtId="49" fontId="13" fillId="4" borderId="24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79" fontId="5" fillId="0" borderId="1" xfId="0" applyNumberFormat="1" applyFont="1" applyFill="1" applyBorder="1" applyAlignment="1">
      <alignment horizontal="center"/>
    </xf>
    <xf numFmtId="179" fontId="5" fillId="0" borderId="9" xfId="0" applyNumberFormat="1" applyFont="1" applyFill="1" applyBorder="1" applyAlignment="1">
      <alignment horizontal="center"/>
    </xf>
    <xf numFmtId="179" fontId="5" fillId="0" borderId="11" xfId="0" applyNumberFormat="1" applyFont="1" applyFill="1" applyBorder="1" applyAlignment="1">
      <alignment horizontal="center"/>
    </xf>
    <xf numFmtId="168" fontId="1" fillId="10" borderId="17" xfId="0" applyNumberFormat="1" applyFont="1" applyFill="1" applyBorder="1" applyAlignment="1">
      <alignment horizontal="center"/>
    </xf>
    <xf numFmtId="0" fontId="1" fillId="9" borderId="32" xfId="0" applyFont="1" applyFill="1" applyBorder="1" applyAlignment="1">
      <alignment horizontal="center"/>
    </xf>
    <xf numFmtId="0" fontId="4" fillId="6" borderId="33" xfId="0" applyFont="1" applyFill="1" applyBorder="1" applyAlignment="1">
      <alignment horizontal="center"/>
    </xf>
    <xf numFmtId="0" fontId="4" fillId="6" borderId="28" xfId="0" applyFont="1" applyFill="1" applyBorder="1" applyAlignment="1">
      <alignment horizontal="center"/>
    </xf>
    <xf numFmtId="0" fontId="1" fillId="9" borderId="35" xfId="0" applyFont="1" applyFill="1" applyBorder="1" applyAlignment="1">
      <alignment horizontal="center"/>
    </xf>
    <xf numFmtId="0" fontId="4" fillId="6" borderId="22" xfId="0" applyFont="1" applyFill="1" applyBorder="1" applyAlignment="1">
      <alignment horizontal="center"/>
    </xf>
    <xf numFmtId="49" fontId="13" fillId="4" borderId="30" xfId="0" applyNumberFormat="1" applyFont="1" applyFill="1" applyBorder="1" applyAlignment="1">
      <alignment horizontal="center"/>
    </xf>
    <xf numFmtId="0" fontId="13" fillId="4" borderId="33" xfId="0" applyFont="1" applyFill="1" applyBorder="1" applyAlignment="1">
      <alignment horizontal="center" vertical="center"/>
    </xf>
    <xf numFmtId="49" fontId="13" fillId="4" borderId="33" xfId="0" applyNumberFormat="1" applyFont="1" applyFill="1" applyBorder="1" applyAlignment="1">
      <alignment horizontal="center" wrapText="1"/>
    </xf>
    <xf numFmtId="0" fontId="13" fillId="4" borderId="30" xfId="0" applyFont="1" applyFill="1" applyBorder="1" applyAlignment="1">
      <alignment horizontal="center" vertical="center"/>
    </xf>
    <xf numFmtId="49" fontId="13" fillId="4" borderId="30" xfId="0" applyNumberFormat="1" applyFont="1" applyFill="1" applyBorder="1" applyAlignment="1">
      <alignment horizontal="center" wrapText="1"/>
    </xf>
    <xf numFmtId="168" fontId="1" fillId="10" borderId="15" xfId="0" applyNumberFormat="1" applyFont="1" applyFill="1" applyBorder="1" applyAlignment="1">
      <alignment horizontal="center"/>
    </xf>
    <xf numFmtId="3" fontId="1" fillId="10" borderId="17" xfId="0" applyNumberFormat="1" applyFont="1" applyFill="1" applyBorder="1" applyAlignment="1">
      <alignment horizontal="center"/>
    </xf>
    <xf numFmtId="0" fontId="4" fillId="7" borderId="2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 vertical="center"/>
    </xf>
    <xf numFmtId="49" fontId="4" fillId="4" borderId="13" xfId="0" applyNumberFormat="1" applyFont="1" applyFill="1" applyBorder="1" applyAlignment="1">
      <alignment horizontal="center" vertical="center" wrapText="1"/>
    </xf>
    <xf numFmtId="175" fontId="0" fillId="0" borderId="1" xfId="0" applyNumberFormat="1" applyFont="1" applyFill="1" applyBorder="1" applyAlignment="1">
      <alignment horizontal="center"/>
    </xf>
    <xf numFmtId="175" fontId="0" fillId="0" borderId="9" xfId="0" applyNumberFormat="1" applyFont="1" applyFill="1" applyBorder="1" applyAlignment="1">
      <alignment horizontal="center"/>
    </xf>
    <xf numFmtId="165" fontId="1" fillId="10" borderId="15" xfId="0" applyNumberFormat="1" applyFont="1" applyFill="1" applyBorder="1" applyAlignment="1">
      <alignment horizontal="center"/>
    </xf>
    <xf numFmtId="175" fontId="0" fillId="0" borderId="11" xfId="0" applyNumberFormat="1" applyFont="1" applyFill="1" applyBorder="1" applyAlignment="1">
      <alignment horizontal="center"/>
    </xf>
    <xf numFmtId="1" fontId="1" fillId="10" borderId="14" xfId="0" applyNumberFormat="1" applyFont="1" applyFill="1" applyBorder="1" applyAlignment="1">
      <alignment horizontal="center"/>
    </xf>
    <xf numFmtId="167" fontId="1" fillId="10" borderId="15" xfId="0" applyNumberFormat="1" applyFont="1" applyFill="1" applyBorder="1" applyAlignment="1">
      <alignment horizontal="center"/>
    </xf>
    <xf numFmtId="164" fontId="4" fillId="4" borderId="22" xfId="0" applyNumberFormat="1" applyFont="1" applyFill="1" applyBorder="1" applyAlignment="1">
      <alignment horizontal="center" wrapText="1"/>
    </xf>
    <xf numFmtId="164" fontId="4" fillId="4" borderId="22" xfId="0" applyNumberFormat="1" applyFont="1" applyFill="1" applyBorder="1" applyAlignment="1">
      <alignment horizontal="center" vertical="center"/>
    </xf>
    <xf numFmtId="175" fontId="5" fillId="0" borderId="1" xfId="0" applyNumberFormat="1" applyFont="1" applyBorder="1" applyAlignment="1">
      <alignment horizontal="center"/>
    </xf>
    <xf numFmtId="175" fontId="5" fillId="0" borderId="9" xfId="0" applyNumberFormat="1" applyFont="1" applyBorder="1" applyAlignment="1">
      <alignment horizontal="center"/>
    </xf>
    <xf numFmtId="175" fontId="5" fillId="0" borderId="11" xfId="0" applyNumberFormat="1" applyFont="1" applyBorder="1" applyAlignment="1">
      <alignment horizontal="center"/>
    </xf>
    <xf numFmtId="49" fontId="1" fillId="10" borderId="14" xfId="0" applyNumberFormat="1" applyFont="1" applyFill="1" applyBorder="1" applyAlignment="1">
      <alignment horizontal="center"/>
    </xf>
    <xf numFmtId="49" fontId="6" fillId="4" borderId="13" xfId="0" applyNumberFormat="1" applyFont="1" applyFill="1" applyBorder="1" applyAlignment="1">
      <alignment horizontal="center"/>
    </xf>
    <xf numFmtId="170" fontId="5" fillId="0" borderId="1" xfId="0" applyNumberFormat="1" applyFont="1" applyBorder="1" applyAlignment="1">
      <alignment horizontal="center"/>
    </xf>
    <xf numFmtId="166" fontId="1" fillId="10" borderId="15" xfId="0" applyNumberFormat="1" applyFont="1" applyFill="1" applyBorder="1" applyAlignment="1">
      <alignment horizontal="center"/>
    </xf>
    <xf numFmtId="170" fontId="5" fillId="0" borderId="9" xfId="0" applyNumberFormat="1" applyFont="1" applyBorder="1" applyAlignment="1">
      <alignment horizontal="center"/>
    </xf>
    <xf numFmtId="170" fontId="5" fillId="0" borderId="16" xfId="0" applyNumberFormat="1" applyFont="1" applyFill="1" applyBorder="1" applyAlignment="1">
      <alignment horizontal="center"/>
    </xf>
    <xf numFmtId="170" fontId="5" fillId="0" borderId="10" xfId="0" applyNumberFormat="1" applyFont="1" applyFill="1" applyBorder="1" applyAlignment="1">
      <alignment horizontal="center"/>
    </xf>
    <xf numFmtId="170" fontId="5" fillId="0" borderId="12" xfId="0" applyNumberFormat="1" applyFont="1" applyFill="1" applyBorder="1" applyAlignment="1">
      <alignment horizontal="center"/>
    </xf>
    <xf numFmtId="178" fontId="5" fillId="0" borderId="1" xfId="0" applyNumberFormat="1" applyFont="1" applyFill="1" applyBorder="1" applyAlignment="1">
      <alignment horizontal="center"/>
    </xf>
    <xf numFmtId="175" fontId="5" fillId="0" borderId="39" xfId="0" applyNumberFormat="1" applyFont="1" applyFill="1" applyBorder="1" applyAlignment="1">
      <alignment horizontal="center"/>
    </xf>
    <xf numFmtId="3" fontId="1" fillId="10" borderId="3" xfId="0" applyNumberFormat="1" applyFont="1" applyFill="1" applyBorder="1" applyAlignment="1">
      <alignment horizontal="center"/>
    </xf>
    <xf numFmtId="175" fontId="5" fillId="0" borderId="19" xfId="0" applyNumberFormat="1" applyFont="1" applyFill="1" applyBorder="1" applyAlignment="1">
      <alignment horizontal="center"/>
    </xf>
    <xf numFmtId="175" fontId="5" fillId="0" borderId="3" xfId="0" applyNumberFormat="1" applyFont="1" applyFill="1" applyBorder="1" applyAlignment="1">
      <alignment horizontal="center"/>
    </xf>
    <xf numFmtId="175" fontId="5" fillId="0" borderId="27" xfId="0" applyNumberFormat="1" applyFont="1" applyFill="1" applyBorder="1" applyAlignment="1">
      <alignment horizontal="center"/>
    </xf>
    <xf numFmtId="175" fontId="5" fillId="0" borderId="8" xfId="0" applyNumberFormat="1" applyFont="1" applyFill="1" applyBorder="1" applyAlignment="1">
      <alignment horizontal="center"/>
    </xf>
    <xf numFmtId="175" fontId="5" fillId="0" borderId="34" xfId="0" applyNumberFormat="1" applyFont="1" applyFill="1" applyBorder="1" applyAlignment="1">
      <alignment horizontal="center"/>
    </xf>
    <xf numFmtId="175" fontId="5" fillId="0" borderId="20" xfId="0" applyNumberFormat="1" applyFont="1" applyFill="1" applyBorder="1" applyAlignment="1">
      <alignment horizontal="center"/>
    </xf>
    <xf numFmtId="175" fontId="5" fillId="0" borderId="44" xfId="0" applyNumberFormat="1" applyFont="1" applyFill="1" applyBorder="1" applyAlignment="1">
      <alignment horizontal="center"/>
    </xf>
    <xf numFmtId="49" fontId="13" fillId="4" borderId="2" xfId="0" applyNumberFormat="1" applyFont="1" applyFill="1" applyBorder="1" applyAlignment="1">
      <alignment horizontal="center" wrapText="1"/>
    </xf>
    <xf numFmtId="49" fontId="13" fillId="4" borderId="2" xfId="0" applyNumberFormat="1" applyFont="1" applyFill="1" applyBorder="1" applyAlignment="1">
      <alignment horizontal="center" vertical="center" wrapText="1"/>
    </xf>
    <xf numFmtId="49" fontId="13" fillId="4" borderId="2" xfId="0" applyNumberFormat="1" applyFont="1" applyFill="1" applyBorder="1" applyAlignment="1">
      <alignment horizontal="center" vertical="center"/>
    </xf>
    <xf numFmtId="170" fontId="5" fillId="0" borderId="28" xfId="0" applyNumberFormat="1" applyFont="1" applyFill="1" applyBorder="1" applyAlignment="1">
      <alignment horizontal="center"/>
    </xf>
    <xf numFmtId="175" fontId="5" fillId="0" borderId="28" xfId="0" applyNumberFormat="1" applyFont="1" applyFill="1" applyBorder="1" applyAlignment="1">
      <alignment horizontal="center"/>
    </xf>
    <xf numFmtId="49" fontId="0" fillId="3" borderId="0" xfId="0" applyNumberForma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/>
    </xf>
    <xf numFmtId="175" fontId="5" fillId="0" borderId="0" xfId="0" applyNumberFormat="1" applyFont="1" applyFill="1" applyBorder="1" applyAlignment="1">
      <alignment horizontal="center"/>
    </xf>
    <xf numFmtId="178" fontId="5" fillId="0" borderId="0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72" fontId="5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9" fontId="13" fillId="0" borderId="0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Fill="1" applyBorder="1" applyAlignment="1">
      <alignment horizontal="center" wrapText="1"/>
    </xf>
    <xf numFmtId="49" fontId="0" fillId="0" borderId="0" xfId="0" applyNumberFormat="1" applyFill="1" applyBorder="1" applyAlignment="1">
      <alignment horizontal="center"/>
    </xf>
    <xf numFmtId="169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168" fontId="1" fillId="0" borderId="0" xfId="0" applyNumberFormat="1" applyFont="1" applyFill="1" applyBorder="1" applyAlignment="1">
      <alignment horizontal="center"/>
    </xf>
    <xf numFmtId="49" fontId="4" fillId="4" borderId="5" xfId="0" applyNumberFormat="1" applyFont="1" applyFill="1" applyBorder="1" applyAlignment="1">
      <alignment horizontal="center" wrapText="1"/>
    </xf>
    <xf numFmtId="170" fontId="5" fillId="0" borderId="5" xfId="0" applyNumberFormat="1" applyFont="1" applyFill="1" applyBorder="1" applyAlignment="1">
      <alignment horizontal="center"/>
    </xf>
    <xf numFmtId="49" fontId="0" fillId="3" borderId="28" xfId="0" applyNumberFormat="1" applyFont="1" applyFill="1" applyBorder="1" applyAlignment="1">
      <alignment horizontal="center"/>
    </xf>
    <xf numFmtId="49" fontId="1" fillId="11" borderId="25" xfId="0" applyNumberFormat="1" applyFont="1" applyFill="1" applyBorder="1" applyAlignment="1">
      <alignment horizontal="center"/>
    </xf>
    <xf numFmtId="49" fontId="1" fillId="11" borderId="21" xfId="0" applyNumberFormat="1" applyFont="1" applyFill="1" applyBorder="1" applyAlignment="1">
      <alignment horizontal="center"/>
    </xf>
    <xf numFmtId="49" fontId="1" fillId="11" borderId="43" xfId="0" applyNumberFormat="1" applyFont="1" applyFill="1" applyBorder="1" applyAlignment="1">
      <alignment horizontal="center"/>
    </xf>
    <xf numFmtId="49" fontId="1" fillId="11" borderId="1" xfId="0" applyNumberFormat="1" applyFont="1" applyFill="1" applyBorder="1" applyAlignment="1">
      <alignment horizontal="center"/>
    </xf>
    <xf numFmtId="49" fontId="1" fillId="11" borderId="52" xfId="0" applyNumberFormat="1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right"/>
    </xf>
    <xf numFmtId="0" fontId="0" fillId="0" borderId="0" xfId="0" applyFont="1" applyAlignment="1">
      <alignment horizontal="right"/>
    </xf>
    <xf numFmtId="49" fontId="0" fillId="0" borderId="0" xfId="0" applyNumberFormat="1" applyFont="1" applyFill="1" applyBorder="1" applyAlignment="1">
      <alignment horizontal="left"/>
    </xf>
    <xf numFmtId="49" fontId="0" fillId="3" borderId="30" xfId="0" applyNumberFormat="1" applyFont="1" applyFill="1" applyBorder="1" applyAlignment="1">
      <alignment horizontal="center"/>
    </xf>
    <xf numFmtId="175" fontId="5" fillId="0" borderId="16" xfId="0" applyNumberFormat="1" applyFont="1" applyFill="1" applyBorder="1" applyAlignment="1">
      <alignment horizontal="center"/>
    </xf>
    <xf numFmtId="170" fontId="0" fillId="3" borderId="9" xfId="0" applyNumberFormat="1" applyFill="1" applyBorder="1" applyAlignment="1">
      <alignment horizontal="center"/>
    </xf>
    <xf numFmtId="170" fontId="0" fillId="3" borderId="1" xfId="0" applyNumberFormat="1" applyFont="1" applyFill="1" applyBorder="1" applyAlignment="1">
      <alignment horizontal="center"/>
    </xf>
    <xf numFmtId="170" fontId="0" fillId="3" borderId="11" xfId="0" applyNumberFormat="1" applyFill="1" applyBorder="1" applyAlignment="1">
      <alignment horizontal="center"/>
    </xf>
    <xf numFmtId="170" fontId="0" fillId="3" borderId="9" xfId="0" applyNumberFormat="1" applyFont="1" applyFill="1" applyBorder="1" applyAlignment="1">
      <alignment horizontal="center"/>
    </xf>
    <xf numFmtId="170" fontId="0" fillId="3" borderId="11" xfId="0" applyNumberFormat="1" applyFont="1" applyFill="1" applyBorder="1" applyAlignment="1">
      <alignment horizontal="center"/>
    </xf>
    <xf numFmtId="170" fontId="0" fillId="3" borderId="1" xfId="0" applyNumberFormat="1" applyFill="1" applyBorder="1" applyAlignment="1">
      <alignment horizontal="center"/>
    </xf>
    <xf numFmtId="170" fontId="5" fillId="0" borderId="11" xfId="0" applyNumberFormat="1" applyFont="1" applyBorder="1" applyAlignment="1">
      <alignment horizontal="center"/>
    </xf>
    <xf numFmtId="170" fontId="3" fillId="3" borderId="1" xfId="0" applyNumberFormat="1" applyFont="1" applyFill="1" applyBorder="1" applyAlignment="1">
      <alignment horizontal="center"/>
    </xf>
    <xf numFmtId="175" fontId="5" fillId="0" borderId="10" xfId="0" applyNumberFormat="1" applyFont="1" applyFill="1" applyBorder="1" applyAlignment="1">
      <alignment horizontal="center"/>
    </xf>
    <xf numFmtId="175" fontId="5" fillId="0" borderId="12" xfId="0" applyNumberFormat="1" applyFont="1" applyFill="1" applyBorder="1" applyAlignment="1">
      <alignment horizontal="center"/>
    </xf>
    <xf numFmtId="175" fontId="0" fillId="0" borderId="0" xfId="0" applyNumberFormat="1"/>
    <xf numFmtId="170" fontId="0" fillId="0" borderId="0" xfId="0" applyNumberFormat="1"/>
    <xf numFmtId="170" fontId="1" fillId="9" borderId="26" xfId="0" applyNumberFormat="1" applyFont="1" applyFill="1" applyBorder="1" applyAlignment="1">
      <alignment horizontal="center"/>
    </xf>
    <xf numFmtId="170" fontId="1" fillId="9" borderId="27" xfId="0" applyNumberFormat="1" applyFont="1" applyFill="1" applyBorder="1" applyAlignment="1">
      <alignment horizontal="center"/>
    </xf>
    <xf numFmtId="170" fontId="4" fillId="6" borderId="13" xfId="0" applyNumberFormat="1" applyFont="1" applyFill="1" applyBorder="1" applyAlignment="1">
      <alignment horizontal="center"/>
    </xf>
    <xf numFmtId="170" fontId="4" fillId="6" borderId="23" xfId="0" applyNumberFormat="1" applyFont="1" applyFill="1" applyBorder="1" applyAlignment="1">
      <alignment horizontal="center"/>
    </xf>
    <xf numFmtId="170" fontId="4" fillId="7" borderId="9" xfId="0" applyNumberFormat="1" applyFont="1" applyFill="1" applyBorder="1" applyAlignment="1">
      <alignment horizontal="center"/>
    </xf>
    <xf numFmtId="170" fontId="13" fillId="4" borderId="24" xfId="0" applyNumberFormat="1" applyFont="1" applyFill="1" applyBorder="1" applyAlignment="1">
      <alignment horizontal="center" wrapText="1"/>
    </xf>
    <xf numFmtId="170" fontId="13" fillId="4" borderId="24" xfId="0" applyNumberFormat="1" applyFont="1" applyFill="1" applyBorder="1" applyAlignment="1">
      <alignment horizontal="center"/>
    </xf>
    <xf numFmtId="170" fontId="13" fillId="4" borderId="24" xfId="0" applyNumberFormat="1" applyFont="1" applyFill="1" applyBorder="1" applyAlignment="1">
      <alignment horizontal="center" vertical="center"/>
    </xf>
    <xf numFmtId="170" fontId="7" fillId="0" borderId="9" xfId="0" applyNumberFormat="1" applyFont="1" applyBorder="1" applyAlignment="1">
      <alignment horizontal="center"/>
    </xf>
    <xf numFmtId="170" fontId="7" fillId="0" borderId="1" xfId="0" applyNumberFormat="1" applyFont="1" applyBorder="1" applyAlignment="1">
      <alignment horizontal="center"/>
    </xf>
    <xf numFmtId="170" fontId="7" fillId="0" borderId="11" xfId="0" applyNumberFormat="1" applyFont="1" applyBorder="1" applyAlignment="1">
      <alignment horizontal="center"/>
    </xf>
    <xf numFmtId="170" fontId="4" fillId="7" borderId="2" xfId="0" applyNumberFormat="1" applyFont="1" applyFill="1" applyBorder="1" applyAlignment="1">
      <alignment horizontal="center"/>
    </xf>
    <xf numFmtId="170" fontId="13" fillId="4" borderId="2" xfId="0" applyNumberFormat="1" applyFont="1" applyFill="1" applyBorder="1" applyAlignment="1">
      <alignment horizontal="center" wrapText="1"/>
    </xf>
    <xf numFmtId="170" fontId="13" fillId="4" borderId="2" xfId="0" applyNumberFormat="1" applyFont="1" applyFill="1" applyBorder="1" applyAlignment="1">
      <alignment horizontal="center" vertical="center" wrapText="1"/>
    </xf>
    <xf numFmtId="175" fontId="0" fillId="0" borderId="0" xfId="0" applyNumberFormat="1" applyBorder="1"/>
    <xf numFmtId="170" fontId="0" fillId="0" borderId="0" xfId="0" applyNumberFormat="1" applyBorder="1"/>
    <xf numFmtId="170" fontId="13" fillId="4" borderId="2" xfId="0" applyNumberFormat="1" applyFont="1" applyFill="1" applyBorder="1" applyAlignment="1">
      <alignment horizontal="center" vertical="center"/>
    </xf>
    <xf numFmtId="170" fontId="0" fillId="3" borderId="28" xfId="0" applyNumberFormat="1" applyFill="1" applyBorder="1" applyAlignment="1">
      <alignment horizontal="center"/>
    </xf>
    <xf numFmtId="170" fontId="5" fillId="0" borderId="30" xfId="0" applyNumberFormat="1" applyFont="1" applyFill="1" applyBorder="1" applyAlignment="1">
      <alignment horizontal="center"/>
    </xf>
    <xf numFmtId="170" fontId="5" fillId="0" borderId="11" xfId="0" applyNumberFormat="1" applyFont="1" applyFill="1" applyBorder="1" applyAlignment="1">
      <alignment horizontal="center" vertical="center"/>
    </xf>
    <xf numFmtId="170" fontId="4" fillId="6" borderId="8" xfId="0" applyNumberFormat="1" applyFont="1" applyFill="1" applyBorder="1" applyAlignment="1">
      <alignment horizontal="center"/>
    </xf>
    <xf numFmtId="170" fontId="4" fillId="7" borderId="28" xfId="0" applyNumberFormat="1" applyFont="1" applyFill="1" applyBorder="1" applyAlignment="1">
      <alignment horizontal="center"/>
    </xf>
    <xf numFmtId="170" fontId="13" fillId="4" borderId="24" xfId="0" applyNumberFormat="1" applyFont="1" applyFill="1" applyBorder="1" applyAlignment="1">
      <alignment horizontal="center" vertical="center" wrapText="1"/>
    </xf>
    <xf numFmtId="170" fontId="0" fillId="3" borderId="3" xfId="0" applyNumberFormat="1" applyFont="1" applyFill="1" applyBorder="1" applyAlignment="1">
      <alignment horizontal="center"/>
    </xf>
    <xf numFmtId="170" fontId="5" fillId="0" borderId="3" xfId="0" applyNumberFormat="1" applyFont="1" applyFill="1" applyBorder="1" applyAlignment="1">
      <alignment horizontal="center"/>
    </xf>
    <xf numFmtId="170" fontId="0" fillId="3" borderId="4" xfId="0" applyNumberFormat="1" applyFont="1" applyFill="1" applyBorder="1" applyAlignment="1">
      <alignment horizontal="center"/>
    </xf>
    <xf numFmtId="170" fontId="0" fillId="3" borderId="5" xfId="0" applyNumberFormat="1" applyFont="1" applyFill="1" applyBorder="1" applyAlignment="1">
      <alignment horizontal="center"/>
    </xf>
    <xf numFmtId="170" fontId="5" fillId="0" borderId="8" xfId="0" applyNumberFormat="1" applyFont="1" applyFill="1" applyBorder="1" applyAlignment="1">
      <alignment horizontal="center"/>
    </xf>
    <xf numFmtId="170" fontId="4" fillId="4" borderId="2" xfId="0" applyNumberFormat="1" applyFont="1" applyFill="1" applyBorder="1" applyAlignment="1">
      <alignment horizontal="center"/>
    </xf>
    <xf numFmtId="170" fontId="0" fillId="3" borderId="6" xfId="0" applyNumberFormat="1" applyFill="1" applyBorder="1" applyAlignment="1">
      <alignment horizontal="center"/>
    </xf>
    <xf numFmtId="170" fontId="4" fillId="4" borderId="2" xfId="0" applyNumberFormat="1" applyFont="1" applyFill="1" applyBorder="1" applyAlignment="1">
      <alignment horizontal="center" wrapText="1"/>
    </xf>
    <xf numFmtId="170" fontId="0" fillId="3" borderId="4" xfId="0" applyNumberFormat="1" applyFill="1" applyBorder="1" applyAlignment="1">
      <alignment horizontal="center"/>
    </xf>
    <xf numFmtId="170" fontId="0" fillId="3" borderId="42" xfId="0" applyNumberFormat="1" applyFont="1" applyFill="1" applyBorder="1" applyAlignment="1">
      <alignment horizontal="center"/>
    </xf>
    <xf numFmtId="170" fontId="0" fillId="3" borderId="40" xfId="0" applyNumberFormat="1" applyFont="1" applyFill="1" applyBorder="1" applyAlignment="1">
      <alignment horizontal="center"/>
    </xf>
    <xf numFmtId="170" fontId="0" fillId="3" borderId="41" xfId="0" applyNumberFormat="1" applyFont="1" applyFill="1" applyBorder="1" applyAlignment="1">
      <alignment horizontal="center"/>
    </xf>
    <xf numFmtId="170" fontId="0" fillId="3" borderId="6" xfId="0" applyNumberFormat="1" applyFont="1" applyFill="1" applyBorder="1" applyAlignment="1">
      <alignment horizontal="center"/>
    </xf>
    <xf numFmtId="170" fontId="4" fillId="4" borderId="2" xfId="0" applyNumberFormat="1" applyFont="1" applyFill="1" applyBorder="1" applyAlignment="1">
      <alignment horizontal="center" vertical="center"/>
    </xf>
    <xf numFmtId="170" fontId="0" fillId="3" borderId="5" xfId="0" applyNumberFormat="1" applyFill="1" applyBorder="1" applyAlignment="1">
      <alignment horizontal="center"/>
    </xf>
    <xf numFmtId="170" fontId="0" fillId="3" borderId="0" xfId="0" applyNumberFormat="1" applyFill="1" applyBorder="1" applyAlignment="1">
      <alignment horizontal="center"/>
    </xf>
    <xf numFmtId="170" fontId="0" fillId="3" borderId="0" xfId="0" applyNumberFormat="1" applyFill="1" applyAlignment="1">
      <alignment horizontal="center"/>
    </xf>
    <xf numFmtId="170" fontId="0" fillId="0" borderId="0" xfId="0" applyNumberFormat="1" applyFill="1" applyBorder="1"/>
    <xf numFmtId="175" fontId="0" fillId="0" borderId="0" xfId="0" applyNumberFormat="1" applyFill="1" applyBorder="1"/>
    <xf numFmtId="170" fontId="4" fillId="4" borderId="13" xfId="0" applyNumberFormat="1" applyFont="1" applyFill="1" applyBorder="1" applyAlignment="1">
      <alignment horizontal="center" wrapText="1"/>
    </xf>
    <xf numFmtId="170" fontId="4" fillId="4" borderId="13" xfId="0" applyNumberFormat="1" applyFont="1" applyFill="1" applyBorder="1" applyAlignment="1">
      <alignment horizontal="center"/>
    </xf>
    <xf numFmtId="170" fontId="4" fillId="4" borderId="13" xfId="0" applyNumberFormat="1" applyFont="1" applyFill="1" applyBorder="1" applyAlignment="1">
      <alignment horizontal="center" vertical="center"/>
    </xf>
    <xf numFmtId="175" fontId="0" fillId="3" borderId="9" xfId="0" applyNumberFormat="1" applyFont="1" applyFill="1" applyBorder="1" applyAlignment="1">
      <alignment horizontal="center"/>
    </xf>
    <xf numFmtId="175" fontId="0" fillId="3" borderId="1" xfId="0" applyNumberFormat="1" applyFont="1" applyFill="1" applyBorder="1" applyAlignment="1">
      <alignment horizontal="center"/>
    </xf>
    <xf numFmtId="175" fontId="0" fillId="3" borderId="11" xfId="0" applyNumberFormat="1" applyFont="1" applyFill="1" applyBorder="1" applyAlignment="1">
      <alignment horizontal="center"/>
    </xf>
    <xf numFmtId="175" fontId="1" fillId="9" borderId="26" xfId="0" applyNumberFormat="1" applyFont="1" applyFill="1" applyBorder="1" applyAlignment="1">
      <alignment horizontal="center"/>
    </xf>
    <xf numFmtId="175" fontId="4" fillId="6" borderId="13" xfId="0" applyNumberFormat="1" applyFont="1" applyFill="1" applyBorder="1" applyAlignment="1">
      <alignment horizontal="center"/>
    </xf>
    <xf numFmtId="175" fontId="1" fillId="9" borderId="27" xfId="0" applyNumberFormat="1" applyFont="1" applyFill="1" applyBorder="1" applyAlignment="1">
      <alignment horizontal="center"/>
    </xf>
    <xf numFmtId="175" fontId="4" fillId="6" borderId="8" xfId="0" applyNumberFormat="1" applyFont="1" applyFill="1" applyBorder="1" applyAlignment="1">
      <alignment horizontal="center"/>
    </xf>
    <xf numFmtId="175" fontId="4" fillId="7" borderId="28" xfId="0" applyNumberFormat="1" applyFont="1" applyFill="1" applyBorder="1" applyAlignment="1">
      <alignment horizontal="center"/>
    </xf>
    <xf numFmtId="175" fontId="13" fillId="4" borderId="24" xfId="0" applyNumberFormat="1" applyFont="1" applyFill="1" applyBorder="1" applyAlignment="1">
      <alignment horizontal="center" vertical="center"/>
    </xf>
    <xf numFmtId="175" fontId="13" fillId="4" borderId="24" xfId="0" applyNumberFormat="1" applyFont="1" applyFill="1" applyBorder="1" applyAlignment="1">
      <alignment horizontal="center"/>
    </xf>
    <xf numFmtId="175" fontId="13" fillId="4" borderId="24" xfId="0" applyNumberFormat="1" applyFont="1" applyFill="1" applyBorder="1" applyAlignment="1">
      <alignment horizontal="center" vertical="center" wrapText="1"/>
    </xf>
    <xf numFmtId="170" fontId="4" fillId="4" borderId="13" xfId="0" applyNumberFormat="1" applyFont="1" applyFill="1" applyBorder="1" applyAlignment="1">
      <alignment horizontal="center" vertical="center" wrapText="1"/>
    </xf>
    <xf numFmtId="175" fontId="0" fillId="0" borderId="0" xfId="0" applyNumberFormat="1" applyFill="1"/>
    <xf numFmtId="170" fontId="2" fillId="0" borderId="0" xfId="0" applyNumberFormat="1" applyFont="1"/>
    <xf numFmtId="170" fontId="4" fillId="7" borderId="13" xfId="0" applyNumberFormat="1" applyFont="1" applyFill="1" applyBorder="1" applyAlignment="1">
      <alignment horizontal="center"/>
    </xf>
    <xf numFmtId="170" fontId="4" fillId="4" borderId="38" xfId="0" applyNumberFormat="1" applyFont="1" applyFill="1" applyBorder="1" applyAlignment="1">
      <alignment horizontal="center" wrapText="1"/>
    </xf>
    <xf numFmtId="170" fontId="4" fillId="4" borderId="22" xfId="0" applyNumberFormat="1" applyFont="1" applyFill="1" applyBorder="1" applyAlignment="1">
      <alignment horizontal="center"/>
    </xf>
    <xf numFmtId="175" fontId="2" fillId="0" borderId="0" xfId="0" applyNumberFormat="1" applyFont="1"/>
    <xf numFmtId="170" fontId="4" fillId="4" borderId="38" xfId="0" applyNumberFormat="1" applyFont="1" applyFill="1" applyBorder="1" applyAlignment="1">
      <alignment horizontal="center"/>
    </xf>
    <xf numFmtId="170" fontId="0" fillId="3" borderId="25" xfId="0" applyNumberFormat="1" applyFill="1" applyBorder="1" applyAlignment="1">
      <alignment horizontal="center"/>
    </xf>
    <xf numFmtId="170" fontId="0" fillId="3" borderId="21" xfId="0" applyNumberFormat="1" applyFill="1" applyBorder="1" applyAlignment="1">
      <alignment horizontal="center"/>
    </xf>
    <xf numFmtId="170" fontId="0" fillId="3" borderId="43" xfId="0" applyNumberFormat="1" applyFill="1" applyBorder="1" applyAlignment="1">
      <alignment horizontal="center"/>
    </xf>
    <xf numFmtId="170" fontId="4" fillId="4" borderId="38" xfId="0" applyNumberFormat="1" applyFont="1" applyFill="1" applyBorder="1" applyAlignment="1">
      <alignment horizontal="center" vertical="center"/>
    </xf>
    <xf numFmtId="170" fontId="3" fillId="3" borderId="9" xfId="0" applyNumberFormat="1" applyFont="1" applyFill="1" applyBorder="1" applyAlignment="1">
      <alignment horizontal="center"/>
    </xf>
    <xf numFmtId="170" fontId="3" fillId="3" borderId="11" xfId="0" applyNumberFormat="1" applyFont="1" applyFill="1" applyBorder="1" applyAlignment="1">
      <alignment horizontal="center"/>
    </xf>
    <xf numFmtId="170" fontId="6" fillId="4" borderId="13" xfId="0" applyNumberFormat="1" applyFont="1" applyFill="1" applyBorder="1" applyAlignment="1">
      <alignment horizontal="center" vertical="center"/>
    </xf>
    <xf numFmtId="170" fontId="6" fillId="4" borderId="13" xfId="0" applyNumberFormat="1" applyFont="1" applyFill="1" applyBorder="1" applyAlignment="1">
      <alignment horizontal="center" wrapText="1"/>
    </xf>
    <xf numFmtId="170" fontId="4" fillId="8" borderId="3" xfId="0" applyNumberFormat="1" applyFont="1" applyFill="1" applyBorder="1" applyAlignment="1">
      <alignment horizontal="center"/>
    </xf>
    <xf numFmtId="170" fontId="4" fillId="6" borderId="7" xfId="0" applyNumberFormat="1" applyFont="1" applyFill="1" applyBorder="1" applyAlignment="1">
      <alignment horizontal="center"/>
    </xf>
    <xf numFmtId="170" fontId="1" fillId="2" borderId="2" xfId="0" applyNumberFormat="1" applyFont="1" applyFill="1" applyBorder="1" applyAlignment="1">
      <alignment horizontal="center"/>
    </xf>
    <xf numFmtId="11" fontId="0" fillId="3" borderId="1" xfId="0" applyNumberFormat="1" applyFont="1" applyFill="1" applyBorder="1" applyAlignment="1">
      <alignment horizontal="center"/>
    </xf>
    <xf numFmtId="11" fontId="0" fillId="3" borderId="21" xfId="0" applyNumberFormat="1" applyFont="1" applyFill="1" applyBorder="1" applyAlignment="1">
      <alignment horizontal="center"/>
    </xf>
    <xf numFmtId="170" fontId="4" fillId="4" borderId="2" xfId="0" applyNumberFormat="1" applyFont="1" applyFill="1" applyBorder="1" applyAlignment="1">
      <alignment horizontal="center" vertical="center" wrapText="1"/>
    </xf>
    <xf numFmtId="170" fontId="0" fillId="3" borderId="25" xfId="0" applyNumberFormat="1" applyFont="1" applyFill="1" applyBorder="1" applyAlignment="1">
      <alignment horizontal="center"/>
    </xf>
    <xf numFmtId="170" fontId="0" fillId="3" borderId="21" xfId="0" applyNumberFormat="1" applyFont="1" applyFill="1" applyBorder="1" applyAlignment="1">
      <alignment horizontal="center"/>
    </xf>
    <xf numFmtId="170" fontId="0" fillId="3" borderId="43" xfId="0" applyNumberFormat="1" applyFont="1" applyFill="1" applyBorder="1" applyAlignment="1">
      <alignment horizontal="center"/>
    </xf>
    <xf numFmtId="11" fontId="5" fillId="0" borderId="1" xfId="0" applyNumberFormat="1" applyFont="1" applyFill="1" applyBorder="1" applyAlignment="1">
      <alignment horizontal="center"/>
    </xf>
    <xf numFmtId="170" fontId="5" fillId="0" borderId="14" xfId="0" applyNumberFormat="1" applyFont="1" applyFill="1" applyBorder="1" applyAlignment="1">
      <alignment horizontal="center"/>
    </xf>
    <xf numFmtId="170" fontId="5" fillId="0" borderId="15" xfId="0" applyNumberFormat="1" applyFont="1" applyFill="1" applyBorder="1" applyAlignment="1">
      <alignment horizontal="center"/>
    </xf>
    <xf numFmtId="170" fontId="5" fillId="0" borderId="17" xfId="0" applyNumberFormat="1" applyFont="1" applyFill="1" applyBorder="1" applyAlignment="1">
      <alignment horizontal="center"/>
    </xf>
    <xf numFmtId="170" fontId="0" fillId="0" borderId="9" xfId="0" applyNumberFormat="1" applyFont="1" applyFill="1" applyBorder="1" applyAlignment="1">
      <alignment horizontal="center"/>
    </xf>
    <xf numFmtId="170" fontId="0" fillId="0" borderId="1" xfId="0" applyNumberFormat="1" applyFont="1" applyFill="1" applyBorder="1" applyAlignment="1">
      <alignment horizontal="center"/>
    </xf>
    <xf numFmtId="170" fontId="0" fillId="0" borderId="1" xfId="0" applyNumberFormat="1" applyFill="1" applyBorder="1" applyAlignment="1">
      <alignment horizontal="center"/>
    </xf>
    <xf numFmtId="170" fontId="0" fillId="0" borderId="11" xfId="0" applyNumberFormat="1" applyFont="1" applyFill="1" applyBorder="1" applyAlignment="1">
      <alignment horizontal="center"/>
    </xf>
    <xf numFmtId="170" fontId="0" fillId="0" borderId="9" xfId="0" applyNumberFormat="1" applyFill="1" applyBorder="1" applyAlignment="1">
      <alignment horizontal="center"/>
    </xf>
    <xf numFmtId="170" fontId="3" fillId="0" borderId="11" xfId="0" applyNumberFormat="1" applyFont="1" applyFill="1" applyBorder="1" applyAlignment="1">
      <alignment horizontal="center"/>
    </xf>
    <xf numFmtId="170" fontId="0" fillId="3" borderId="34" xfId="0" applyNumberFormat="1" applyFont="1" applyFill="1" applyBorder="1" applyAlignment="1">
      <alignment horizontal="center"/>
    </xf>
    <xf numFmtId="170" fontId="0" fillId="3" borderId="28" xfId="0" applyNumberFormat="1" applyFont="1" applyFill="1" applyBorder="1" applyAlignment="1">
      <alignment horizontal="center"/>
    </xf>
    <xf numFmtId="170" fontId="0" fillId="3" borderId="32" xfId="0" applyNumberFormat="1" applyFont="1" applyFill="1" applyBorder="1" applyAlignment="1">
      <alignment horizontal="center"/>
    </xf>
    <xf numFmtId="170" fontId="0" fillId="3" borderId="30" xfId="0" applyNumberFormat="1" applyFont="1" applyFill="1" applyBorder="1" applyAlignment="1">
      <alignment horizontal="center"/>
    </xf>
    <xf numFmtId="170" fontId="0" fillId="3" borderId="57" xfId="0" applyNumberFormat="1" applyFont="1" applyFill="1" applyBorder="1" applyAlignment="1">
      <alignment horizontal="center"/>
    </xf>
    <xf numFmtId="175" fontId="5" fillId="0" borderId="55" xfId="0" applyNumberFormat="1" applyFont="1" applyFill="1" applyBorder="1" applyAlignment="1">
      <alignment horizontal="center"/>
    </xf>
    <xf numFmtId="170" fontId="1" fillId="11" borderId="25" xfId="0" applyNumberFormat="1" applyFont="1" applyFill="1" applyBorder="1" applyAlignment="1">
      <alignment horizontal="center"/>
    </xf>
    <xf numFmtId="170" fontId="1" fillId="10" borderId="9" xfId="0" applyNumberFormat="1" applyFont="1" applyFill="1" applyBorder="1" applyAlignment="1">
      <alignment horizontal="center"/>
    </xf>
    <xf numFmtId="170" fontId="1" fillId="3" borderId="28" xfId="0" applyNumberFormat="1" applyFont="1" applyFill="1" applyBorder="1" applyAlignment="1">
      <alignment horizontal="center"/>
    </xf>
    <xf numFmtId="170" fontId="1" fillId="11" borderId="21" xfId="0" applyNumberFormat="1" applyFont="1" applyFill="1" applyBorder="1" applyAlignment="1">
      <alignment horizontal="center"/>
    </xf>
    <xf numFmtId="170" fontId="1" fillId="10" borderId="1" xfId="0" applyNumberFormat="1" applyFont="1" applyFill="1" applyBorder="1" applyAlignment="1">
      <alignment horizontal="center"/>
    </xf>
    <xf numFmtId="170" fontId="1" fillId="11" borderId="1" xfId="0" applyNumberFormat="1" applyFont="1" applyFill="1" applyBorder="1" applyAlignment="1">
      <alignment horizontal="center"/>
    </xf>
    <xf numFmtId="170" fontId="1" fillId="3" borderId="1" xfId="0" applyNumberFormat="1" applyFont="1" applyFill="1" applyBorder="1" applyAlignment="1">
      <alignment horizontal="center"/>
    </xf>
    <xf numFmtId="170" fontId="1" fillId="11" borderId="52" xfId="0" applyNumberFormat="1" applyFont="1" applyFill="1" applyBorder="1" applyAlignment="1">
      <alignment horizontal="center"/>
    </xf>
    <xf numFmtId="170" fontId="1" fillId="11" borderId="43" xfId="0" applyNumberFormat="1" applyFont="1" applyFill="1" applyBorder="1" applyAlignment="1">
      <alignment horizontal="center"/>
    </xf>
    <xf numFmtId="170" fontId="1" fillId="10" borderId="11" xfId="0" applyNumberFormat="1" applyFont="1" applyFill="1" applyBorder="1" applyAlignment="1">
      <alignment horizontal="center"/>
    </xf>
    <xf numFmtId="170" fontId="1" fillId="3" borderId="11" xfId="0" applyNumberFormat="1" applyFont="1" applyFill="1" applyBorder="1" applyAlignment="1">
      <alignment horizontal="center"/>
    </xf>
    <xf numFmtId="167" fontId="1" fillId="11" borderId="14" xfId="0" applyNumberFormat="1" applyFont="1" applyFill="1" applyBorder="1" applyAlignment="1">
      <alignment horizontal="center"/>
    </xf>
    <xf numFmtId="167" fontId="1" fillId="11" borderId="25" xfId="0" applyNumberFormat="1" applyFont="1" applyFill="1" applyBorder="1" applyAlignment="1">
      <alignment horizontal="center"/>
    </xf>
    <xf numFmtId="167" fontId="1" fillId="10" borderId="25" xfId="0" applyNumberFormat="1" applyFont="1" applyFill="1" applyBorder="1" applyAlignment="1">
      <alignment horizontal="center"/>
    </xf>
    <xf numFmtId="167" fontId="1" fillId="11" borderId="15" xfId="0" applyNumberFormat="1" applyFont="1" applyFill="1" applyBorder="1" applyAlignment="1">
      <alignment horizontal="center"/>
    </xf>
    <xf numFmtId="167" fontId="1" fillId="11" borderId="21" xfId="0" applyNumberFormat="1" applyFont="1" applyFill="1" applyBorder="1" applyAlignment="1">
      <alignment horizontal="center"/>
    </xf>
    <xf numFmtId="167" fontId="1" fillId="10" borderId="21" xfId="0" applyNumberFormat="1" applyFont="1" applyFill="1" applyBorder="1" applyAlignment="1">
      <alignment horizontal="center"/>
    </xf>
    <xf numFmtId="167" fontId="1" fillId="11" borderId="53" xfId="0" applyNumberFormat="1" applyFont="1" applyFill="1" applyBorder="1" applyAlignment="1">
      <alignment horizontal="center"/>
    </xf>
    <xf numFmtId="167" fontId="1" fillId="11" borderId="52" xfId="0" applyNumberFormat="1" applyFont="1" applyFill="1" applyBorder="1" applyAlignment="1">
      <alignment horizontal="center"/>
    </xf>
    <xf numFmtId="167" fontId="1" fillId="11" borderId="1" xfId="0" applyNumberFormat="1" applyFont="1" applyFill="1" applyBorder="1" applyAlignment="1">
      <alignment horizontal="center"/>
    </xf>
    <xf numFmtId="167" fontId="1" fillId="11" borderId="17" xfId="0" applyNumberFormat="1" applyFont="1" applyFill="1" applyBorder="1" applyAlignment="1">
      <alignment horizontal="center"/>
    </xf>
    <xf numFmtId="167" fontId="1" fillId="11" borderId="43" xfId="0" applyNumberFormat="1" applyFont="1" applyFill="1" applyBorder="1" applyAlignment="1">
      <alignment horizontal="center"/>
    </xf>
    <xf numFmtId="167" fontId="1" fillId="10" borderId="43" xfId="0" applyNumberFormat="1" applyFont="1" applyFill="1" applyBorder="1" applyAlignment="1">
      <alignment horizontal="center"/>
    </xf>
    <xf numFmtId="167" fontId="1" fillId="11" borderId="9" xfId="0" applyNumberFormat="1" applyFont="1" applyFill="1" applyBorder="1" applyAlignment="1">
      <alignment horizontal="center"/>
    </xf>
    <xf numFmtId="167" fontId="1" fillId="11" borderId="28" xfId="0" applyNumberFormat="1" applyFont="1" applyFill="1" applyBorder="1" applyAlignment="1">
      <alignment horizontal="center"/>
    </xf>
    <xf numFmtId="167" fontId="1" fillId="11" borderId="11" xfId="0" applyNumberFormat="1" applyFont="1" applyFill="1" applyBorder="1" applyAlignment="1">
      <alignment horizontal="center"/>
    </xf>
    <xf numFmtId="167" fontId="1" fillId="10" borderId="16" xfId="0" applyNumberFormat="1" applyFont="1" applyFill="1" applyBorder="1" applyAlignment="1">
      <alignment horizontal="center"/>
    </xf>
    <xf numFmtId="167" fontId="1" fillId="10" borderId="52" xfId="0" applyNumberFormat="1" applyFont="1" applyFill="1" applyBorder="1" applyAlignment="1">
      <alignment horizontal="center"/>
    </xf>
    <xf numFmtId="0" fontId="0" fillId="0" borderId="1" xfId="0" applyBorder="1"/>
    <xf numFmtId="0" fontId="0" fillId="0" borderId="14" xfId="0" applyBorder="1"/>
    <xf numFmtId="0" fontId="0" fillId="0" borderId="9" xfId="0" applyBorder="1"/>
    <xf numFmtId="0" fontId="0" fillId="0" borderId="10" xfId="0" applyBorder="1"/>
    <xf numFmtId="49" fontId="0" fillId="0" borderId="15" xfId="0" applyNumberFormat="1" applyFont="1" applyFill="1" applyBorder="1" applyAlignment="1">
      <alignment horizontal="right"/>
    </xf>
    <xf numFmtId="49" fontId="0" fillId="0" borderId="16" xfId="0" applyNumberFormat="1" applyFont="1" applyFill="1" applyBorder="1" applyAlignment="1">
      <alignment horizontal="left"/>
    </xf>
    <xf numFmtId="0" fontId="0" fillId="0" borderId="15" xfId="0" applyFont="1" applyBorder="1" applyAlignment="1">
      <alignment horizontal="right"/>
    </xf>
    <xf numFmtId="0" fontId="0" fillId="0" borderId="15" xfId="0" applyBorder="1" applyAlignment="1">
      <alignment horizontal="right"/>
    </xf>
    <xf numFmtId="0" fontId="0" fillId="0" borderId="16" xfId="0" applyBorder="1"/>
    <xf numFmtId="49" fontId="0" fillId="0" borderId="17" xfId="0" applyNumberFormat="1" applyFont="1" applyFill="1" applyBorder="1" applyAlignment="1">
      <alignment horizontal="right"/>
    </xf>
    <xf numFmtId="0" fontId="0" fillId="0" borderId="11" xfId="0" applyBorder="1"/>
    <xf numFmtId="0" fontId="0" fillId="0" borderId="12" xfId="0" applyBorder="1"/>
    <xf numFmtId="0" fontId="8" fillId="0" borderId="0" xfId="0" applyFont="1" applyBorder="1" applyAlignment="1"/>
    <xf numFmtId="0" fontId="0" fillId="0" borderId="0" xfId="0" applyAlignment="1">
      <alignment vertical="top"/>
    </xf>
    <xf numFmtId="0" fontId="0" fillId="0" borderId="0" xfId="0" applyAlignment="1">
      <alignment horizontal="right" vertical="top"/>
    </xf>
    <xf numFmtId="175" fontId="5" fillId="0" borderId="11" xfId="0" applyNumberFormat="1" applyFont="1" applyFill="1" applyBorder="1" applyAlignment="1">
      <alignment horizontal="center"/>
    </xf>
    <xf numFmtId="175" fontId="5" fillId="0" borderId="9" xfId="0" applyNumberFormat="1" applyFont="1" applyFill="1" applyBorder="1" applyAlignment="1">
      <alignment horizontal="center"/>
    </xf>
    <xf numFmtId="175" fontId="5" fillId="0" borderId="1" xfId="0" applyNumberFormat="1" applyFont="1" applyFill="1" applyBorder="1" applyAlignment="1">
      <alignment horizontal="center"/>
    </xf>
    <xf numFmtId="0" fontId="1" fillId="9" borderId="26" xfId="0" applyFont="1" applyFill="1" applyBorder="1" applyAlignment="1">
      <alignment horizontal="center"/>
    </xf>
    <xf numFmtId="0" fontId="1" fillId="9" borderId="27" xfId="0" applyFont="1" applyFill="1" applyBorder="1" applyAlignment="1">
      <alignment horizontal="center"/>
    </xf>
    <xf numFmtId="175" fontId="5" fillId="0" borderId="1" xfId="0" applyNumberFormat="1" applyFont="1" applyFill="1" applyBorder="1" applyAlignment="1">
      <alignment horizontal="center"/>
    </xf>
    <xf numFmtId="175" fontId="5" fillId="0" borderId="9" xfId="0" applyNumberFormat="1" applyFont="1" applyFill="1" applyBorder="1" applyAlignment="1">
      <alignment horizontal="center"/>
    </xf>
    <xf numFmtId="175" fontId="5" fillId="0" borderId="1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75" fontId="5" fillId="0" borderId="1" xfId="0" applyNumberFormat="1" applyFont="1" applyFill="1" applyBorder="1" applyAlignment="1">
      <alignment horizontal="center"/>
    </xf>
    <xf numFmtId="0" fontId="1" fillId="9" borderId="26" xfId="0" applyFont="1" applyFill="1" applyBorder="1" applyAlignment="1">
      <alignment horizontal="center"/>
    </xf>
    <xf numFmtId="0" fontId="1" fillId="9" borderId="27" xfId="0" applyFont="1" applyFill="1" applyBorder="1" applyAlignment="1">
      <alignment horizontal="center"/>
    </xf>
    <xf numFmtId="175" fontId="5" fillId="0" borderId="9" xfId="0" applyNumberFormat="1" applyFont="1" applyFill="1" applyBorder="1" applyAlignment="1">
      <alignment horizontal="center"/>
    </xf>
    <xf numFmtId="175" fontId="5" fillId="0" borderId="11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12" fillId="0" borderId="10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2" fillId="0" borderId="34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" fillId="9" borderId="32" xfId="0" applyFont="1" applyFill="1" applyBorder="1" applyAlignment="1">
      <alignment horizontal="center" vertical="center"/>
    </xf>
    <xf numFmtId="0" fontId="0" fillId="9" borderId="11" xfId="0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9" borderId="24" xfId="0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9" borderId="15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" fillId="5" borderId="26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75" fontId="12" fillId="0" borderId="25" xfId="0" applyNumberFormat="1" applyFont="1" applyFill="1" applyBorder="1" applyAlignment="1">
      <alignment horizontal="center" vertical="center"/>
    </xf>
    <xf numFmtId="175" fontId="0" fillId="0" borderId="21" xfId="0" applyNumberFormat="1" applyBorder="1" applyAlignment="1">
      <alignment horizontal="center" vertical="center"/>
    </xf>
    <xf numFmtId="175" fontId="0" fillId="0" borderId="11" xfId="0" applyNumberFormat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170" fontId="1" fillId="2" borderId="22" xfId="0" applyNumberFormat="1" applyFont="1" applyFill="1" applyBorder="1" applyAlignment="1">
      <alignment horizontal="center" vertical="center"/>
    </xf>
    <xf numFmtId="170" fontId="0" fillId="0" borderId="33" xfId="0" applyNumberFormat="1" applyBorder="1" applyAlignment="1">
      <alignment horizontal="center" vertical="center"/>
    </xf>
    <xf numFmtId="175" fontId="12" fillId="0" borderId="34" xfId="0" applyNumberFormat="1" applyFont="1" applyFill="1" applyBorder="1" applyAlignment="1">
      <alignment horizontal="center" vertical="center"/>
    </xf>
    <xf numFmtId="175" fontId="0" fillId="0" borderId="20" xfId="0" applyNumberFormat="1" applyBorder="1" applyAlignment="1">
      <alignment horizontal="center" vertical="center"/>
    </xf>
    <xf numFmtId="175" fontId="0" fillId="0" borderId="1" xfId="0" applyNumberFormat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175" fontId="12" fillId="0" borderId="10" xfId="0" applyNumberFormat="1" applyFont="1" applyFill="1" applyBorder="1" applyAlignment="1">
      <alignment horizontal="center" vertical="center"/>
    </xf>
    <xf numFmtId="175" fontId="0" fillId="0" borderId="16" xfId="0" applyNumberFormat="1" applyBorder="1" applyAlignment="1">
      <alignment horizontal="center" vertical="center"/>
    </xf>
    <xf numFmtId="175" fontId="0" fillId="0" borderId="12" xfId="0" applyNumberFormat="1" applyBorder="1" applyAlignment="1">
      <alignment horizontal="center" vertical="center"/>
    </xf>
    <xf numFmtId="170" fontId="1" fillId="2" borderId="29" xfId="0" applyNumberFormat="1" applyFont="1" applyFill="1" applyBorder="1" applyAlignment="1">
      <alignment horizontal="center" vertical="center"/>
    </xf>
    <xf numFmtId="170" fontId="0" fillId="0" borderId="36" xfId="0" applyNumberForma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170" fontId="1" fillId="2" borderId="13" xfId="0" applyNumberFormat="1" applyFont="1" applyFill="1" applyBorder="1" applyAlignment="1">
      <alignment horizontal="center" vertical="center"/>
    </xf>
    <xf numFmtId="170" fontId="0" fillId="0" borderId="23" xfId="0" applyNumberFormat="1" applyBorder="1" applyAlignment="1">
      <alignment horizontal="center" vertical="center"/>
    </xf>
    <xf numFmtId="170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0" fontId="1" fillId="2" borderId="23" xfId="0" applyNumberFormat="1" applyFont="1" applyFill="1" applyBorder="1" applyAlignment="1">
      <alignment horizontal="center" vertical="center"/>
    </xf>
    <xf numFmtId="175" fontId="1" fillId="2" borderId="29" xfId="0" applyNumberFormat="1" applyFont="1" applyFill="1" applyBorder="1" applyAlignment="1">
      <alignment horizontal="center" vertical="center"/>
    </xf>
    <xf numFmtId="175" fontId="0" fillId="0" borderId="36" xfId="0" applyNumberFormat="1" applyBorder="1" applyAlignment="1">
      <alignment horizontal="center" vertical="center"/>
    </xf>
    <xf numFmtId="175" fontId="1" fillId="2" borderId="22" xfId="0" applyNumberFormat="1" applyFont="1" applyFill="1" applyBorder="1" applyAlignment="1">
      <alignment horizontal="center" vertical="center"/>
    </xf>
    <xf numFmtId="175" fontId="0" fillId="0" borderId="33" xfId="0" applyNumberFormat="1" applyBorder="1" applyAlignment="1">
      <alignment horizontal="center" vertical="center"/>
    </xf>
    <xf numFmtId="175" fontId="12" fillId="0" borderId="29" xfId="0" applyNumberFormat="1" applyFont="1" applyFill="1" applyBorder="1" applyAlignment="1">
      <alignment horizontal="center" vertical="center"/>
    </xf>
    <xf numFmtId="175" fontId="0" fillId="0" borderId="47" xfId="0" applyNumberFormat="1" applyBorder="1" applyAlignment="1">
      <alignment horizontal="center" vertical="center"/>
    </xf>
    <xf numFmtId="175" fontId="12" fillId="0" borderId="38" xfId="0" applyNumberFormat="1" applyFont="1" applyFill="1" applyBorder="1" applyAlignment="1">
      <alignment horizontal="center" vertical="center"/>
    </xf>
    <xf numFmtId="175" fontId="0" fillId="0" borderId="45" xfId="0" applyNumberFormat="1" applyBorder="1" applyAlignment="1">
      <alignment horizontal="center" vertical="center"/>
    </xf>
    <xf numFmtId="175" fontId="0" fillId="0" borderId="46" xfId="0" applyNumberFormat="1" applyBorder="1" applyAlignment="1">
      <alignment horizontal="center" vertical="center"/>
    </xf>
    <xf numFmtId="170" fontId="12" fillId="0" borderId="25" xfId="0" applyNumberFormat="1" applyFont="1" applyFill="1" applyBorder="1" applyAlignment="1">
      <alignment horizontal="center" vertical="center"/>
    </xf>
    <xf numFmtId="170" fontId="0" fillId="0" borderId="21" xfId="0" applyNumberFormat="1" applyBorder="1" applyAlignment="1">
      <alignment horizontal="center" vertical="center"/>
    </xf>
    <xf numFmtId="170" fontId="0" fillId="0" borderId="11" xfId="0" applyNumberFormat="1" applyBorder="1" applyAlignment="1">
      <alignment horizontal="center" vertical="center"/>
    </xf>
    <xf numFmtId="170" fontId="12" fillId="0" borderId="10" xfId="0" applyNumberFormat="1" applyFont="1" applyFill="1" applyBorder="1" applyAlignment="1">
      <alignment horizontal="center" vertical="center"/>
    </xf>
    <xf numFmtId="170" fontId="0" fillId="0" borderId="16" xfId="0" applyNumberFormat="1" applyBorder="1" applyAlignment="1">
      <alignment horizontal="center" vertical="center"/>
    </xf>
    <xf numFmtId="170" fontId="0" fillId="0" borderId="12" xfId="0" applyNumberFormat="1" applyBorder="1" applyAlignment="1">
      <alignment horizontal="center" vertical="center"/>
    </xf>
    <xf numFmtId="164" fontId="1" fillId="2" borderId="13" xfId="0" applyNumberFormat="1" applyFont="1" applyFill="1" applyBorder="1" applyAlignment="1">
      <alignment horizontal="center" vertical="center"/>
    </xf>
    <xf numFmtId="164" fontId="1" fillId="2" borderId="26" xfId="0" applyNumberFormat="1" applyFont="1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170" fontId="1" fillId="2" borderId="26" xfId="0" applyNumberFormat="1" applyFont="1" applyFill="1" applyBorder="1" applyAlignment="1">
      <alignment horizontal="center" vertical="center"/>
    </xf>
    <xf numFmtId="170" fontId="0" fillId="0" borderId="37" xfId="0" applyNumberFormat="1" applyBorder="1" applyAlignment="1">
      <alignment horizontal="center" vertical="center"/>
    </xf>
    <xf numFmtId="175" fontId="5" fillId="0" borderId="11" xfId="0" applyNumberFormat="1" applyFont="1" applyFill="1" applyBorder="1" applyAlignment="1">
      <alignment horizontal="center"/>
    </xf>
    <xf numFmtId="0" fontId="0" fillId="0" borderId="11" xfId="0" applyBorder="1" applyAlignment="1"/>
    <xf numFmtId="175" fontId="5" fillId="0" borderId="9" xfId="0" applyNumberFormat="1" applyFont="1" applyFill="1" applyBorder="1" applyAlignment="1">
      <alignment horizontal="center"/>
    </xf>
    <xf numFmtId="0" fontId="0" fillId="0" borderId="10" xfId="0" applyBorder="1" applyAlignment="1"/>
    <xf numFmtId="175" fontId="5" fillId="0" borderId="1" xfId="0" applyNumberFormat="1" applyFont="1" applyFill="1" applyBorder="1" applyAlignment="1">
      <alignment horizontal="center"/>
    </xf>
    <xf numFmtId="0" fontId="0" fillId="0" borderId="16" xfId="0" applyBorder="1" applyAlignment="1"/>
    <xf numFmtId="0" fontId="0" fillId="0" borderId="12" xfId="0" applyBorder="1" applyAlignment="1"/>
    <xf numFmtId="167" fontId="0" fillId="3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75" fontId="5" fillId="0" borderId="28" xfId="0" applyNumberFormat="1" applyFont="1" applyFill="1" applyBorder="1" applyAlignment="1">
      <alignment horizontal="center"/>
    </xf>
    <xf numFmtId="0" fontId="0" fillId="0" borderId="28" xfId="0" applyBorder="1" applyAlignment="1"/>
    <xf numFmtId="0" fontId="0" fillId="0" borderId="1" xfId="0" applyBorder="1" applyAlignment="1"/>
    <xf numFmtId="167" fontId="0" fillId="3" borderId="28" xfId="0" applyNumberFormat="1" applyFont="1" applyFill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0" fillId="0" borderId="48" xfId="0" applyBorder="1" applyAlignment="1"/>
    <xf numFmtId="0" fontId="12" fillId="0" borderId="27" xfId="0" applyFont="1" applyFill="1" applyBorder="1" applyAlignment="1">
      <alignment horizontal="center" vertical="center"/>
    </xf>
    <xf numFmtId="0" fontId="0" fillId="0" borderId="49" xfId="0" applyBorder="1" applyAlignment="1"/>
    <xf numFmtId="0" fontId="8" fillId="0" borderId="0" xfId="0" applyFont="1" applyAlignment="1"/>
    <xf numFmtId="0" fontId="0" fillId="0" borderId="0" xfId="0" applyAlignment="1"/>
    <xf numFmtId="175" fontId="5" fillId="0" borderId="20" xfId="0" applyNumberFormat="1" applyFont="1" applyFill="1" applyBorder="1" applyAlignment="1">
      <alignment horizontal="center"/>
    </xf>
    <xf numFmtId="175" fontId="5" fillId="0" borderId="21" xfId="0" applyNumberFormat="1" applyFont="1" applyFill="1" applyBorder="1" applyAlignment="1">
      <alignment horizontal="center"/>
    </xf>
    <xf numFmtId="175" fontId="5" fillId="0" borderId="44" xfId="0" applyNumberFormat="1" applyFont="1" applyFill="1" applyBorder="1" applyAlignment="1">
      <alignment horizontal="center"/>
    </xf>
    <xf numFmtId="175" fontId="5" fillId="0" borderId="43" xfId="0" applyNumberFormat="1" applyFont="1" applyFill="1" applyBorder="1" applyAlignment="1">
      <alignment horizontal="center"/>
    </xf>
    <xf numFmtId="167" fontId="0" fillId="3" borderId="18" xfId="0" applyNumberFormat="1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167" fontId="0" fillId="3" borderId="56" xfId="0" applyNumberFormat="1" applyFont="1" applyFill="1" applyBorder="1" applyAlignment="1">
      <alignment horizontal="center"/>
    </xf>
    <xf numFmtId="0" fontId="0" fillId="0" borderId="43" xfId="0" applyBorder="1" applyAlignment="1">
      <alignment horizontal="center"/>
    </xf>
    <xf numFmtId="0" fontId="8" fillId="0" borderId="0" xfId="0" applyFont="1" applyBorder="1" applyAlignment="1"/>
    <xf numFmtId="0" fontId="8" fillId="0" borderId="50" xfId="0" applyFont="1" applyBorder="1" applyAlignment="1"/>
    <xf numFmtId="0" fontId="8" fillId="0" borderId="51" xfId="0" applyFont="1" applyBorder="1" applyAlignment="1"/>
    <xf numFmtId="0" fontId="0" fillId="0" borderId="54" xfId="0" applyBorder="1" applyAlignment="1">
      <alignment horizontal="center" vertical="center"/>
    </xf>
    <xf numFmtId="167" fontId="0" fillId="3" borderId="19" xfId="0" applyNumberFormat="1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51" xfId="0" applyBorder="1" applyAlignment="1">
      <alignment vertical="top"/>
    </xf>
    <xf numFmtId="0" fontId="12" fillId="0" borderId="3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" fillId="9" borderId="26" xfId="0" applyFont="1" applyFill="1" applyBorder="1" applyAlignment="1">
      <alignment horizontal="center"/>
    </xf>
    <xf numFmtId="0" fontId="0" fillId="0" borderId="48" xfId="0" applyBorder="1" applyAlignment="1">
      <alignment horizontal="center"/>
    </xf>
    <xf numFmtId="0" fontId="1" fillId="9" borderId="27" xfId="0" applyFont="1" applyFill="1" applyBorder="1" applyAlignment="1">
      <alignment horizontal="center"/>
    </xf>
    <xf numFmtId="0" fontId="0" fillId="0" borderId="49" xfId="0" applyBorder="1" applyAlignment="1">
      <alignment horizontal="center"/>
    </xf>
    <xf numFmtId="0" fontId="1" fillId="9" borderId="26" xfId="0" applyFont="1" applyFill="1" applyBorder="1" applyAlignment="1">
      <alignment horizontal="center" vertical="center" shrinkToFit="1"/>
    </xf>
    <xf numFmtId="0" fontId="0" fillId="0" borderId="50" xfId="0" applyBorder="1" applyAlignment="1">
      <alignment horizontal="center"/>
    </xf>
    <xf numFmtId="0" fontId="1" fillId="9" borderId="27" xfId="0" applyFont="1" applyFill="1" applyBorder="1" applyAlignment="1">
      <alignment horizontal="center" vertical="center" shrinkToFit="1"/>
    </xf>
    <xf numFmtId="0" fontId="0" fillId="0" borderId="51" xfId="0" applyBorder="1" applyAlignment="1">
      <alignment horizontal="center"/>
    </xf>
    <xf numFmtId="0" fontId="1" fillId="9" borderId="13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" fillId="9" borderId="47" xfId="0" applyFont="1" applyFill="1" applyBorder="1" applyAlignment="1">
      <alignment horizontal="center"/>
    </xf>
    <xf numFmtId="0" fontId="0" fillId="0" borderId="46" xfId="0" applyBorder="1" applyAlignment="1">
      <alignment horizontal="center"/>
    </xf>
    <xf numFmtId="0" fontId="1" fillId="9" borderId="51" xfId="0" applyFont="1" applyFill="1" applyBorder="1" applyAlignment="1">
      <alignment horizontal="center" vertical="center" shrinkToFit="1"/>
    </xf>
    <xf numFmtId="167" fontId="0" fillId="3" borderId="11" xfId="0" applyNumberFormat="1" applyFont="1" applyFill="1" applyBorder="1" applyAlignment="1">
      <alignment horizontal="center"/>
    </xf>
    <xf numFmtId="167" fontId="0" fillId="0" borderId="11" xfId="0" applyNumberFormat="1" applyBorder="1" applyAlignment="1">
      <alignment horizontal="center"/>
    </xf>
    <xf numFmtId="0" fontId="0" fillId="0" borderId="54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C4D9FC"/>
      <color rgb="FFCBC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6.xml"/><Relationship Id="rId1" Type="http://schemas.openxmlformats.org/officeDocument/2006/relationships/vmlDrawing" Target="../drawings/vmlDrawing16.v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7.xml"/><Relationship Id="rId1" Type="http://schemas.openxmlformats.org/officeDocument/2006/relationships/vmlDrawing" Target="../drawings/vmlDrawing17.v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0.xml"/><Relationship Id="rId1" Type="http://schemas.openxmlformats.org/officeDocument/2006/relationships/vmlDrawing" Target="../drawings/vmlDrawing20.v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14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15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16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M102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43" sqref="C43"/>
    </sheetView>
  </sheetViews>
  <sheetFormatPr defaultRowHeight="15" x14ac:dyDescent="0.25"/>
  <cols>
    <col min="1" max="1" width="3.140625" customWidth="1"/>
    <col min="2" max="2" width="16.85546875" bestFit="1" customWidth="1"/>
    <col min="3" max="3" width="34.42578125" bestFit="1" customWidth="1"/>
    <col min="4" max="4" width="34.42578125" style="4" bestFit="1" customWidth="1"/>
    <col min="5" max="5" width="23" style="4" customWidth="1"/>
    <col min="6" max="6" width="24" style="4" customWidth="1"/>
    <col min="7" max="7" width="32.28515625" bestFit="1" customWidth="1"/>
    <col min="8" max="8" width="32.28515625" style="4" bestFit="1" customWidth="1"/>
    <col min="9" max="9" width="27.85546875" bestFit="1" customWidth="1"/>
    <col min="10" max="10" width="23.140625" customWidth="1"/>
    <col min="11" max="11" width="17.85546875" customWidth="1"/>
    <col min="12" max="12" width="18.7109375" customWidth="1"/>
  </cols>
  <sheetData>
    <row r="1" spans="2:10" ht="23.25" x14ac:dyDescent="0.35">
      <c r="B1" s="338" t="s">
        <v>289</v>
      </c>
      <c r="C1" s="338"/>
      <c r="D1" s="338"/>
      <c r="E1" s="338"/>
      <c r="F1" s="338"/>
      <c r="G1" s="338"/>
      <c r="H1" s="338"/>
      <c r="I1" s="338"/>
      <c r="J1" s="338"/>
    </row>
    <row r="2" spans="2:10" x14ac:dyDescent="0.25">
      <c r="B2" s="69" t="s">
        <v>340</v>
      </c>
      <c r="C2" t="s">
        <v>341</v>
      </c>
      <c r="D2" t="s">
        <v>342</v>
      </c>
    </row>
    <row r="3" spans="2:10" ht="15.75" thickBot="1" x14ac:dyDescent="0.3"/>
    <row r="4" spans="2:10" x14ac:dyDescent="0.25">
      <c r="B4" s="328" t="s">
        <v>10</v>
      </c>
      <c r="C4" s="78" t="s">
        <v>14</v>
      </c>
      <c r="D4" s="79" t="s">
        <v>14</v>
      </c>
      <c r="E4" s="330" t="s">
        <v>354</v>
      </c>
      <c r="F4" s="324" t="s">
        <v>355</v>
      </c>
      <c r="G4" s="78" t="s">
        <v>14</v>
      </c>
      <c r="H4" s="79" t="s">
        <v>14</v>
      </c>
      <c r="I4" s="330" t="s">
        <v>354</v>
      </c>
      <c r="J4" s="321" t="s">
        <v>355</v>
      </c>
    </row>
    <row r="5" spans="2:10" x14ac:dyDescent="0.25">
      <c r="B5" s="329"/>
      <c r="C5" s="75" t="s">
        <v>290</v>
      </c>
      <c r="D5" s="76" t="s">
        <v>291</v>
      </c>
      <c r="E5" s="331"/>
      <c r="F5" s="325"/>
      <c r="G5" s="75" t="s">
        <v>290</v>
      </c>
      <c r="H5" s="76" t="s">
        <v>291</v>
      </c>
      <c r="I5" s="331"/>
      <c r="J5" s="322"/>
    </row>
    <row r="6" spans="2:10" x14ac:dyDescent="0.25">
      <c r="B6" s="339" t="s">
        <v>11</v>
      </c>
      <c r="C6" s="334" t="s">
        <v>12</v>
      </c>
      <c r="D6" s="77" t="s">
        <v>12</v>
      </c>
      <c r="E6" s="331"/>
      <c r="F6" s="326"/>
      <c r="G6" s="334" t="s">
        <v>13</v>
      </c>
      <c r="H6" s="77" t="s">
        <v>13</v>
      </c>
      <c r="I6" s="331"/>
      <c r="J6" s="322"/>
    </row>
    <row r="7" spans="2:10" ht="15.75" thickBot="1" x14ac:dyDescent="0.3">
      <c r="B7" s="333"/>
      <c r="C7" s="335"/>
      <c r="D7" s="80" t="s">
        <v>82</v>
      </c>
      <c r="E7" s="327"/>
      <c r="F7" s="327"/>
      <c r="G7" s="335"/>
      <c r="H7" s="80" t="s">
        <v>83</v>
      </c>
      <c r="I7" s="327"/>
      <c r="J7" s="323"/>
    </row>
    <row r="8" spans="2:10" x14ac:dyDescent="0.25">
      <c r="B8" s="44">
        <v>1</v>
      </c>
      <c r="C8" s="157">
        <v>1.66667E-2</v>
      </c>
      <c r="D8" s="45">
        <v>1.6666666666666701E-2</v>
      </c>
      <c r="E8" s="45">
        <f>D8-C8</f>
        <v>-3.3333333298440904E-8</v>
      </c>
      <c r="F8" s="46">
        <f>(100*E8)/D8</f>
        <v>-1.9999999979064502E-4</v>
      </c>
      <c r="G8" s="157">
        <v>2.7777800000000001E-4</v>
      </c>
      <c r="H8" s="46">
        <f>B8/3600</f>
        <v>2.7777777777777778E-4</v>
      </c>
      <c r="I8" s="72">
        <f>G8-H8</f>
        <v>2.2222222223174451E-10</v>
      </c>
      <c r="J8" s="108">
        <f>(100*I8)/H8</f>
        <v>8.0000000003428023E-5</v>
      </c>
    </row>
    <row r="9" spans="2:10" x14ac:dyDescent="0.25">
      <c r="B9" s="47">
        <v>10</v>
      </c>
      <c r="C9" s="155">
        <v>0.16666700000000001</v>
      </c>
      <c r="D9" s="38">
        <v>0.16666666666666599</v>
      </c>
      <c r="E9" s="38">
        <f t="shared" ref="E9:E16" si="0">D9-C9</f>
        <v>-3.3333333401830423E-7</v>
      </c>
      <c r="F9" s="110">
        <f t="shared" ref="F9:F16" si="1">(100*E9)/D9</f>
        <v>-2.0000000041098335E-4</v>
      </c>
      <c r="G9" s="155">
        <v>2.7777800000000001E-3</v>
      </c>
      <c r="H9" s="39">
        <f t="shared" ref="H9:H16" si="2">B9/3600</f>
        <v>2.7777777777777779E-3</v>
      </c>
      <c r="I9" s="71">
        <f t="shared" ref="I9:I16" si="3">G9-H9</f>
        <v>2.2222222222090249E-9</v>
      </c>
      <c r="J9" s="107">
        <f t="shared" ref="J9:J16" si="4">(100*I9)/H9</f>
        <v>7.9999999999524896E-5</v>
      </c>
    </row>
    <row r="10" spans="2:10" x14ac:dyDescent="0.25">
      <c r="B10" s="47">
        <v>125</v>
      </c>
      <c r="C10" s="155">
        <v>2.0833300000000001</v>
      </c>
      <c r="D10" s="38">
        <v>2.0833333333333299</v>
      </c>
      <c r="E10" s="38">
        <f t="shared" si="0"/>
        <v>3.333333329802457E-6</v>
      </c>
      <c r="F10" s="110">
        <f t="shared" si="1"/>
        <v>1.5999999983051821E-4</v>
      </c>
      <c r="G10" s="155">
        <v>3.4722200000000002E-2</v>
      </c>
      <c r="H10" s="40">
        <f t="shared" si="2"/>
        <v>3.4722222222222224E-2</v>
      </c>
      <c r="I10" s="71">
        <f t="shared" si="3"/>
        <v>-2.2222222222090249E-8</v>
      </c>
      <c r="J10" s="107">
        <f t="shared" si="4"/>
        <v>-6.3999999999619916E-5</v>
      </c>
    </row>
    <row r="11" spans="2:10" x14ac:dyDescent="0.25">
      <c r="B11" s="47">
        <v>624</v>
      </c>
      <c r="C11" s="155">
        <v>10.4</v>
      </c>
      <c r="D11" s="38">
        <v>10.4</v>
      </c>
      <c r="E11" s="38">
        <f t="shared" si="0"/>
        <v>0</v>
      </c>
      <c r="F11" s="110">
        <f t="shared" si="1"/>
        <v>0</v>
      </c>
      <c r="G11" s="155">
        <v>0.17333299999999999</v>
      </c>
      <c r="H11" s="26">
        <f t="shared" si="2"/>
        <v>0.17333333333333334</v>
      </c>
      <c r="I11" s="71">
        <f t="shared" si="3"/>
        <v>-3.3333333335217041E-7</v>
      </c>
      <c r="J11" s="107">
        <f t="shared" si="4"/>
        <v>-1.9230769231855984E-4</v>
      </c>
    </row>
    <row r="12" spans="2:10" x14ac:dyDescent="0.25">
      <c r="B12" s="47">
        <v>1687</v>
      </c>
      <c r="C12" s="155">
        <v>28.116700000000002</v>
      </c>
      <c r="D12" s="38">
        <v>28.1166666666666</v>
      </c>
      <c r="E12" s="38">
        <f t="shared" si="0"/>
        <v>-3.3333333401941445E-5</v>
      </c>
      <c r="F12" s="110">
        <f t="shared" si="1"/>
        <v>-1.1855364576861241E-4</v>
      </c>
      <c r="G12" s="155">
        <v>0.468611</v>
      </c>
      <c r="H12" s="26">
        <f t="shared" si="2"/>
        <v>0.46861111111111109</v>
      </c>
      <c r="I12" s="71">
        <f t="shared" si="3"/>
        <v>-1.1111111108963456E-7</v>
      </c>
      <c r="J12" s="107">
        <f t="shared" si="4"/>
        <v>-2.3710729100336957E-5</v>
      </c>
    </row>
    <row r="13" spans="2:10" x14ac:dyDescent="0.25">
      <c r="B13" s="47">
        <v>10397</v>
      </c>
      <c r="C13" s="155">
        <v>173.28299999999999</v>
      </c>
      <c r="D13" s="38">
        <v>173.28333333333299</v>
      </c>
      <c r="E13" s="38">
        <f t="shared" si="0"/>
        <v>3.3333333300333834E-4</v>
      </c>
      <c r="F13" s="110">
        <f t="shared" si="1"/>
        <v>1.9236318149658881E-4</v>
      </c>
      <c r="G13" s="155">
        <v>2.8880599999999998</v>
      </c>
      <c r="H13" s="41">
        <f t="shared" si="2"/>
        <v>2.8880555555555554</v>
      </c>
      <c r="I13" s="71">
        <f t="shared" si="3"/>
        <v>4.4444444444735609E-6</v>
      </c>
      <c r="J13" s="107">
        <f t="shared" si="4"/>
        <v>1.5389054535062827E-4</v>
      </c>
    </row>
    <row r="14" spans="2:10" x14ac:dyDescent="0.25">
      <c r="B14" s="47">
        <v>11223344556677</v>
      </c>
      <c r="C14" s="155">
        <v>187055742611</v>
      </c>
      <c r="D14" s="38">
        <v>187055742611.28299</v>
      </c>
      <c r="E14" s="38">
        <f t="shared" si="0"/>
        <v>0.282989501953125</v>
      </c>
      <c r="F14" s="110">
        <f t="shared" si="1"/>
        <v>1.5128618774415291E-10</v>
      </c>
      <c r="G14" s="155">
        <v>3117595710</v>
      </c>
      <c r="H14" s="42">
        <f t="shared" si="2"/>
        <v>3117595710.1880555</v>
      </c>
      <c r="I14" s="71">
        <f t="shared" si="3"/>
        <v>-0.18805551528930664</v>
      </c>
      <c r="J14" s="107">
        <f t="shared" si="4"/>
        <v>-6.0320687084202778E-9</v>
      </c>
    </row>
    <row r="15" spans="2:10" x14ac:dyDescent="0.25">
      <c r="B15" s="47">
        <v>40575</v>
      </c>
      <c r="C15" s="155">
        <v>676.25</v>
      </c>
      <c r="D15" s="38">
        <v>676.25</v>
      </c>
      <c r="E15" s="38">
        <f t="shared" si="0"/>
        <v>0</v>
      </c>
      <c r="F15" s="110">
        <f t="shared" si="1"/>
        <v>0</v>
      </c>
      <c r="G15" s="155">
        <v>11.270799999999999</v>
      </c>
      <c r="H15" s="43">
        <f t="shared" si="2"/>
        <v>11.270833333333334</v>
      </c>
      <c r="I15" s="71">
        <f t="shared" si="3"/>
        <v>-3.3333333334439885E-5</v>
      </c>
      <c r="J15" s="107">
        <f t="shared" si="4"/>
        <v>-2.9574861368819122E-4</v>
      </c>
    </row>
    <row r="16" spans="2:10" ht="15.75" thickBot="1" x14ac:dyDescent="0.3">
      <c r="B16" s="48">
        <v>0.12345</v>
      </c>
      <c r="C16" s="158">
        <v>2.0574999999999999E-3</v>
      </c>
      <c r="D16" s="49">
        <v>2.0574999999999999E-3</v>
      </c>
      <c r="E16" s="49">
        <f t="shared" si="0"/>
        <v>0</v>
      </c>
      <c r="F16" s="61">
        <f t="shared" si="1"/>
        <v>0</v>
      </c>
      <c r="G16" s="158">
        <v>3.4291666666666703E-5</v>
      </c>
      <c r="H16" s="50">
        <f t="shared" si="2"/>
        <v>3.4291666666666669E-5</v>
      </c>
      <c r="I16" s="73">
        <f t="shared" si="3"/>
        <v>0</v>
      </c>
      <c r="J16" s="109">
        <f t="shared" si="4"/>
        <v>0</v>
      </c>
    </row>
    <row r="17" spans="2:10" ht="15.75" thickBot="1" x14ac:dyDescent="0.3">
      <c r="B17" s="1"/>
      <c r="C17" s="2"/>
      <c r="D17" s="3"/>
      <c r="E17" s="3"/>
      <c r="F17" s="3"/>
      <c r="G17" s="2"/>
      <c r="H17" s="3"/>
      <c r="I17" s="3"/>
    </row>
    <row r="18" spans="2:10" x14ac:dyDescent="0.25">
      <c r="B18" s="328" t="s">
        <v>10</v>
      </c>
      <c r="C18" s="78" t="s">
        <v>14</v>
      </c>
      <c r="D18" s="79" t="s">
        <v>14</v>
      </c>
      <c r="E18" s="330" t="s">
        <v>354</v>
      </c>
      <c r="F18" s="324" t="s">
        <v>355</v>
      </c>
      <c r="G18" s="78" t="s">
        <v>14</v>
      </c>
      <c r="H18" s="79" t="s">
        <v>14</v>
      </c>
      <c r="I18" s="330" t="s">
        <v>354</v>
      </c>
      <c r="J18" s="321" t="s">
        <v>355</v>
      </c>
    </row>
    <row r="19" spans="2:10" x14ac:dyDescent="0.25">
      <c r="B19" s="329"/>
      <c r="C19" s="75" t="s">
        <v>290</v>
      </c>
      <c r="D19" s="76" t="s">
        <v>291</v>
      </c>
      <c r="E19" s="331"/>
      <c r="F19" s="325"/>
      <c r="G19" s="75" t="s">
        <v>290</v>
      </c>
      <c r="H19" s="76" t="s">
        <v>291</v>
      </c>
      <c r="I19" s="331"/>
      <c r="J19" s="322"/>
    </row>
    <row r="20" spans="2:10" x14ac:dyDescent="0.25">
      <c r="B20" s="332" t="s">
        <v>12</v>
      </c>
      <c r="C20" s="334" t="s">
        <v>11</v>
      </c>
      <c r="D20" s="77" t="s">
        <v>11</v>
      </c>
      <c r="E20" s="331"/>
      <c r="F20" s="326"/>
      <c r="G20" s="334" t="s">
        <v>13</v>
      </c>
      <c r="H20" s="77" t="s">
        <v>13</v>
      </c>
      <c r="I20" s="331"/>
      <c r="J20" s="322"/>
    </row>
    <row r="21" spans="2:10" ht="30.75" thickBot="1" x14ac:dyDescent="0.3">
      <c r="B21" s="333"/>
      <c r="C21" s="335"/>
      <c r="D21" s="83" t="s">
        <v>84</v>
      </c>
      <c r="E21" s="327"/>
      <c r="F21" s="327"/>
      <c r="G21" s="335"/>
      <c r="H21" s="84" t="s">
        <v>86</v>
      </c>
      <c r="I21" s="327"/>
      <c r="J21" s="323"/>
    </row>
    <row r="22" spans="2:10" ht="15.75" thickBot="1" x14ac:dyDescent="0.3">
      <c r="B22" s="44">
        <v>1</v>
      </c>
      <c r="C22" s="154">
        <v>60</v>
      </c>
      <c r="D22" s="106">
        <v>60</v>
      </c>
      <c r="E22" s="100">
        <f>D22-C22</f>
        <v>0</v>
      </c>
      <c r="F22" s="54">
        <f>(100*E22)/D22</f>
        <v>0</v>
      </c>
      <c r="G22" s="154">
        <v>1.66667E-2</v>
      </c>
      <c r="H22" s="106">
        <v>1.6666666666666701E-2</v>
      </c>
      <c r="I22" s="100">
        <f>H22-G22</f>
        <v>-3.3333333298440904E-8</v>
      </c>
      <c r="J22" s="162">
        <f>(100*I22)/H22</f>
        <v>-1.9999999979064502E-4</v>
      </c>
    </row>
    <row r="23" spans="2:10" ht="15.75" thickBot="1" x14ac:dyDescent="0.3">
      <c r="B23" s="47">
        <v>100</v>
      </c>
      <c r="C23" s="159">
        <v>6000</v>
      </c>
      <c r="D23" s="104">
        <v>6000</v>
      </c>
      <c r="E23" s="100">
        <f t="shared" ref="E23:E29" si="5">D23-C23</f>
        <v>0</v>
      </c>
      <c r="F23" s="52">
        <f t="shared" ref="F23:F29" si="6">(100*E23)/D23</f>
        <v>0</v>
      </c>
      <c r="G23" s="159">
        <v>1.6666700000000001</v>
      </c>
      <c r="H23" s="104">
        <v>1.6666666666666601</v>
      </c>
      <c r="I23" s="99">
        <f t="shared" ref="I23:I29" si="7">H23-G23</f>
        <v>-3.3333333400165088E-6</v>
      </c>
      <c r="J23" s="153">
        <f t="shared" ref="J23:J29" si="8">(100*I23)/H23</f>
        <v>-2.0000000040099132E-4</v>
      </c>
    </row>
    <row r="24" spans="2:10" ht="15.75" thickBot="1" x14ac:dyDescent="0.3">
      <c r="B24" s="47">
        <v>741</v>
      </c>
      <c r="C24" s="159">
        <v>44460</v>
      </c>
      <c r="D24" s="104">
        <v>44460</v>
      </c>
      <c r="E24" s="100">
        <f t="shared" si="5"/>
        <v>0</v>
      </c>
      <c r="F24" s="52">
        <f t="shared" si="6"/>
        <v>0</v>
      </c>
      <c r="G24" s="161">
        <v>12.35</v>
      </c>
      <c r="H24" s="104">
        <v>12.35</v>
      </c>
      <c r="I24" s="99">
        <f t="shared" si="7"/>
        <v>0</v>
      </c>
      <c r="J24" s="153">
        <f t="shared" si="8"/>
        <v>0</v>
      </c>
    </row>
    <row r="25" spans="2:10" ht="15.75" thickBot="1" x14ac:dyDescent="0.3">
      <c r="B25" s="47">
        <v>1852</v>
      </c>
      <c r="C25" s="159">
        <v>111120</v>
      </c>
      <c r="D25" s="104">
        <v>111120</v>
      </c>
      <c r="E25" s="100">
        <f t="shared" si="5"/>
        <v>0</v>
      </c>
      <c r="F25" s="52">
        <f t="shared" si="6"/>
        <v>0</v>
      </c>
      <c r="G25" s="159">
        <v>30.866700000000002</v>
      </c>
      <c r="H25" s="104">
        <v>30.8666666666666</v>
      </c>
      <c r="I25" s="99">
        <f t="shared" si="7"/>
        <v>-3.3333333401941445E-5</v>
      </c>
      <c r="J25" s="153">
        <f t="shared" si="8"/>
        <v>-1.0799136091341744E-4</v>
      </c>
    </row>
    <row r="26" spans="2:10" ht="15.75" thickBot="1" x14ac:dyDescent="0.3">
      <c r="B26" s="47">
        <v>12963</v>
      </c>
      <c r="C26" s="159">
        <v>777780</v>
      </c>
      <c r="D26" s="104">
        <v>777780</v>
      </c>
      <c r="E26" s="100">
        <f t="shared" si="5"/>
        <v>0</v>
      </c>
      <c r="F26" s="52">
        <f t="shared" si="6"/>
        <v>0</v>
      </c>
      <c r="G26" s="159">
        <v>216.05</v>
      </c>
      <c r="H26" s="104">
        <v>216.05</v>
      </c>
      <c r="I26" s="99">
        <f t="shared" si="7"/>
        <v>0</v>
      </c>
      <c r="J26" s="153">
        <f t="shared" si="8"/>
        <v>0</v>
      </c>
    </row>
    <row r="27" spans="2:10" ht="15.75" thickBot="1" x14ac:dyDescent="0.3">
      <c r="B27" s="47">
        <v>77665544332211</v>
      </c>
      <c r="C27" s="159">
        <v>4659932659932660</v>
      </c>
      <c r="D27" s="104">
        <v>4659932659932660</v>
      </c>
      <c r="E27" s="100">
        <f t="shared" si="5"/>
        <v>0</v>
      </c>
      <c r="F27" s="52">
        <f t="shared" si="6"/>
        <v>0</v>
      </c>
      <c r="G27" s="159">
        <v>1294425738870</v>
      </c>
      <c r="H27" s="104">
        <v>1294425738870.1799</v>
      </c>
      <c r="I27" s="99">
        <f t="shared" si="7"/>
        <v>0.179931640625</v>
      </c>
      <c r="J27" s="153">
        <f t="shared" si="8"/>
        <v>1.3900499288746423E-11</v>
      </c>
    </row>
    <row r="28" spans="2:10" ht="15.75" thickBot="1" x14ac:dyDescent="0.3">
      <c r="B28" s="47">
        <v>333555777</v>
      </c>
      <c r="C28" s="159">
        <v>20013346620</v>
      </c>
      <c r="D28" s="104">
        <v>20013346620</v>
      </c>
      <c r="E28" s="100">
        <f t="shared" si="5"/>
        <v>0</v>
      </c>
      <c r="F28" s="52">
        <f t="shared" si="6"/>
        <v>0</v>
      </c>
      <c r="G28" s="159">
        <v>5559263</v>
      </c>
      <c r="H28" s="104">
        <v>5559262.9500000002</v>
      </c>
      <c r="I28" s="99">
        <f t="shared" si="7"/>
        <v>-4.9999999813735485E-2</v>
      </c>
      <c r="J28" s="153">
        <f t="shared" si="8"/>
        <v>-8.993997992797855E-7</v>
      </c>
    </row>
    <row r="29" spans="2:10" ht="15.75" thickBot="1" x14ac:dyDescent="0.3">
      <c r="B29" s="48">
        <v>0.54320999999999997</v>
      </c>
      <c r="C29" s="156">
        <v>32.592599999999997</v>
      </c>
      <c r="D29" s="160">
        <v>32.592599999999997</v>
      </c>
      <c r="E29" s="100">
        <f t="shared" si="5"/>
        <v>0</v>
      </c>
      <c r="F29" s="57">
        <f t="shared" si="6"/>
        <v>0</v>
      </c>
      <c r="G29" s="156">
        <v>9.0535000000000008E-3</v>
      </c>
      <c r="H29" s="160">
        <v>9.0535000000000008E-3</v>
      </c>
      <c r="I29" s="101">
        <f t="shared" si="7"/>
        <v>0</v>
      </c>
      <c r="J29" s="163">
        <f t="shared" si="8"/>
        <v>0</v>
      </c>
    </row>
    <row r="30" spans="2:10" ht="15.75" thickBot="1" x14ac:dyDescent="0.3">
      <c r="B30" s="13"/>
      <c r="C30" s="14"/>
      <c r="D30" s="15"/>
      <c r="E30" s="15"/>
      <c r="F30" s="15"/>
      <c r="G30" s="14"/>
      <c r="H30" s="15"/>
      <c r="I30" s="15"/>
    </row>
    <row r="31" spans="2:10" x14ac:dyDescent="0.25">
      <c r="B31" s="328" t="s">
        <v>10</v>
      </c>
      <c r="C31" s="78" t="s">
        <v>14</v>
      </c>
      <c r="D31" s="79" t="s">
        <v>14</v>
      </c>
      <c r="E31" s="330" t="s">
        <v>354</v>
      </c>
      <c r="F31" s="324" t="s">
        <v>355</v>
      </c>
      <c r="G31" s="78" t="s">
        <v>14</v>
      </c>
      <c r="H31" s="79" t="s">
        <v>14</v>
      </c>
      <c r="I31" s="330" t="s">
        <v>354</v>
      </c>
      <c r="J31" s="321" t="s">
        <v>355</v>
      </c>
    </row>
    <row r="32" spans="2:10" x14ac:dyDescent="0.25">
      <c r="B32" s="329"/>
      <c r="C32" s="75" t="s">
        <v>290</v>
      </c>
      <c r="D32" s="76" t="s">
        <v>291</v>
      </c>
      <c r="E32" s="331"/>
      <c r="F32" s="325"/>
      <c r="G32" s="75" t="s">
        <v>290</v>
      </c>
      <c r="H32" s="76" t="s">
        <v>291</v>
      </c>
      <c r="I32" s="331"/>
      <c r="J32" s="322"/>
    </row>
    <row r="33" spans="2:10" x14ac:dyDescent="0.25">
      <c r="B33" s="332" t="s">
        <v>13</v>
      </c>
      <c r="C33" s="334" t="s">
        <v>11</v>
      </c>
      <c r="D33" s="77" t="s">
        <v>11</v>
      </c>
      <c r="E33" s="331"/>
      <c r="F33" s="326"/>
      <c r="G33" s="334" t="s">
        <v>12</v>
      </c>
      <c r="H33" s="77" t="s">
        <v>12</v>
      </c>
      <c r="I33" s="331"/>
      <c r="J33" s="322"/>
    </row>
    <row r="34" spans="2:10" ht="30.75" thickBot="1" x14ac:dyDescent="0.3">
      <c r="B34" s="336"/>
      <c r="C34" s="337"/>
      <c r="D34" s="81" t="s">
        <v>85</v>
      </c>
      <c r="E34" s="327"/>
      <c r="F34" s="327"/>
      <c r="G34" s="337"/>
      <c r="H34" s="82" t="s">
        <v>87</v>
      </c>
      <c r="I34" s="327"/>
      <c r="J34" s="323"/>
    </row>
    <row r="35" spans="2:10" x14ac:dyDescent="0.25">
      <c r="B35" s="44">
        <v>1</v>
      </c>
      <c r="C35" s="154">
        <v>3600</v>
      </c>
      <c r="D35" s="106">
        <v>3600</v>
      </c>
      <c r="E35" s="100">
        <f>D35-C35</f>
        <v>0</v>
      </c>
      <c r="F35" s="54">
        <f>(100*E35)/D35</f>
        <v>0</v>
      </c>
      <c r="G35" s="154">
        <v>60</v>
      </c>
      <c r="H35" s="106">
        <v>60</v>
      </c>
      <c r="I35" s="100">
        <f>H35-G35</f>
        <v>0</v>
      </c>
      <c r="J35" s="162">
        <f>(100*I35)/H35</f>
        <v>0</v>
      </c>
    </row>
    <row r="36" spans="2:10" x14ac:dyDescent="0.25">
      <c r="B36" s="47">
        <v>200</v>
      </c>
      <c r="C36" s="159">
        <v>720000</v>
      </c>
      <c r="D36" s="104">
        <v>720000</v>
      </c>
      <c r="E36" s="99">
        <f t="shared" ref="E36:E42" si="9">D36-C36</f>
        <v>0</v>
      </c>
      <c r="F36" s="52">
        <f t="shared" ref="F36:F42" si="10">(100*E36)/D36</f>
        <v>0</v>
      </c>
      <c r="G36" s="159">
        <v>12000</v>
      </c>
      <c r="H36" s="104">
        <v>12000</v>
      </c>
      <c r="I36" s="99">
        <f t="shared" ref="I36:I42" si="11">H36-G36</f>
        <v>0</v>
      </c>
      <c r="J36" s="153">
        <f t="shared" ref="J36:J42" si="12">(100*I36)/H36</f>
        <v>0</v>
      </c>
    </row>
    <row r="37" spans="2:10" x14ac:dyDescent="0.25">
      <c r="B37" s="47">
        <v>654</v>
      </c>
      <c r="C37" s="159">
        <v>2354400</v>
      </c>
      <c r="D37" s="104">
        <v>2354400</v>
      </c>
      <c r="E37" s="99">
        <f t="shared" si="9"/>
        <v>0</v>
      </c>
      <c r="F37" s="52">
        <f t="shared" si="10"/>
        <v>0</v>
      </c>
      <c r="G37" s="159">
        <v>39240</v>
      </c>
      <c r="H37" s="104">
        <v>39240</v>
      </c>
      <c r="I37" s="99">
        <f t="shared" si="11"/>
        <v>0</v>
      </c>
      <c r="J37" s="153">
        <f t="shared" si="12"/>
        <v>0</v>
      </c>
    </row>
    <row r="38" spans="2:10" x14ac:dyDescent="0.25">
      <c r="B38" s="47">
        <v>1654</v>
      </c>
      <c r="C38" s="159">
        <v>5954400</v>
      </c>
      <c r="D38" s="104">
        <v>5954400</v>
      </c>
      <c r="E38" s="99">
        <f t="shared" si="9"/>
        <v>0</v>
      </c>
      <c r="F38" s="52">
        <f t="shared" si="10"/>
        <v>0</v>
      </c>
      <c r="G38" s="159">
        <v>99240</v>
      </c>
      <c r="H38" s="104">
        <v>99240</v>
      </c>
      <c r="I38" s="99">
        <f t="shared" si="11"/>
        <v>0</v>
      </c>
      <c r="J38" s="153">
        <f t="shared" si="12"/>
        <v>0</v>
      </c>
    </row>
    <row r="39" spans="2:10" x14ac:dyDescent="0.25">
      <c r="B39" s="47">
        <v>14987</v>
      </c>
      <c r="C39" s="159">
        <v>53953200</v>
      </c>
      <c r="D39" s="104">
        <v>53953200</v>
      </c>
      <c r="E39" s="99">
        <f t="shared" si="9"/>
        <v>0</v>
      </c>
      <c r="F39" s="52">
        <f t="shared" si="10"/>
        <v>0</v>
      </c>
      <c r="G39" s="159">
        <v>899220</v>
      </c>
      <c r="H39" s="104">
        <v>899220</v>
      </c>
      <c r="I39" s="99">
        <f t="shared" si="11"/>
        <v>0</v>
      </c>
      <c r="J39" s="153">
        <f t="shared" si="12"/>
        <v>0</v>
      </c>
    </row>
    <row r="40" spans="2:10" x14ac:dyDescent="0.25">
      <c r="B40" s="47">
        <v>11447722558833</v>
      </c>
      <c r="C40" s="159">
        <v>4.12118012117988E+16</v>
      </c>
      <c r="D40" s="104">
        <v>4.12118012117988E+16</v>
      </c>
      <c r="E40" s="99">
        <f t="shared" si="9"/>
        <v>0</v>
      </c>
      <c r="F40" s="52">
        <f t="shared" si="10"/>
        <v>0</v>
      </c>
      <c r="G40" s="159">
        <v>686863353529980</v>
      </c>
      <c r="H40" s="104">
        <v>686863353529980</v>
      </c>
      <c r="I40" s="99">
        <f t="shared" si="11"/>
        <v>0</v>
      </c>
      <c r="J40" s="153">
        <f t="shared" si="12"/>
        <v>0</v>
      </c>
    </row>
    <row r="41" spans="2:10" x14ac:dyDescent="0.25">
      <c r="B41" s="47">
        <v>999555111</v>
      </c>
      <c r="C41" s="159">
        <v>3598398399600</v>
      </c>
      <c r="D41" s="104">
        <v>3598398399600</v>
      </c>
      <c r="E41" s="99">
        <f t="shared" si="9"/>
        <v>0</v>
      </c>
      <c r="F41" s="52">
        <f t="shared" si="10"/>
        <v>0</v>
      </c>
      <c r="G41" s="159">
        <v>59973306660</v>
      </c>
      <c r="H41" s="104">
        <v>59973306660</v>
      </c>
      <c r="I41" s="99">
        <f t="shared" si="11"/>
        <v>0</v>
      </c>
      <c r="J41" s="153">
        <f t="shared" si="12"/>
        <v>0</v>
      </c>
    </row>
    <row r="42" spans="2:10" ht="15.75" thickBot="1" x14ac:dyDescent="0.3">
      <c r="B42" s="74">
        <v>0.76539999999999997</v>
      </c>
      <c r="C42" s="156">
        <v>2755.44</v>
      </c>
      <c r="D42" s="160">
        <v>2755.44</v>
      </c>
      <c r="E42" s="101">
        <f t="shared" si="9"/>
        <v>0</v>
      </c>
      <c r="F42" s="57">
        <f t="shared" si="10"/>
        <v>0</v>
      </c>
      <c r="G42" s="156">
        <v>45.923999999999999</v>
      </c>
      <c r="H42" s="160">
        <v>45.923999999999999</v>
      </c>
      <c r="I42" s="101">
        <f t="shared" si="11"/>
        <v>0</v>
      </c>
      <c r="J42" s="163">
        <f t="shared" si="12"/>
        <v>0</v>
      </c>
    </row>
    <row r="43" spans="2:10" x14ac:dyDescent="0.25">
      <c r="B43" s="13"/>
      <c r="C43" s="14"/>
      <c r="D43" s="15"/>
      <c r="E43" s="15"/>
      <c r="F43" s="15"/>
      <c r="G43" s="14"/>
      <c r="H43" s="12"/>
    </row>
    <row r="86" spans="2:13" x14ac:dyDescent="0.25">
      <c r="B86" s="9"/>
      <c r="C86" s="9"/>
      <c r="D86" s="10"/>
      <c r="E86" s="10"/>
      <c r="F86" s="10"/>
      <c r="G86" s="9"/>
      <c r="H86" s="8"/>
    </row>
    <row r="87" spans="2:13" x14ac:dyDescent="0.25">
      <c r="B87" s="5"/>
      <c r="C87" s="5"/>
      <c r="D87" s="6"/>
      <c r="E87" s="6"/>
      <c r="F87" s="6"/>
      <c r="G87" s="5"/>
      <c r="H87" s="6"/>
    </row>
    <row r="88" spans="2:13" x14ac:dyDescent="0.25">
      <c r="M88" s="7"/>
    </row>
    <row r="89" spans="2:13" x14ac:dyDescent="0.25">
      <c r="M89" s="7"/>
    </row>
    <row r="90" spans="2:13" x14ac:dyDescent="0.25">
      <c r="M90" s="7"/>
    </row>
    <row r="91" spans="2:13" x14ac:dyDescent="0.25">
      <c r="M91" s="7"/>
    </row>
    <row r="92" spans="2:13" x14ac:dyDescent="0.25">
      <c r="M92" s="7"/>
    </row>
    <row r="93" spans="2:13" x14ac:dyDescent="0.25">
      <c r="M93" s="7"/>
    </row>
    <row r="94" spans="2:13" x14ac:dyDescent="0.25">
      <c r="M94" s="7"/>
    </row>
    <row r="95" spans="2:13" x14ac:dyDescent="0.25">
      <c r="M95" s="7"/>
    </row>
    <row r="96" spans="2:13" x14ac:dyDescent="0.25">
      <c r="M96" s="7"/>
    </row>
    <row r="97" spans="13:13" x14ac:dyDescent="0.25">
      <c r="M97" s="7"/>
    </row>
    <row r="98" spans="13:13" x14ac:dyDescent="0.25">
      <c r="M98" s="7"/>
    </row>
    <row r="99" spans="13:13" x14ac:dyDescent="0.25">
      <c r="M99" s="7"/>
    </row>
    <row r="100" spans="13:13" x14ac:dyDescent="0.25">
      <c r="M100" s="7"/>
    </row>
    <row r="101" spans="13:13" x14ac:dyDescent="0.25">
      <c r="M101" s="7"/>
    </row>
    <row r="102" spans="13:13" x14ac:dyDescent="0.25">
      <c r="M102" s="7"/>
    </row>
  </sheetData>
  <mergeCells count="25">
    <mergeCell ref="B1:J1"/>
    <mergeCell ref="B6:B7"/>
    <mergeCell ref="C6:C7"/>
    <mergeCell ref="G6:G7"/>
    <mergeCell ref="E4:E7"/>
    <mergeCell ref="I4:I7"/>
    <mergeCell ref="B4:B5"/>
    <mergeCell ref="F4:F7"/>
    <mergeCell ref="J4:J7"/>
    <mergeCell ref="J18:J21"/>
    <mergeCell ref="F31:F34"/>
    <mergeCell ref="J31:J34"/>
    <mergeCell ref="B18:B19"/>
    <mergeCell ref="B31:B32"/>
    <mergeCell ref="E18:E21"/>
    <mergeCell ref="I18:I21"/>
    <mergeCell ref="E31:E34"/>
    <mergeCell ref="I31:I34"/>
    <mergeCell ref="B20:B21"/>
    <mergeCell ref="G20:G21"/>
    <mergeCell ref="C20:C21"/>
    <mergeCell ref="B33:B34"/>
    <mergeCell ref="C33:C34"/>
    <mergeCell ref="G33:G34"/>
    <mergeCell ref="F18:F21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R57"/>
  <sheetViews>
    <sheetView workbookViewId="0">
      <pane xSplit="2" ySplit="1" topLeftCell="L2" activePane="bottomRight" state="frozen"/>
      <selection pane="topRight" activeCell="C1" sqref="C1"/>
      <selection pane="bottomLeft" activeCell="A2" sqref="A2"/>
      <selection pane="bottomRight" activeCell="L24" sqref="L24"/>
    </sheetView>
  </sheetViews>
  <sheetFormatPr defaultRowHeight="15" x14ac:dyDescent="0.25"/>
  <cols>
    <col min="1" max="1" width="2.7109375" customWidth="1"/>
    <col min="2" max="2" width="17.7109375" bestFit="1" customWidth="1"/>
    <col min="3" max="3" width="33.28515625" bestFit="1" customWidth="1"/>
    <col min="4" max="4" width="42.28515625" bestFit="1" customWidth="1"/>
    <col min="5" max="5" width="23.7109375" bestFit="1" customWidth="1"/>
    <col min="6" max="6" width="23.7109375" customWidth="1"/>
    <col min="7" max="7" width="30.28515625" bestFit="1" customWidth="1"/>
    <col min="8" max="8" width="42.28515625" bestFit="1" customWidth="1"/>
    <col min="9" max="9" width="23.7109375" bestFit="1" customWidth="1"/>
    <col min="10" max="10" width="23.7109375" customWidth="1"/>
    <col min="11" max="11" width="30.28515625" bestFit="1" customWidth="1"/>
    <col min="12" max="12" width="42.28515625" bestFit="1" customWidth="1"/>
    <col min="13" max="13" width="23.7109375" bestFit="1" customWidth="1"/>
    <col min="14" max="14" width="23.7109375" customWidth="1"/>
    <col min="15" max="15" width="32.28515625" bestFit="1" customWidth="1"/>
    <col min="16" max="16" width="42.28515625" bestFit="1" customWidth="1"/>
    <col min="17" max="17" width="23.7109375" bestFit="1" customWidth="1"/>
    <col min="18" max="18" width="25" customWidth="1"/>
  </cols>
  <sheetData>
    <row r="1" spans="2:18" ht="31.5" x14ac:dyDescent="0.5">
      <c r="B1" s="340" t="s">
        <v>289</v>
      </c>
      <c r="C1" s="340"/>
      <c r="D1" s="340"/>
      <c r="E1" s="340"/>
      <c r="F1" s="340"/>
      <c r="G1" s="340"/>
      <c r="H1" s="340"/>
      <c r="I1" s="340"/>
      <c r="J1" s="340"/>
      <c r="K1" s="340"/>
    </row>
    <row r="2" spans="2:18" x14ac:dyDescent="0.25">
      <c r="B2" s="70" t="s">
        <v>340</v>
      </c>
      <c r="C2" t="s">
        <v>341</v>
      </c>
      <c r="D2" t="s">
        <v>345</v>
      </c>
    </row>
    <row r="3" spans="2:18" ht="15.75" thickBot="1" x14ac:dyDescent="0.3"/>
    <row r="4" spans="2:18" x14ac:dyDescent="0.25">
      <c r="B4" s="341" t="s">
        <v>10</v>
      </c>
      <c r="C4" s="62" t="s">
        <v>14</v>
      </c>
      <c r="D4" s="65" t="s">
        <v>14</v>
      </c>
      <c r="E4" s="330" t="s">
        <v>354</v>
      </c>
      <c r="F4" s="324" t="s">
        <v>355</v>
      </c>
      <c r="G4" s="62" t="s">
        <v>14</v>
      </c>
      <c r="H4" s="65" t="s">
        <v>14</v>
      </c>
      <c r="I4" s="330" t="s">
        <v>354</v>
      </c>
      <c r="J4" s="324" t="s">
        <v>355</v>
      </c>
      <c r="K4" s="62" t="s">
        <v>14</v>
      </c>
      <c r="L4" s="65" t="s">
        <v>14</v>
      </c>
      <c r="M4" s="330" t="s">
        <v>354</v>
      </c>
      <c r="N4" s="324" t="s">
        <v>355</v>
      </c>
      <c r="O4" s="62" t="s">
        <v>14</v>
      </c>
      <c r="P4" s="65" t="s">
        <v>14</v>
      </c>
      <c r="Q4" s="330" t="s">
        <v>354</v>
      </c>
      <c r="R4" s="321" t="s">
        <v>355</v>
      </c>
    </row>
    <row r="5" spans="2:18" ht="15.75" thickBot="1" x14ac:dyDescent="0.3">
      <c r="B5" s="342"/>
      <c r="C5" s="63" t="s">
        <v>290</v>
      </c>
      <c r="D5" s="27" t="s">
        <v>291</v>
      </c>
      <c r="E5" s="331"/>
      <c r="F5" s="325"/>
      <c r="G5" s="63" t="s">
        <v>290</v>
      </c>
      <c r="H5" s="64" t="s">
        <v>291</v>
      </c>
      <c r="I5" s="331"/>
      <c r="J5" s="325"/>
      <c r="K5" s="63" t="s">
        <v>290</v>
      </c>
      <c r="L5" s="27" t="s">
        <v>291</v>
      </c>
      <c r="M5" s="331"/>
      <c r="N5" s="325"/>
      <c r="O5" s="63" t="s">
        <v>290</v>
      </c>
      <c r="P5" s="27" t="s">
        <v>291</v>
      </c>
      <c r="Q5" s="331"/>
      <c r="R5" s="322"/>
    </row>
    <row r="6" spans="2:18" ht="15.75" thickBot="1" x14ac:dyDescent="0.3">
      <c r="B6" s="346" t="s">
        <v>47</v>
      </c>
      <c r="C6" s="346" t="s">
        <v>48</v>
      </c>
      <c r="D6" s="16" t="s">
        <v>48</v>
      </c>
      <c r="E6" s="331"/>
      <c r="F6" s="326"/>
      <c r="G6" s="346" t="s">
        <v>49</v>
      </c>
      <c r="H6" s="88" t="s">
        <v>49</v>
      </c>
      <c r="I6" s="331"/>
      <c r="J6" s="326"/>
      <c r="K6" s="346" t="s">
        <v>50</v>
      </c>
      <c r="L6" s="16" t="s">
        <v>50</v>
      </c>
      <c r="M6" s="331"/>
      <c r="N6" s="326"/>
      <c r="O6" s="346" t="s">
        <v>51</v>
      </c>
      <c r="P6" s="16" t="s">
        <v>51</v>
      </c>
      <c r="Q6" s="331"/>
      <c r="R6" s="322"/>
    </row>
    <row r="7" spans="2:18" ht="30.75" thickBot="1" x14ac:dyDescent="0.3">
      <c r="B7" s="347"/>
      <c r="C7" s="347"/>
      <c r="D7" s="89" t="s">
        <v>130</v>
      </c>
      <c r="E7" s="327"/>
      <c r="F7" s="327"/>
      <c r="G7" s="347"/>
      <c r="H7" s="22" t="s">
        <v>131</v>
      </c>
      <c r="I7" s="327"/>
      <c r="J7" s="327"/>
      <c r="K7" s="347"/>
      <c r="L7" s="22" t="s">
        <v>132</v>
      </c>
      <c r="M7" s="327"/>
      <c r="N7" s="327"/>
      <c r="O7" s="347"/>
      <c r="P7" s="22" t="s">
        <v>133</v>
      </c>
      <c r="Q7" s="327"/>
      <c r="R7" s="323"/>
    </row>
    <row r="8" spans="2:18" x14ac:dyDescent="0.25">
      <c r="B8" s="112">
        <v>1</v>
      </c>
      <c r="C8" s="189">
        <v>1E-3</v>
      </c>
      <c r="D8" s="190">
        <f>B8/1000</f>
        <v>1E-3</v>
      </c>
      <c r="E8" s="113">
        <f>C8-D8</f>
        <v>0</v>
      </c>
      <c r="F8" s="54">
        <f>(100*E8)/D8</f>
        <v>0</v>
      </c>
      <c r="G8" s="198">
        <v>2.20462E-3</v>
      </c>
      <c r="H8" s="190">
        <f>D8/0.45359237</f>
        <v>2.2046226218487759E-3</v>
      </c>
      <c r="I8" s="114">
        <f>G8-H8</f>
        <v>-2.6218487758460085E-9</v>
      </c>
      <c r="J8" s="54">
        <f>(100*I8)/H8</f>
        <v>-1.1892506000175898E-4</v>
      </c>
      <c r="K8" s="189">
        <v>9.9999999999999995E-7</v>
      </c>
      <c r="L8" s="190">
        <f>D8/1000</f>
        <v>9.9999999999999995E-7</v>
      </c>
      <c r="M8" s="114">
        <f>K8-L8</f>
        <v>0</v>
      </c>
      <c r="N8" s="54">
        <f>(100*M8)/L8</f>
        <v>0</v>
      </c>
      <c r="O8" s="189">
        <v>3.2150699999999997E-2</v>
      </c>
      <c r="P8" s="190">
        <f>D8*1000/31.1034768</f>
        <v>3.2150746568627979E-2</v>
      </c>
      <c r="Q8" s="113">
        <f>O8-P8</f>
        <v>-4.6568627981580235E-8</v>
      </c>
      <c r="R8" s="162">
        <f>(100*Q8)/P8</f>
        <v>-1.4484462400329116E-4</v>
      </c>
    </row>
    <row r="9" spans="2:18" x14ac:dyDescent="0.25">
      <c r="B9" s="29">
        <v>987</v>
      </c>
      <c r="C9" s="191">
        <v>0.98699999999999999</v>
      </c>
      <c r="D9" s="24">
        <f t="shared" ref="D9:D13" si="0">B9/1000</f>
        <v>0.98699999999999999</v>
      </c>
      <c r="E9" s="111">
        <f t="shared" ref="E9:E13" si="1">C9-D9</f>
        <v>0</v>
      </c>
      <c r="F9" s="52">
        <f t="shared" ref="F9:F13" si="2">(100*E9)/D9</f>
        <v>0</v>
      </c>
      <c r="G9" s="199">
        <v>2.1759599999999999</v>
      </c>
      <c r="H9" s="24">
        <f t="shared" ref="H9:H13" si="3">D9/0.45359237</f>
        <v>2.1759625277647414</v>
      </c>
      <c r="I9" s="23">
        <f t="shared" ref="I9:I13" si="4">G9-H9</f>
        <v>-2.5277647415222759E-6</v>
      </c>
      <c r="J9" s="52">
        <f t="shared" ref="J9:J13" si="5">(100*I9)/H9</f>
        <v>-1.1616765956530159E-4</v>
      </c>
      <c r="K9" s="191">
        <v>9.8700000000000003E-4</v>
      </c>
      <c r="L9" s="24">
        <f t="shared" ref="L9:L13" si="6">D9/1000</f>
        <v>9.8700000000000003E-4</v>
      </c>
      <c r="M9" s="23">
        <f t="shared" ref="M9:M13" si="7">K9-L9</f>
        <v>0</v>
      </c>
      <c r="N9" s="52">
        <f t="shared" ref="N9:N13" si="8">(100*M9)/L9</f>
        <v>0</v>
      </c>
      <c r="O9" s="191">
        <v>31.732800000000001</v>
      </c>
      <c r="P9" s="24">
        <f t="shared" ref="P9:P13" si="9">D9*1000/31.1034768</f>
        <v>31.732786863235816</v>
      </c>
      <c r="Q9" s="111">
        <f t="shared" ref="Q9:Q13" si="10">O9-P9</f>
        <v>1.3136764184906724E-5</v>
      </c>
      <c r="R9" s="153">
        <f t="shared" ref="R9:R13" si="11">(100*Q9)/P9</f>
        <v>4.1398079032656253E-5</v>
      </c>
    </row>
    <row r="10" spans="2:18" x14ac:dyDescent="0.25">
      <c r="B10" s="29">
        <v>5987</v>
      </c>
      <c r="C10" s="191">
        <v>5.9870000000000001</v>
      </c>
      <c r="D10" s="24">
        <f t="shared" si="0"/>
        <v>5.9870000000000001</v>
      </c>
      <c r="E10" s="111">
        <f t="shared" si="1"/>
        <v>0</v>
      </c>
      <c r="F10" s="52">
        <f t="shared" si="2"/>
        <v>0</v>
      </c>
      <c r="G10" s="199">
        <v>13.1991</v>
      </c>
      <c r="H10" s="24">
        <f t="shared" si="3"/>
        <v>13.199075637008621</v>
      </c>
      <c r="I10" s="23">
        <f t="shared" si="4"/>
        <v>2.4362991378978904E-5</v>
      </c>
      <c r="J10" s="52">
        <f t="shared" si="5"/>
        <v>1.84581042256232E-4</v>
      </c>
      <c r="K10" s="204">
        <v>5.9870000000000001E-3</v>
      </c>
      <c r="L10" s="24">
        <f t="shared" si="6"/>
        <v>5.9870000000000001E-3</v>
      </c>
      <c r="M10" s="23">
        <f t="shared" si="7"/>
        <v>0</v>
      </c>
      <c r="N10" s="52">
        <f t="shared" si="8"/>
        <v>0</v>
      </c>
      <c r="O10" s="191">
        <v>192.48699999999999</v>
      </c>
      <c r="P10" s="24">
        <f t="shared" si="9"/>
        <v>192.48651970637573</v>
      </c>
      <c r="Q10" s="111">
        <f t="shared" si="10"/>
        <v>4.8029362426404987E-4</v>
      </c>
      <c r="R10" s="153">
        <f t="shared" si="11"/>
        <v>2.4952065474335712E-4</v>
      </c>
    </row>
    <row r="11" spans="2:18" x14ac:dyDescent="0.25">
      <c r="B11" s="29">
        <v>4455667788</v>
      </c>
      <c r="C11" s="191">
        <v>4455668</v>
      </c>
      <c r="D11" s="24">
        <f t="shared" si="0"/>
        <v>4455667.7879999997</v>
      </c>
      <c r="E11" s="111">
        <f t="shared" si="1"/>
        <v>0.21200000029057264</v>
      </c>
      <c r="F11" s="52">
        <f t="shared" si="2"/>
        <v>4.7579848942403393E-6</v>
      </c>
      <c r="G11" s="199">
        <v>9823066</v>
      </c>
      <c r="H11" s="24">
        <f t="shared" si="3"/>
        <v>9823066.0008676946</v>
      </c>
      <c r="I11" s="23">
        <f t="shared" si="4"/>
        <v>-8.6769461631774902E-4</v>
      </c>
      <c r="J11" s="52">
        <f t="shared" si="5"/>
        <v>-8.8332361427796931E-9</v>
      </c>
      <c r="K11" s="191">
        <v>4455.67</v>
      </c>
      <c r="L11" s="24">
        <f t="shared" si="6"/>
        <v>4455.6677879999997</v>
      </c>
      <c r="M11" s="23">
        <f t="shared" si="7"/>
        <v>2.2120000003269524E-3</v>
      </c>
      <c r="N11" s="52">
        <f t="shared" si="8"/>
        <v>4.9644634779197604E-5</v>
      </c>
      <c r="O11" s="191">
        <v>143253046</v>
      </c>
      <c r="P11" s="24">
        <f t="shared" si="9"/>
        <v>143253045.84598723</v>
      </c>
      <c r="Q11" s="111">
        <f t="shared" si="10"/>
        <v>0.1540127694606781</v>
      </c>
      <c r="R11" s="153">
        <f t="shared" si="11"/>
        <v>1.075109911633284E-7</v>
      </c>
    </row>
    <row r="12" spans="2:18" x14ac:dyDescent="0.25">
      <c r="B12" s="29">
        <v>-654</v>
      </c>
      <c r="C12" s="191">
        <v>-0.65400000000000003</v>
      </c>
      <c r="D12" s="24">
        <f t="shared" si="0"/>
        <v>-0.65400000000000003</v>
      </c>
      <c r="E12" s="111">
        <f t="shared" si="1"/>
        <v>0</v>
      </c>
      <c r="F12" s="52">
        <f t="shared" si="2"/>
        <v>0</v>
      </c>
      <c r="G12" s="199">
        <v>-1.4418200000000001</v>
      </c>
      <c r="H12" s="24">
        <f t="shared" si="3"/>
        <v>-1.4418231946890994</v>
      </c>
      <c r="I12" s="23">
        <f t="shared" si="4"/>
        <v>3.1946890992617938E-6</v>
      </c>
      <c r="J12" s="52">
        <f t="shared" si="5"/>
        <v>-2.215728746096823E-4</v>
      </c>
      <c r="K12" s="191">
        <v>-6.5399999999999996E-4</v>
      </c>
      <c r="L12" s="24">
        <f t="shared" si="6"/>
        <v>-6.5400000000000007E-4</v>
      </c>
      <c r="M12" s="23">
        <f t="shared" si="7"/>
        <v>0</v>
      </c>
      <c r="N12" s="52">
        <f t="shared" si="8"/>
        <v>0</v>
      </c>
      <c r="O12" s="191">
        <v>-21.026599999999998</v>
      </c>
      <c r="P12" s="24">
        <f t="shared" si="9"/>
        <v>-21.0265882558827</v>
      </c>
      <c r="Q12" s="111">
        <f t="shared" si="10"/>
        <v>-1.1744117298206902E-5</v>
      </c>
      <c r="R12" s="153">
        <f t="shared" si="11"/>
        <v>5.5853651364106582E-5</v>
      </c>
    </row>
    <row r="13" spans="2:18" ht="15.75" thickBot="1" x14ac:dyDescent="0.3">
      <c r="B13" s="30">
        <v>0.65469999999999995</v>
      </c>
      <c r="C13" s="192">
        <v>6.5470000000000003E-4</v>
      </c>
      <c r="D13" s="193">
        <f t="shared" si="0"/>
        <v>6.5469999999999992E-4</v>
      </c>
      <c r="E13" s="115">
        <f t="shared" si="1"/>
        <v>0</v>
      </c>
      <c r="F13" s="57">
        <f t="shared" si="2"/>
        <v>0</v>
      </c>
      <c r="G13" s="200">
        <v>1.44337E-3</v>
      </c>
      <c r="H13" s="193">
        <f t="shared" si="3"/>
        <v>1.4433664305243932E-3</v>
      </c>
      <c r="I13" s="116">
        <f t="shared" si="4"/>
        <v>3.5694756068006123E-9</v>
      </c>
      <c r="J13" s="57">
        <f t="shared" si="5"/>
        <v>2.473021078579316E-4</v>
      </c>
      <c r="K13" s="192">
        <v>6.5469999999999995E-7</v>
      </c>
      <c r="L13" s="193">
        <f t="shared" si="6"/>
        <v>6.5469999999999995E-7</v>
      </c>
      <c r="M13" s="116">
        <f t="shared" si="7"/>
        <v>0</v>
      </c>
      <c r="N13" s="57">
        <f t="shared" si="8"/>
        <v>0</v>
      </c>
      <c r="O13" s="203">
        <v>2.1049100000000001E-2</v>
      </c>
      <c r="P13" s="193">
        <f t="shared" si="9"/>
        <v>2.1049093778480736E-2</v>
      </c>
      <c r="Q13" s="115">
        <f t="shared" si="10"/>
        <v>6.2215192650483253E-9</v>
      </c>
      <c r="R13" s="163">
        <f t="shared" si="11"/>
        <v>2.955718346130803E-5</v>
      </c>
    </row>
    <row r="14" spans="2:18" ht="15.75" thickBot="1" x14ac:dyDescent="0.3">
      <c r="C14" s="165"/>
      <c r="D14" s="165"/>
      <c r="E14" s="164"/>
      <c r="F14" s="164"/>
      <c r="G14" s="165"/>
      <c r="H14" s="165"/>
      <c r="I14" s="164"/>
      <c r="J14" s="164"/>
      <c r="K14" s="165"/>
      <c r="L14" s="165"/>
      <c r="M14" s="164"/>
      <c r="N14" s="164"/>
      <c r="O14" s="165"/>
      <c r="P14" s="165"/>
      <c r="Q14" s="164"/>
      <c r="R14" s="164"/>
    </row>
    <row r="15" spans="2:18" x14ac:dyDescent="0.25">
      <c r="B15" s="341" t="s">
        <v>10</v>
      </c>
      <c r="C15" s="166" t="s">
        <v>14</v>
      </c>
      <c r="D15" s="168" t="s">
        <v>14</v>
      </c>
      <c r="E15" s="343" t="s">
        <v>354</v>
      </c>
      <c r="F15" s="352" t="s">
        <v>355</v>
      </c>
      <c r="G15" s="166" t="s">
        <v>14</v>
      </c>
      <c r="H15" s="168" t="s">
        <v>14</v>
      </c>
      <c r="I15" s="343" t="s">
        <v>354</v>
      </c>
      <c r="J15" s="352" t="s">
        <v>355</v>
      </c>
      <c r="K15" s="166" t="s">
        <v>14</v>
      </c>
      <c r="L15" s="168" t="s">
        <v>14</v>
      </c>
      <c r="M15" s="343" t="s">
        <v>354</v>
      </c>
      <c r="N15" s="352" t="s">
        <v>355</v>
      </c>
      <c r="O15" s="166" t="s">
        <v>14</v>
      </c>
      <c r="P15" s="168" t="s">
        <v>14</v>
      </c>
      <c r="Q15" s="343" t="s">
        <v>354</v>
      </c>
      <c r="R15" s="357" t="s">
        <v>355</v>
      </c>
    </row>
    <row r="16" spans="2:18" ht="15.75" thickBot="1" x14ac:dyDescent="0.3">
      <c r="B16" s="342"/>
      <c r="C16" s="167" t="s">
        <v>290</v>
      </c>
      <c r="D16" s="169" t="s">
        <v>291</v>
      </c>
      <c r="E16" s="344"/>
      <c r="F16" s="353"/>
      <c r="G16" s="167" t="s">
        <v>290</v>
      </c>
      <c r="H16" s="169" t="s">
        <v>291</v>
      </c>
      <c r="I16" s="344"/>
      <c r="J16" s="353"/>
      <c r="K16" s="167" t="s">
        <v>290</v>
      </c>
      <c r="L16" s="169" t="s">
        <v>291</v>
      </c>
      <c r="M16" s="344"/>
      <c r="N16" s="353"/>
      <c r="O16" s="167" t="s">
        <v>290</v>
      </c>
      <c r="P16" s="169" t="s">
        <v>291</v>
      </c>
      <c r="Q16" s="344"/>
      <c r="R16" s="358"/>
    </row>
    <row r="17" spans="2:18" ht="15.75" thickBot="1" x14ac:dyDescent="0.3">
      <c r="B17" s="346" t="s">
        <v>48</v>
      </c>
      <c r="C17" s="363" t="s">
        <v>47</v>
      </c>
      <c r="D17" s="177" t="s">
        <v>47</v>
      </c>
      <c r="E17" s="344"/>
      <c r="F17" s="354"/>
      <c r="G17" s="363" t="s">
        <v>49</v>
      </c>
      <c r="H17" s="177" t="s">
        <v>49</v>
      </c>
      <c r="I17" s="344"/>
      <c r="J17" s="354"/>
      <c r="K17" s="363" t="s">
        <v>50</v>
      </c>
      <c r="L17" s="177" t="s">
        <v>50</v>
      </c>
      <c r="M17" s="344"/>
      <c r="N17" s="354"/>
      <c r="O17" s="363" t="s">
        <v>51</v>
      </c>
      <c r="P17" s="177" t="s">
        <v>51</v>
      </c>
      <c r="Q17" s="344"/>
      <c r="R17" s="358"/>
    </row>
    <row r="18" spans="2:18" ht="15.75" thickBot="1" x14ac:dyDescent="0.3">
      <c r="B18" s="366"/>
      <c r="C18" s="365"/>
      <c r="D18" s="194" t="s">
        <v>134</v>
      </c>
      <c r="E18" s="345"/>
      <c r="F18" s="345"/>
      <c r="G18" s="365"/>
      <c r="H18" s="194" t="s">
        <v>135</v>
      </c>
      <c r="I18" s="345"/>
      <c r="J18" s="345"/>
      <c r="K18" s="365"/>
      <c r="L18" s="194" t="s">
        <v>136</v>
      </c>
      <c r="M18" s="345"/>
      <c r="N18" s="345"/>
      <c r="O18" s="365"/>
      <c r="P18" s="194" t="s">
        <v>137</v>
      </c>
      <c r="Q18" s="345"/>
      <c r="R18" s="359"/>
    </row>
    <row r="19" spans="2:18" x14ac:dyDescent="0.25">
      <c r="B19" s="28">
        <v>1</v>
      </c>
      <c r="C19" s="195">
        <v>1000</v>
      </c>
      <c r="D19" s="24">
        <f>B19*1000</f>
        <v>1000</v>
      </c>
      <c r="E19" s="23">
        <f>C19-D19</f>
        <v>0</v>
      </c>
      <c r="F19" s="54">
        <f>(100*E19)/D19</f>
        <v>0</v>
      </c>
      <c r="G19" s="201">
        <v>2.2046199999999998</v>
      </c>
      <c r="H19" s="24">
        <f>B19/0.45359237</f>
        <v>2.2046226218487757</v>
      </c>
      <c r="I19" s="23">
        <f>G19-H19</f>
        <v>-2.6218487758633557E-6</v>
      </c>
      <c r="J19" s="54">
        <f>(100*I19)/H19</f>
        <v>-1.1892506000254584E-4</v>
      </c>
      <c r="K19" s="201">
        <v>1E-3</v>
      </c>
      <c r="L19" s="24">
        <f>B19/1000</f>
        <v>1E-3</v>
      </c>
      <c r="M19" s="23">
        <f>K19-L19</f>
        <v>0</v>
      </c>
      <c r="N19" s="54">
        <f>(100*M19)/L19</f>
        <v>0</v>
      </c>
      <c r="O19" s="201">
        <v>32.150700000000001</v>
      </c>
      <c r="P19" s="24">
        <f>B19*1000/31.1034768</f>
        <v>32.15074656862798</v>
      </c>
      <c r="Q19" s="23">
        <f>O19-P19</f>
        <v>-4.6568627979581834E-5</v>
      </c>
      <c r="R19" s="162">
        <f>(100*Q19)/P19</f>
        <v>-1.4484462399707546E-4</v>
      </c>
    </row>
    <row r="20" spans="2:18" x14ac:dyDescent="0.25">
      <c r="B20" s="29">
        <v>987</v>
      </c>
      <c r="C20" s="191">
        <v>987000</v>
      </c>
      <c r="D20" s="24">
        <f t="shared" ref="D20:D24" si="12">B20*1000</f>
        <v>987000</v>
      </c>
      <c r="E20" s="23">
        <f t="shared" ref="E20:E24" si="13">C20-D20</f>
        <v>0</v>
      </c>
      <c r="F20" s="52">
        <f t="shared" ref="F20:F24" si="14">(100*E20)/D20</f>
        <v>0</v>
      </c>
      <c r="G20" s="191">
        <v>2175.96</v>
      </c>
      <c r="H20" s="24">
        <f t="shared" ref="H20:H24" si="15">B20/0.45359237</f>
        <v>2175.9625277647415</v>
      </c>
      <c r="I20" s="23">
        <f t="shared" ref="I20:I24" si="16">G20-H20</f>
        <v>-2.5277647414441162E-3</v>
      </c>
      <c r="J20" s="52">
        <f t="shared" ref="J20:J24" si="17">(100*I20)/H20</f>
        <v>-1.1616765956170962E-4</v>
      </c>
      <c r="K20" s="191">
        <v>0.98699999999999999</v>
      </c>
      <c r="L20" s="24">
        <f t="shared" ref="L20:L24" si="18">B20/1000</f>
        <v>0.98699999999999999</v>
      </c>
      <c r="M20" s="23">
        <f t="shared" ref="M20:M24" si="19">K20-L20</f>
        <v>0</v>
      </c>
      <c r="N20" s="52">
        <f t="shared" ref="N20:N24" si="20">(100*M20)/L20</f>
        <v>0</v>
      </c>
      <c r="O20" s="191">
        <v>31732.799999999999</v>
      </c>
      <c r="P20" s="24">
        <f t="shared" ref="P20:P24" si="21">B20*1000/31.1034768</f>
        <v>31732.786863235819</v>
      </c>
      <c r="Q20" s="23">
        <f t="shared" ref="Q20:Q24" si="22">O20-P20</f>
        <v>1.3136764180671889E-2</v>
      </c>
      <c r="R20" s="153">
        <f t="shared" ref="R20:R24" si="23">(100*Q20)/P20</f>
        <v>4.139807901931095E-5</v>
      </c>
    </row>
    <row r="21" spans="2:18" x14ac:dyDescent="0.25">
      <c r="B21" s="29">
        <v>5987</v>
      </c>
      <c r="C21" s="191">
        <v>5987000</v>
      </c>
      <c r="D21" s="24">
        <f t="shared" si="12"/>
        <v>5987000</v>
      </c>
      <c r="E21" s="23">
        <f t="shared" si="13"/>
        <v>0</v>
      </c>
      <c r="F21" s="52">
        <f t="shared" si="14"/>
        <v>0</v>
      </c>
      <c r="G21" s="191">
        <v>13199.1</v>
      </c>
      <c r="H21" s="24">
        <f t="shared" si="15"/>
        <v>13199.07563700862</v>
      </c>
      <c r="I21" s="23">
        <f t="shared" si="16"/>
        <v>2.4362991380257881E-2</v>
      </c>
      <c r="J21" s="52">
        <f t="shared" si="17"/>
        <v>1.845810422659219E-4</v>
      </c>
      <c r="K21" s="205">
        <v>5.9870000000000001</v>
      </c>
      <c r="L21" s="24">
        <f t="shared" si="18"/>
        <v>5.9870000000000001</v>
      </c>
      <c r="M21" s="23">
        <f t="shared" si="19"/>
        <v>0</v>
      </c>
      <c r="N21" s="52">
        <f t="shared" si="20"/>
        <v>0</v>
      </c>
      <c r="O21" s="191">
        <v>192487</v>
      </c>
      <c r="P21" s="24">
        <f t="shared" si="21"/>
        <v>192486.51970637572</v>
      </c>
      <c r="Q21" s="23">
        <f t="shared" si="22"/>
        <v>0.48029362427769229</v>
      </c>
      <c r="R21" s="153">
        <f t="shared" si="23"/>
        <v>2.495206547504446E-4</v>
      </c>
    </row>
    <row r="22" spans="2:18" x14ac:dyDescent="0.25">
      <c r="B22" s="29">
        <v>4455667788</v>
      </c>
      <c r="C22" s="191">
        <v>4455667788000</v>
      </c>
      <c r="D22" s="24">
        <f t="shared" si="12"/>
        <v>4455667788000</v>
      </c>
      <c r="E22" s="23">
        <f t="shared" si="13"/>
        <v>0</v>
      </c>
      <c r="F22" s="52">
        <f t="shared" si="14"/>
        <v>0</v>
      </c>
      <c r="G22" s="191">
        <v>9823066001</v>
      </c>
      <c r="H22" s="24">
        <f t="shared" si="15"/>
        <v>9823066000.8676949</v>
      </c>
      <c r="I22" s="23">
        <f t="shared" si="16"/>
        <v>0.13230514526367188</v>
      </c>
      <c r="J22" s="52">
        <f t="shared" si="17"/>
        <v>1.3468823812441558E-9</v>
      </c>
      <c r="K22" s="191">
        <v>4455668</v>
      </c>
      <c r="L22" s="24">
        <f t="shared" si="18"/>
        <v>4455667.7879999997</v>
      </c>
      <c r="M22" s="23">
        <f t="shared" si="19"/>
        <v>0.21200000029057264</v>
      </c>
      <c r="N22" s="52">
        <f t="shared" si="20"/>
        <v>4.7579848942403393E-6</v>
      </c>
      <c r="O22" s="191">
        <v>143253045846</v>
      </c>
      <c r="P22" s="24">
        <f t="shared" si="21"/>
        <v>143253045845.98721</v>
      </c>
      <c r="Q22" s="23">
        <f t="shared" si="22"/>
        <v>1.2786865234375E-2</v>
      </c>
      <c r="R22" s="153">
        <f t="shared" si="23"/>
        <v>8.9260686632256928E-12</v>
      </c>
    </row>
    <row r="23" spans="2:18" x14ac:dyDescent="0.25">
      <c r="B23" s="29">
        <v>-654</v>
      </c>
      <c r="C23" s="191">
        <v>-654000</v>
      </c>
      <c r="D23" s="24">
        <f t="shared" si="12"/>
        <v>-654000</v>
      </c>
      <c r="E23" s="23">
        <f t="shared" si="13"/>
        <v>0</v>
      </c>
      <c r="F23" s="52">
        <f t="shared" si="14"/>
        <v>0</v>
      </c>
      <c r="G23" s="191">
        <v>-1441.82</v>
      </c>
      <c r="H23" s="24">
        <f t="shared" si="15"/>
        <v>-1441.8231946890994</v>
      </c>
      <c r="I23" s="23">
        <f t="shared" si="16"/>
        <v>3.1946890994731802E-3</v>
      </c>
      <c r="J23" s="52">
        <f t="shared" si="17"/>
        <v>-2.2157287462434337E-4</v>
      </c>
      <c r="K23" s="191">
        <v>-0.65400000000000003</v>
      </c>
      <c r="L23" s="24">
        <f t="shared" si="18"/>
        <v>-0.65400000000000003</v>
      </c>
      <c r="M23" s="23">
        <f t="shared" si="19"/>
        <v>0</v>
      </c>
      <c r="N23" s="52">
        <f t="shared" si="20"/>
        <v>0</v>
      </c>
      <c r="O23" s="191">
        <v>-21026.6</v>
      </c>
      <c r="P23" s="24">
        <f t="shared" si="21"/>
        <v>-21026.5882558827</v>
      </c>
      <c r="Q23" s="23">
        <f t="shared" si="22"/>
        <v>-1.1744117298803758E-2</v>
      </c>
      <c r="R23" s="153">
        <f t="shared" si="23"/>
        <v>5.5853651366945159E-5</v>
      </c>
    </row>
    <row r="24" spans="2:18" ht="15.75" thickBot="1" x14ac:dyDescent="0.3">
      <c r="B24" s="31">
        <v>0.65469999999999995</v>
      </c>
      <c r="C24" s="192">
        <v>654.70000000000005</v>
      </c>
      <c r="D24" s="142">
        <f t="shared" si="12"/>
        <v>654.69999999999993</v>
      </c>
      <c r="E24" s="23">
        <f t="shared" si="13"/>
        <v>0</v>
      </c>
      <c r="F24" s="57">
        <f t="shared" si="14"/>
        <v>0</v>
      </c>
      <c r="G24" s="192">
        <v>1.44337</v>
      </c>
      <c r="H24" s="142">
        <f t="shared" si="15"/>
        <v>1.4433664305243934</v>
      </c>
      <c r="I24" s="23">
        <f t="shared" si="16"/>
        <v>3.5694756066462219E-6</v>
      </c>
      <c r="J24" s="57">
        <f t="shared" si="17"/>
        <v>2.4730210784723502E-4</v>
      </c>
      <c r="K24" s="192">
        <v>6.5470000000000003E-4</v>
      </c>
      <c r="L24" s="24">
        <f t="shared" si="18"/>
        <v>6.5469999999999992E-4</v>
      </c>
      <c r="M24" s="23">
        <f t="shared" si="19"/>
        <v>0</v>
      </c>
      <c r="N24" s="57">
        <f t="shared" si="20"/>
        <v>0</v>
      </c>
      <c r="O24" s="203">
        <v>21.049099999999999</v>
      </c>
      <c r="P24" s="142">
        <f t="shared" si="21"/>
        <v>21.049093778480739</v>
      </c>
      <c r="Q24" s="23">
        <f t="shared" si="22"/>
        <v>6.2215192606629444E-6</v>
      </c>
      <c r="R24" s="163">
        <f t="shared" si="23"/>
        <v>2.9557183440473964E-5</v>
      </c>
    </row>
    <row r="25" spans="2:18" ht="15.75" thickBot="1" x14ac:dyDescent="0.3">
      <c r="C25" s="165"/>
      <c r="D25" s="165"/>
      <c r="E25" s="164"/>
      <c r="F25" s="164"/>
      <c r="G25" s="165"/>
      <c r="H25" s="165"/>
      <c r="I25" s="164"/>
      <c r="J25" s="164"/>
      <c r="K25" s="165"/>
      <c r="L25" s="165"/>
      <c r="M25" s="164"/>
      <c r="N25" s="164"/>
      <c r="O25" s="165"/>
      <c r="P25" s="165"/>
      <c r="Q25" s="164"/>
      <c r="R25" s="164"/>
    </row>
    <row r="26" spans="2:18" x14ac:dyDescent="0.25">
      <c r="B26" s="341" t="s">
        <v>10</v>
      </c>
      <c r="C26" s="166" t="s">
        <v>14</v>
      </c>
      <c r="D26" s="168" t="s">
        <v>14</v>
      </c>
      <c r="E26" s="343" t="s">
        <v>354</v>
      </c>
      <c r="F26" s="352" t="s">
        <v>355</v>
      </c>
      <c r="G26" s="166" t="s">
        <v>14</v>
      </c>
      <c r="H26" s="168" t="s">
        <v>14</v>
      </c>
      <c r="I26" s="343" t="s">
        <v>354</v>
      </c>
      <c r="J26" s="352" t="s">
        <v>355</v>
      </c>
      <c r="K26" s="166" t="s">
        <v>14</v>
      </c>
      <c r="L26" s="168" t="s">
        <v>14</v>
      </c>
      <c r="M26" s="343" t="s">
        <v>354</v>
      </c>
      <c r="N26" s="352" t="s">
        <v>355</v>
      </c>
      <c r="O26" s="166" t="s">
        <v>14</v>
      </c>
      <c r="P26" s="168" t="s">
        <v>14</v>
      </c>
      <c r="Q26" s="343" t="s">
        <v>354</v>
      </c>
      <c r="R26" s="357" t="s">
        <v>355</v>
      </c>
    </row>
    <row r="27" spans="2:18" ht="15.75" thickBot="1" x14ac:dyDescent="0.3">
      <c r="B27" s="342"/>
      <c r="C27" s="167" t="s">
        <v>290</v>
      </c>
      <c r="D27" s="169" t="s">
        <v>291</v>
      </c>
      <c r="E27" s="344"/>
      <c r="F27" s="353"/>
      <c r="G27" s="167" t="s">
        <v>290</v>
      </c>
      <c r="H27" s="169" t="s">
        <v>291</v>
      </c>
      <c r="I27" s="344"/>
      <c r="J27" s="353"/>
      <c r="K27" s="167" t="s">
        <v>290</v>
      </c>
      <c r="L27" s="169" t="s">
        <v>291</v>
      </c>
      <c r="M27" s="344"/>
      <c r="N27" s="353"/>
      <c r="O27" s="167" t="s">
        <v>290</v>
      </c>
      <c r="P27" s="169" t="s">
        <v>291</v>
      </c>
      <c r="Q27" s="344"/>
      <c r="R27" s="358"/>
    </row>
    <row r="28" spans="2:18" ht="15.75" thickBot="1" x14ac:dyDescent="0.3">
      <c r="B28" s="346" t="s">
        <v>49</v>
      </c>
      <c r="C28" s="363" t="s">
        <v>47</v>
      </c>
      <c r="D28" s="177" t="s">
        <v>47</v>
      </c>
      <c r="E28" s="344"/>
      <c r="F28" s="354"/>
      <c r="G28" s="363" t="s">
        <v>48</v>
      </c>
      <c r="H28" s="177" t="s">
        <v>48</v>
      </c>
      <c r="I28" s="344"/>
      <c r="J28" s="354"/>
      <c r="K28" s="363" t="s">
        <v>50</v>
      </c>
      <c r="L28" s="177" t="s">
        <v>50</v>
      </c>
      <c r="M28" s="344"/>
      <c r="N28" s="354"/>
      <c r="O28" s="363" t="s">
        <v>51</v>
      </c>
      <c r="P28" s="177" t="s">
        <v>51</v>
      </c>
      <c r="Q28" s="344"/>
      <c r="R28" s="358"/>
    </row>
    <row r="29" spans="2:18" ht="30.75" thickBot="1" x14ac:dyDescent="0.3">
      <c r="B29" s="366"/>
      <c r="C29" s="365"/>
      <c r="D29" s="196" t="s">
        <v>139</v>
      </c>
      <c r="E29" s="345"/>
      <c r="F29" s="345"/>
      <c r="G29" s="365"/>
      <c r="H29" s="202" t="s">
        <v>138</v>
      </c>
      <c r="I29" s="345"/>
      <c r="J29" s="345"/>
      <c r="K29" s="365"/>
      <c r="L29" s="196" t="s">
        <v>140</v>
      </c>
      <c r="M29" s="345"/>
      <c r="N29" s="345"/>
      <c r="O29" s="365"/>
      <c r="P29" s="196" t="s">
        <v>141</v>
      </c>
      <c r="Q29" s="345"/>
      <c r="R29" s="359"/>
    </row>
    <row r="30" spans="2:18" x14ac:dyDescent="0.25">
      <c r="B30" s="28">
        <v>1</v>
      </c>
      <c r="C30" s="195">
        <v>453.59199999999998</v>
      </c>
      <c r="D30" s="24">
        <f>H30*1000</f>
        <v>453.59237000000002</v>
      </c>
      <c r="E30" s="23">
        <f>C30-D30</f>
        <v>-3.7000000003217792E-4</v>
      </c>
      <c r="F30" s="54">
        <f>(100*E30)/D30</f>
        <v>-8.1571037015498721E-5</v>
      </c>
      <c r="G30" s="201">
        <v>0.453592</v>
      </c>
      <c r="H30" s="24">
        <f>B30*0.45359237</f>
        <v>0.45359237000000002</v>
      </c>
      <c r="I30" s="23">
        <f>G30-H30</f>
        <v>-3.7000000002729294E-7</v>
      </c>
      <c r="J30" s="54">
        <f>(100*I30)/H30</f>
        <v>-8.1571037014421769E-5</v>
      </c>
      <c r="K30" s="201">
        <v>4.53592E-4</v>
      </c>
      <c r="L30" s="24">
        <f>H30/1000</f>
        <v>4.5359237000000004E-4</v>
      </c>
      <c r="M30" s="23">
        <f>K30-L30</f>
        <v>-3.7000000003943601E-10</v>
      </c>
      <c r="N30" s="54">
        <f>(100*M30)/L30</f>
        <v>-8.1571037017098854E-5</v>
      </c>
      <c r="O30" s="201">
        <v>14.583299999999999</v>
      </c>
      <c r="P30" s="24">
        <f>H30*1000/31.1034768</f>
        <v>14.583333333333334</v>
      </c>
      <c r="Q30" s="23">
        <f>O30-P30</f>
        <v>-3.3333333334439885E-5</v>
      </c>
      <c r="R30" s="162">
        <f>(100*Q30)/P30</f>
        <v>-2.2857142857901636E-4</v>
      </c>
    </row>
    <row r="31" spans="2:18" x14ac:dyDescent="0.25">
      <c r="B31" s="29">
        <v>987</v>
      </c>
      <c r="C31" s="191">
        <v>447696</v>
      </c>
      <c r="D31" s="24">
        <f t="shared" ref="D31:D35" si="24">H31*1000</f>
        <v>447695.66919000004</v>
      </c>
      <c r="E31" s="23">
        <f t="shared" ref="E31:E35" si="25">C31-D31</f>
        <v>0.33080999995581806</v>
      </c>
      <c r="F31" s="52">
        <f t="shared" ref="F31:F35" si="26">(100*E31)/D31</f>
        <v>7.3891713215439603E-5</v>
      </c>
      <c r="G31" s="191">
        <v>447.69600000000003</v>
      </c>
      <c r="H31" s="24">
        <f t="shared" ref="H31:H35" si="27">B31*0.45359237</f>
        <v>447.69566919000005</v>
      </c>
      <c r="I31" s="23">
        <f t="shared" ref="I31:I35" si="28">G31-H31</f>
        <v>3.3080999997991967E-4</v>
      </c>
      <c r="J31" s="52">
        <f t="shared" ref="J31:J35" si="29">(100*I31)/H31</f>
        <v>7.3891713220823087E-5</v>
      </c>
      <c r="K31" s="191">
        <v>0.44769599999999998</v>
      </c>
      <c r="L31" s="24">
        <f t="shared" ref="L31:L35" si="30">H31/1000</f>
        <v>0.44769566919000003</v>
      </c>
      <c r="M31" s="23">
        <f t="shared" ref="M31:M35" si="31">K31-L31</f>
        <v>3.3080999994883342E-7</v>
      </c>
      <c r="N31" s="52">
        <f t="shared" ref="N31:N35" si="32">(100*M31)/L31</f>
        <v>7.3891713213879477E-5</v>
      </c>
      <c r="O31" s="191">
        <v>14393.8</v>
      </c>
      <c r="P31" s="24">
        <f t="shared" ref="P31:P35" si="33">H31*1000/31.1034768</f>
        <v>14393.750000000002</v>
      </c>
      <c r="Q31" s="23">
        <f t="shared" ref="Q31:Q35" si="34">O31-P31</f>
        <v>4.9999999997453415E-2</v>
      </c>
      <c r="R31" s="153">
        <f t="shared" ref="R31:R35" si="35">(100*Q31)/P31</f>
        <v>3.4737299173219911E-4</v>
      </c>
    </row>
    <row r="32" spans="2:18" x14ac:dyDescent="0.25">
      <c r="B32" s="29">
        <v>5987</v>
      </c>
      <c r="C32" s="191">
        <v>2715658</v>
      </c>
      <c r="D32" s="24">
        <f t="shared" si="24"/>
        <v>2715657.5191899999</v>
      </c>
      <c r="E32" s="23">
        <f t="shared" si="25"/>
        <v>0.48081000009551644</v>
      </c>
      <c r="F32" s="52">
        <f t="shared" si="26"/>
        <v>1.7705104443321993E-5</v>
      </c>
      <c r="G32" s="191">
        <v>2715.66</v>
      </c>
      <c r="H32" s="24">
        <f t="shared" si="27"/>
        <v>2715.6575191900001</v>
      </c>
      <c r="I32" s="23">
        <f t="shared" si="28"/>
        <v>2.4808099997244426E-3</v>
      </c>
      <c r="J32" s="52">
        <f t="shared" si="29"/>
        <v>9.1352093634560895E-5</v>
      </c>
      <c r="K32" s="205">
        <v>2.7156600000000002</v>
      </c>
      <c r="L32" s="24">
        <f t="shared" si="30"/>
        <v>2.7156575191900001</v>
      </c>
      <c r="M32" s="23">
        <f t="shared" si="31"/>
        <v>2.4808100000939248E-6</v>
      </c>
      <c r="N32" s="52">
        <f t="shared" si="32"/>
        <v>9.1352093648166535E-5</v>
      </c>
      <c r="O32" s="191">
        <v>87310.399999999994</v>
      </c>
      <c r="P32" s="24">
        <f t="shared" si="33"/>
        <v>87310.416666666672</v>
      </c>
      <c r="Q32" s="23">
        <f t="shared" si="34"/>
        <v>-1.6666666677338071E-2</v>
      </c>
      <c r="R32" s="153">
        <f t="shared" si="35"/>
        <v>-1.9088978513260336E-5</v>
      </c>
    </row>
    <row r="33" spans="2:18" x14ac:dyDescent="0.25">
      <c r="B33" s="29">
        <v>4455667788</v>
      </c>
      <c r="C33" s="191">
        <v>2021056911892</v>
      </c>
      <c r="D33" s="24">
        <f t="shared" si="24"/>
        <v>2021056911891.5776</v>
      </c>
      <c r="E33" s="23">
        <f t="shared" si="25"/>
        <v>0.42236328125</v>
      </c>
      <c r="F33" s="52">
        <f t="shared" si="26"/>
        <v>2.0898138927453335E-11</v>
      </c>
      <c r="G33" s="191">
        <v>2021056912</v>
      </c>
      <c r="H33" s="24">
        <f t="shared" si="27"/>
        <v>2021056911.8915777</v>
      </c>
      <c r="I33" s="23">
        <f t="shared" si="28"/>
        <v>0.10842227935791016</v>
      </c>
      <c r="J33" s="52">
        <f t="shared" si="29"/>
        <v>5.3646326691727826E-9</v>
      </c>
      <c r="K33" s="191">
        <v>2021057</v>
      </c>
      <c r="L33" s="24">
        <f t="shared" si="30"/>
        <v>2021056.9118915778</v>
      </c>
      <c r="M33" s="23">
        <f t="shared" si="31"/>
        <v>8.8108422234654427E-2</v>
      </c>
      <c r="N33" s="52">
        <f t="shared" si="32"/>
        <v>4.3595220756149155E-6</v>
      </c>
      <c r="O33" s="191">
        <v>64978488575</v>
      </c>
      <c r="P33" s="24">
        <f t="shared" si="33"/>
        <v>64978488575.000008</v>
      </c>
      <c r="Q33" s="23">
        <f t="shared" si="34"/>
        <v>0</v>
      </c>
      <c r="R33" s="153">
        <f t="shared" si="35"/>
        <v>0</v>
      </c>
    </row>
    <row r="34" spans="2:18" x14ac:dyDescent="0.25">
      <c r="B34" s="29">
        <v>-654</v>
      </c>
      <c r="C34" s="191">
        <v>-296649</v>
      </c>
      <c r="D34" s="24">
        <f t="shared" si="24"/>
        <v>-296649.40998000005</v>
      </c>
      <c r="E34" s="23">
        <f t="shared" si="25"/>
        <v>0.40998000005492941</v>
      </c>
      <c r="F34" s="52">
        <f t="shared" si="26"/>
        <v>-1.3820354474413754E-4</v>
      </c>
      <c r="G34" s="191">
        <v>-296.649</v>
      </c>
      <c r="H34" s="24">
        <f t="shared" si="27"/>
        <v>-296.64940998000003</v>
      </c>
      <c r="I34" s="23">
        <f t="shared" si="28"/>
        <v>4.0998000002900881E-4</v>
      </c>
      <c r="J34" s="52">
        <f t="shared" si="29"/>
        <v>-1.3820354473539976E-4</v>
      </c>
      <c r="K34" s="191">
        <v>-0.296649</v>
      </c>
      <c r="L34" s="24">
        <f t="shared" si="30"/>
        <v>-0.29664940998000006</v>
      </c>
      <c r="M34" s="23">
        <f t="shared" si="31"/>
        <v>4.0998000006009505E-7</v>
      </c>
      <c r="N34" s="52">
        <f t="shared" si="32"/>
        <v>-1.3820354474587888E-4</v>
      </c>
      <c r="O34" s="191">
        <v>-9537.5</v>
      </c>
      <c r="P34" s="24">
        <f t="shared" si="33"/>
        <v>-9537.5000000000018</v>
      </c>
      <c r="Q34" s="23">
        <f t="shared" si="34"/>
        <v>0</v>
      </c>
      <c r="R34" s="153">
        <f t="shared" si="35"/>
        <v>0</v>
      </c>
    </row>
    <row r="35" spans="2:18" ht="15.75" thickBot="1" x14ac:dyDescent="0.3">
      <c r="B35" s="31">
        <v>0.65469999999999995</v>
      </c>
      <c r="C35" s="192">
        <v>296.96699999999998</v>
      </c>
      <c r="D35" s="142">
        <f t="shared" si="24"/>
        <v>296.96692463900001</v>
      </c>
      <c r="E35" s="23">
        <f t="shared" si="25"/>
        <v>7.5360999971962883E-5</v>
      </c>
      <c r="F35" s="57">
        <f t="shared" si="26"/>
        <v>2.5376900159360671E-5</v>
      </c>
      <c r="G35" s="192">
        <v>0.29696699999999998</v>
      </c>
      <c r="H35" s="142">
        <f t="shared" si="27"/>
        <v>0.29696692463899999</v>
      </c>
      <c r="I35" s="23">
        <f t="shared" si="28"/>
        <v>7.53609999959437E-8</v>
      </c>
      <c r="J35" s="57">
        <f t="shared" si="29"/>
        <v>2.5376900167435924E-5</v>
      </c>
      <c r="K35" s="192">
        <v>2.9696699999999998E-4</v>
      </c>
      <c r="L35" s="142">
        <f t="shared" si="30"/>
        <v>2.9696692463899999E-4</v>
      </c>
      <c r="M35" s="23">
        <f t="shared" si="31"/>
        <v>7.5360999992474254E-11</v>
      </c>
      <c r="N35" s="57">
        <f t="shared" si="32"/>
        <v>2.5376900166267629E-5</v>
      </c>
      <c r="O35" s="203">
        <v>9.5477100000000004</v>
      </c>
      <c r="P35" s="142">
        <f t="shared" si="33"/>
        <v>9.5477083333333344</v>
      </c>
      <c r="Q35" s="23">
        <f t="shared" si="34"/>
        <v>1.6666666660114515E-6</v>
      </c>
      <c r="R35" s="163">
        <f t="shared" si="35"/>
        <v>1.7456195851654993E-5</v>
      </c>
    </row>
    <row r="36" spans="2:18" ht="15.75" thickBot="1" x14ac:dyDescent="0.3">
      <c r="C36" s="165"/>
      <c r="D36" s="165"/>
      <c r="E36" s="164"/>
      <c r="F36" s="164"/>
      <c r="G36" s="165"/>
      <c r="H36" s="165"/>
      <c r="I36" s="164"/>
      <c r="J36" s="164"/>
      <c r="K36" s="165"/>
      <c r="L36" s="165"/>
      <c r="M36" s="164"/>
      <c r="N36" s="164"/>
      <c r="O36" s="165"/>
      <c r="P36" s="165"/>
      <c r="Q36" s="164"/>
      <c r="R36" s="164"/>
    </row>
    <row r="37" spans="2:18" x14ac:dyDescent="0.25">
      <c r="B37" s="341" t="s">
        <v>10</v>
      </c>
      <c r="C37" s="166" t="s">
        <v>14</v>
      </c>
      <c r="D37" s="168" t="s">
        <v>14</v>
      </c>
      <c r="E37" s="343" t="s">
        <v>354</v>
      </c>
      <c r="F37" s="352" t="s">
        <v>355</v>
      </c>
      <c r="G37" s="166" t="s">
        <v>14</v>
      </c>
      <c r="H37" s="168" t="s">
        <v>14</v>
      </c>
      <c r="I37" s="343" t="s">
        <v>354</v>
      </c>
      <c r="J37" s="352" t="s">
        <v>355</v>
      </c>
      <c r="K37" s="166" t="s">
        <v>14</v>
      </c>
      <c r="L37" s="168" t="s">
        <v>14</v>
      </c>
      <c r="M37" s="343" t="s">
        <v>354</v>
      </c>
      <c r="N37" s="352" t="s">
        <v>355</v>
      </c>
      <c r="O37" s="166" t="s">
        <v>14</v>
      </c>
      <c r="P37" s="168" t="s">
        <v>14</v>
      </c>
      <c r="Q37" s="343" t="s">
        <v>354</v>
      </c>
      <c r="R37" s="357" t="s">
        <v>355</v>
      </c>
    </row>
    <row r="38" spans="2:18" ht="15.75" thickBot="1" x14ac:dyDescent="0.3">
      <c r="B38" s="342"/>
      <c r="C38" s="167" t="s">
        <v>290</v>
      </c>
      <c r="D38" s="169" t="s">
        <v>291</v>
      </c>
      <c r="E38" s="344"/>
      <c r="F38" s="353"/>
      <c r="G38" s="167" t="s">
        <v>290</v>
      </c>
      <c r="H38" s="169" t="s">
        <v>291</v>
      </c>
      <c r="I38" s="344"/>
      <c r="J38" s="353"/>
      <c r="K38" s="167" t="s">
        <v>290</v>
      </c>
      <c r="L38" s="169" t="s">
        <v>291</v>
      </c>
      <c r="M38" s="344"/>
      <c r="N38" s="353"/>
      <c r="O38" s="167" t="s">
        <v>290</v>
      </c>
      <c r="P38" s="169" t="s">
        <v>291</v>
      </c>
      <c r="Q38" s="344"/>
      <c r="R38" s="358"/>
    </row>
    <row r="39" spans="2:18" ht="15.75" thickBot="1" x14ac:dyDescent="0.3">
      <c r="B39" s="346" t="s">
        <v>50</v>
      </c>
      <c r="C39" s="363" t="s">
        <v>47</v>
      </c>
      <c r="D39" s="177" t="s">
        <v>47</v>
      </c>
      <c r="E39" s="344"/>
      <c r="F39" s="354"/>
      <c r="G39" s="363" t="s">
        <v>48</v>
      </c>
      <c r="H39" s="177" t="s">
        <v>48</v>
      </c>
      <c r="I39" s="344"/>
      <c r="J39" s="354"/>
      <c r="K39" s="363" t="s">
        <v>49</v>
      </c>
      <c r="L39" s="177" t="s">
        <v>49</v>
      </c>
      <c r="M39" s="344"/>
      <c r="N39" s="354"/>
      <c r="O39" s="363" t="s">
        <v>51</v>
      </c>
      <c r="P39" s="177" t="s">
        <v>51</v>
      </c>
      <c r="Q39" s="344"/>
      <c r="R39" s="358"/>
    </row>
    <row r="40" spans="2:18" ht="30.75" thickBot="1" x14ac:dyDescent="0.3">
      <c r="B40" s="366"/>
      <c r="C40" s="365"/>
      <c r="D40" s="196" t="s">
        <v>143</v>
      </c>
      <c r="E40" s="345"/>
      <c r="F40" s="345"/>
      <c r="G40" s="365"/>
      <c r="H40" s="202" t="s">
        <v>142</v>
      </c>
      <c r="I40" s="345"/>
      <c r="J40" s="345"/>
      <c r="K40" s="365"/>
      <c r="L40" s="196" t="s">
        <v>144</v>
      </c>
      <c r="M40" s="345"/>
      <c r="N40" s="345"/>
      <c r="O40" s="365"/>
      <c r="P40" s="196" t="s">
        <v>145</v>
      </c>
      <c r="Q40" s="345"/>
      <c r="R40" s="359"/>
    </row>
    <row r="41" spans="2:18" x14ac:dyDescent="0.25">
      <c r="B41" s="28">
        <v>1</v>
      </c>
      <c r="C41" s="195">
        <v>1000000</v>
      </c>
      <c r="D41" s="24">
        <f>H41*1000</f>
        <v>1000000</v>
      </c>
      <c r="E41" s="23">
        <f>C41-D41</f>
        <v>0</v>
      </c>
      <c r="F41" s="54">
        <f>(100*E41)/D41</f>
        <v>0</v>
      </c>
      <c r="G41" s="201">
        <v>1000</v>
      </c>
      <c r="H41" s="24">
        <f>B41*1000</f>
        <v>1000</v>
      </c>
      <c r="I41" s="23">
        <f>G41-H41</f>
        <v>0</v>
      </c>
      <c r="J41" s="54">
        <f>(100*I41)/H41</f>
        <v>0</v>
      </c>
      <c r="K41" s="201">
        <v>2204.62</v>
      </c>
      <c r="L41" s="24">
        <f>H41/0.45359237</f>
        <v>2204.6226218487759</v>
      </c>
      <c r="M41" s="23">
        <f>K41-L41</f>
        <v>-2.6218487760161224E-3</v>
      </c>
      <c r="N41" s="54">
        <f>(100*M41)/L41</f>
        <v>-1.189250600094752E-4</v>
      </c>
      <c r="O41" s="201">
        <v>32150.7</v>
      </c>
      <c r="P41" s="24">
        <f>H41*1000/31.1034768</f>
        <v>32150.746568627983</v>
      </c>
      <c r="Q41" s="23">
        <f>O41-P41</f>
        <v>-4.6568627982196631E-2</v>
      </c>
      <c r="R41" s="162">
        <f>(100*Q41)/P41</f>
        <v>-1.4484462400520836E-4</v>
      </c>
    </row>
    <row r="42" spans="2:18" x14ac:dyDescent="0.25">
      <c r="B42" s="29">
        <v>987</v>
      </c>
      <c r="C42" s="191">
        <v>987000000</v>
      </c>
      <c r="D42" s="24">
        <f t="shared" ref="D42:D46" si="36">H42*1000</f>
        <v>987000000</v>
      </c>
      <c r="E42" s="23">
        <f t="shared" ref="E42:E46" si="37">C42-D42</f>
        <v>0</v>
      </c>
      <c r="F42" s="52">
        <f t="shared" ref="F42:F46" si="38">(100*E42)/D42</f>
        <v>0</v>
      </c>
      <c r="G42" s="191">
        <v>987000</v>
      </c>
      <c r="H42" s="24">
        <f t="shared" ref="H42:H46" si="39">B42*1000</f>
        <v>987000</v>
      </c>
      <c r="I42" s="23">
        <f t="shared" ref="I42:I46" si="40">G42-H42</f>
        <v>0</v>
      </c>
      <c r="J42" s="52">
        <f t="shared" ref="J42:J46" si="41">(100*I42)/H42</f>
        <v>0</v>
      </c>
      <c r="K42" s="191">
        <v>2175963</v>
      </c>
      <c r="L42" s="24">
        <f t="shared" ref="L42:L46" si="42">H42/0.45359237</f>
        <v>2175962.5277647418</v>
      </c>
      <c r="M42" s="23">
        <f t="shared" ref="M42:M46" si="43">K42-L42</f>
        <v>0.47223525820299983</v>
      </c>
      <c r="N42" s="52">
        <f t="shared" ref="N42:N46" si="44">(100*M42)/L42</f>
        <v>2.1702361698668758E-5</v>
      </c>
      <c r="O42" s="191">
        <v>31732787</v>
      </c>
      <c r="P42" s="24">
        <f t="shared" ref="P42:P46" si="45">H42*1000/31.1034768</f>
        <v>31732786.863235816</v>
      </c>
      <c r="Q42" s="23">
        <f t="shared" ref="Q42:Q46" si="46">O42-P42</f>
        <v>0.13676418364048004</v>
      </c>
      <c r="R42" s="153">
        <f t="shared" ref="R42:R46" si="47">(100*Q42)/P42</f>
        <v>4.3098699219175388E-7</v>
      </c>
    </row>
    <row r="43" spans="2:18" x14ac:dyDescent="0.25">
      <c r="B43" s="29">
        <v>5987</v>
      </c>
      <c r="C43" s="191">
        <v>5987000000</v>
      </c>
      <c r="D43" s="24">
        <f t="shared" si="36"/>
        <v>5987000000</v>
      </c>
      <c r="E43" s="23">
        <f t="shared" si="37"/>
        <v>0</v>
      </c>
      <c r="F43" s="52">
        <f t="shared" si="38"/>
        <v>0</v>
      </c>
      <c r="G43" s="191">
        <v>5987000</v>
      </c>
      <c r="H43" s="24">
        <f t="shared" si="39"/>
        <v>5987000</v>
      </c>
      <c r="I43" s="23">
        <f t="shared" si="40"/>
        <v>0</v>
      </c>
      <c r="J43" s="52">
        <f t="shared" si="41"/>
        <v>0</v>
      </c>
      <c r="K43" s="205">
        <v>13199076</v>
      </c>
      <c r="L43" s="24">
        <f t="shared" si="42"/>
        <v>13199075.63700862</v>
      </c>
      <c r="M43" s="23">
        <f t="shared" si="43"/>
        <v>0.36299137957394123</v>
      </c>
      <c r="N43" s="52">
        <f t="shared" si="44"/>
        <v>2.7501272782781624E-6</v>
      </c>
      <c r="O43" s="191">
        <v>192486520</v>
      </c>
      <c r="P43" s="24">
        <f t="shared" si="45"/>
        <v>192486519.70637572</v>
      </c>
      <c r="Q43" s="23">
        <f t="shared" si="46"/>
        <v>0.29362428188323975</v>
      </c>
      <c r="R43" s="153">
        <f t="shared" si="47"/>
        <v>1.5254277667399378E-7</v>
      </c>
    </row>
    <row r="44" spans="2:18" x14ac:dyDescent="0.25">
      <c r="B44" s="29">
        <v>4455667788</v>
      </c>
      <c r="C44" s="197">
        <v>4455667788000000</v>
      </c>
      <c r="D44" s="24">
        <f t="shared" si="36"/>
        <v>4455667788000000</v>
      </c>
      <c r="E44" s="23">
        <f t="shared" si="37"/>
        <v>0</v>
      </c>
      <c r="F44" s="52">
        <f t="shared" si="38"/>
        <v>0</v>
      </c>
      <c r="G44" s="191">
        <v>4455667788000</v>
      </c>
      <c r="H44" s="24">
        <f t="shared" si="39"/>
        <v>4455667788000</v>
      </c>
      <c r="I44" s="23">
        <f t="shared" si="40"/>
        <v>0</v>
      </c>
      <c r="J44" s="52">
        <f t="shared" si="41"/>
        <v>0</v>
      </c>
      <c r="K44" s="191">
        <v>9823066000868</v>
      </c>
      <c r="L44" s="24">
        <f t="shared" si="42"/>
        <v>9823066000867.6953</v>
      </c>
      <c r="M44" s="23">
        <f t="shared" si="43"/>
        <v>0.3046875</v>
      </c>
      <c r="N44" s="52">
        <f t="shared" si="44"/>
        <v>3.1017556023046797E-12</v>
      </c>
      <c r="O44" s="191">
        <v>143253045845987</v>
      </c>
      <c r="P44" s="24">
        <f t="shared" si="45"/>
        <v>143253045845987.22</v>
      </c>
      <c r="Q44" s="23">
        <f t="shared" si="46"/>
        <v>0</v>
      </c>
      <c r="R44" s="153">
        <f t="shared" si="47"/>
        <v>0</v>
      </c>
    </row>
    <row r="45" spans="2:18" x14ac:dyDescent="0.25">
      <c r="B45" s="29">
        <v>-654</v>
      </c>
      <c r="C45" s="191">
        <v>-654000000</v>
      </c>
      <c r="D45" s="24">
        <f t="shared" si="36"/>
        <v>-654000000</v>
      </c>
      <c r="E45" s="23">
        <f t="shared" si="37"/>
        <v>0</v>
      </c>
      <c r="F45" s="52">
        <f t="shared" si="38"/>
        <v>0</v>
      </c>
      <c r="G45" s="191">
        <v>-654000</v>
      </c>
      <c r="H45" s="24">
        <f t="shared" si="39"/>
        <v>-654000</v>
      </c>
      <c r="I45" s="23">
        <f t="shared" si="40"/>
        <v>0</v>
      </c>
      <c r="J45" s="52">
        <f t="shared" si="41"/>
        <v>0</v>
      </c>
      <c r="K45" s="191">
        <v>-1441823</v>
      </c>
      <c r="L45" s="24">
        <f t="shared" si="42"/>
        <v>-1441823.1946890992</v>
      </c>
      <c r="M45" s="23">
        <f t="shared" si="43"/>
        <v>0.19468909921124578</v>
      </c>
      <c r="N45" s="52">
        <f t="shared" si="44"/>
        <v>-1.3502980110763625E-5</v>
      </c>
      <c r="O45" s="191">
        <v>-21026588</v>
      </c>
      <c r="P45" s="24">
        <f t="shared" si="45"/>
        <v>-21026588.255882699</v>
      </c>
      <c r="Q45" s="23">
        <f t="shared" si="46"/>
        <v>0.25588269904255867</v>
      </c>
      <c r="R45" s="153">
        <f t="shared" si="47"/>
        <v>-1.2169482558396951E-6</v>
      </c>
    </row>
    <row r="46" spans="2:18" ht="15.75" thickBot="1" x14ac:dyDescent="0.3">
      <c r="B46" s="31">
        <v>0.65469999999999995</v>
      </c>
      <c r="C46" s="192">
        <v>654700</v>
      </c>
      <c r="D46" s="142">
        <f t="shared" si="36"/>
        <v>654699.99999999988</v>
      </c>
      <c r="E46" s="23">
        <f t="shared" si="37"/>
        <v>0</v>
      </c>
      <c r="F46" s="57">
        <f t="shared" si="38"/>
        <v>0</v>
      </c>
      <c r="G46" s="203">
        <v>654.70000000000005</v>
      </c>
      <c r="H46" s="142">
        <f t="shared" si="39"/>
        <v>654.69999999999993</v>
      </c>
      <c r="I46" s="23">
        <f t="shared" si="40"/>
        <v>0</v>
      </c>
      <c r="J46" s="57">
        <f t="shared" si="41"/>
        <v>0</v>
      </c>
      <c r="K46" s="192">
        <v>1443.37</v>
      </c>
      <c r="L46" s="142">
        <f t="shared" si="42"/>
        <v>1443.3664305243933</v>
      </c>
      <c r="M46" s="23">
        <f t="shared" si="43"/>
        <v>3.569475606582273E-3</v>
      </c>
      <c r="N46" s="57">
        <f t="shared" si="44"/>
        <v>2.4730210784280448E-4</v>
      </c>
      <c r="O46" s="203">
        <v>21049.1</v>
      </c>
      <c r="P46" s="142">
        <f t="shared" si="45"/>
        <v>21049.093778480736</v>
      </c>
      <c r="Q46" s="23">
        <f t="shared" si="46"/>
        <v>6.2215192629082594E-3</v>
      </c>
      <c r="R46" s="163">
        <f t="shared" si="47"/>
        <v>2.9557183451141009E-5</v>
      </c>
    </row>
    <row r="47" spans="2:18" ht="15.75" thickBot="1" x14ac:dyDescent="0.3">
      <c r="C47" s="165"/>
      <c r="D47" s="165"/>
      <c r="E47" s="164"/>
      <c r="F47" s="164"/>
      <c r="G47" s="165"/>
      <c r="H47" s="165"/>
      <c r="I47" s="164"/>
      <c r="J47" s="164"/>
      <c r="K47" s="165"/>
      <c r="L47" s="165"/>
      <c r="M47" s="164"/>
      <c r="N47" s="164"/>
      <c r="O47" s="165"/>
      <c r="P47" s="165"/>
      <c r="Q47" s="164"/>
      <c r="R47" s="164"/>
    </row>
    <row r="48" spans="2:18" x14ac:dyDescent="0.25">
      <c r="B48" s="341" t="s">
        <v>10</v>
      </c>
      <c r="C48" s="166" t="s">
        <v>14</v>
      </c>
      <c r="D48" s="168" t="s">
        <v>14</v>
      </c>
      <c r="E48" s="343" t="s">
        <v>354</v>
      </c>
      <c r="F48" s="352" t="s">
        <v>355</v>
      </c>
      <c r="G48" s="166" t="s">
        <v>14</v>
      </c>
      <c r="H48" s="168" t="s">
        <v>14</v>
      </c>
      <c r="I48" s="343" t="s">
        <v>354</v>
      </c>
      <c r="J48" s="352" t="s">
        <v>355</v>
      </c>
      <c r="K48" s="166" t="s">
        <v>14</v>
      </c>
      <c r="L48" s="168" t="s">
        <v>14</v>
      </c>
      <c r="M48" s="343" t="s">
        <v>354</v>
      </c>
      <c r="N48" s="352" t="s">
        <v>355</v>
      </c>
      <c r="O48" s="166" t="s">
        <v>14</v>
      </c>
      <c r="P48" s="168" t="s">
        <v>14</v>
      </c>
      <c r="Q48" s="343" t="s">
        <v>354</v>
      </c>
      <c r="R48" s="357" t="s">
        <v>355</v>
      </c>
    </row>
    <row r="49" spans="2:18" ht="15.75" thickBot="1" x14ac:dyDescent="0.3">
      <c r="B49" s="342"/>
      <c r="C49" s="167" t="s">
        <v>290</v>
      </c>
      <c r="D49" s="169" t="s">
        <v>291</v>
      </c>
      <c r="E49" s="344"/>
      <c r="F49" s="353"/>
      <c r="G49" s="167" t="s">
        <v>290</v>
      </c>
      <c r="H49" s="169" t="s">
        <v>291</v>
      </c>
      <c r="I49" s="344"/>
      <c r="J49" s="353"/>
      <c r="K49" s="167" t="s">
        <v>290</v>
      </c>
      <c r="L49" s="169" t="s">
        <v>291</v>
      </c>
      <c r="M49" s="344"/>
      <c r="N49" s="353"/>
      <c r="O49" s="167" t="s">
        <v>290</v>
      </c>
      <c r="P49" s="169" t="s">
        <v>291</v>
      </c>
      <c r="Q49" s="344"/>
      <c r="R49" s="358"/>
    </row>
    <row r="50" spans="2:18" ht="15.75" thickBot="1" x14ac:dyDescent="0.3">
      <c r="B50" s="346" t="s">
        <v>51</v>
      </c>
      <c r="C50" s="363" t="s">
        <v>47</v>
      </c>
      <c r="D50" s="177" t="s">
        <v>47</v>
      </c>
      <c r="E50" s="344"/>
      <c r="F50" s="354"/>
      <c r="G50" s="363" t="s">
        <v>48</v>
      </c>
      <c r="H50" s="177" t="s">
        <v>48</v>
      </c>
      <c r="I50" s="344"/>
      <c r="J50" s="354"/>
      <c r="K50" s="363" t="s">
        <v>49</v>
      </c>
      <c r="L50" s="177" t="s">
        <v>49</v>
      </c>
      <c r="M50" s="344"/>
      <c r="N50" s="354"/>
      <c r="O50" s="363" t="s">
        <v>50</v>
      </c>
      <c r="P50" s="177" t="s">
        <v>50</v>
      </c>
      <c r="Q50" s="344"/>
      <c r="R50" s="358"/>
    </row>
    <row r="51" spans="2:18" ht="30.75" thickBot="1" x14ac:dyDescent="0.3">
      <c r="B51" s="366"/>
      <c r="C51" s="365"/>
      <c r="D51" s="196" t="s">
        <v>147</v>
      </c>
      <c r="E51" s="345"/>
      <c r="F51" s="345"/>
      <c r="G51" s="365"/>
      <c r="H51" s="202" t="s">
        <v>146</v>
      </c>
      <c r="I51" s="345"/>
      <c r="J51" s="345"/>
      <c r="K51" s="365"/>
      <c r="L51" s="196" t="s">
        <v>148</v>
      </c>
      <c r="M51" s="345"/>
      <c r="N51" s="345"/>
      <c r="O51" s="365"/>
      <c r="P51" s="196" t="s">
        <v>149</v>
      </c>
      <c r="Q51" s="345"/>
      <c r="R51" s="359"/>
    </row>
    <row r="52" spans="2:18" x14ac:dyDescent="0.25">
      <c r="B52" s="28">
        <v>1</v>
      </c>
      <c r="C52" s="195">
        <v>31.1035</v>
      </c>
      <c r="D52" s="24">
        <f>H52*1000</f>
        <v>31.103476799999999</v>
      </c>
      <c r="E52" s="23">
        <f>C52-D52</f>
        <v>2.3200000001111221E-5</v>
      </c>
      <c r="F52" s="54">
        <f>(100*E52)/D52</f>
        <v>7.4589732042789573E-5</v>
      </c>
      <c r="G52" s="201">
        <v>3.1103499999999999E-2</v>
      </c>
      <c r="H52" s="24">
        <f>B52*31.1034768/1000</f>
        <v>3.1103476799999998E-2</v>
      </c>
      <c r="I52" s="23">
        <f>G52-H52</f>
        <v>2.3200000000972443E-8</v>
      </c>
      <c r="J52" s="54">
        <f>(100*I52)/H52</f>
        <v>7.4589732042343397E-5</v>
      </c>
      <c r="K52" s="201">
        <v>6.8571400000000005E-2</v>
      </c>
      <c r="L52" s="24">
        <f>H52/0.45359237</f>
        <v>6.8571428571428561E-2</v>
      </c>
      <c r="M52" s="23">
        <f>K52-L52</f>
        <v>-2.8571428556389833E-8</v>
      </c>
      <c r="N52" s="54">
        <f>(100*M52)/L52</f>
        <v>-4.166666664473518E-5</v>
      </c>
      <c r="O52" s="195">
        <v>3.1103476799999998E-5</v>
      </c>
      <c r="P52" s="24">
        <f>H52/1000</f>
        <v>3.1103476799999998E-5</v>
      </c>
      <c r="Q52" s="23">
        <f>O52-P52</f>
        <v>0</v>
      </c>
      <c r="R52" s="162">
        <f>(100*Q52)/P52</f>
        <v>0</v>
      </c>
    </row>
    <row r="53" spans="2:18" x14ac:dyDescent="0.25">
      <c r="B53" s="29">
        <v>987</v>
      </c>
      <c r="C53" s="191">
        <v>30699.1</v>
      </c>
      <c r="D53" s="24">
        <f t="shared" ref="D53:D57" si="48">H53*1000</f>
        <v>30699.131601599998</v>
      </c>
      <c r="E53" s="23">
        <f t="shared" ref="E53:E57" si="49">C53-D53</f>
        <v>-3.1601599999703467E-2</v>
      </c>
      <c r="F53" s="52">
        <f t="shared" ref="F53:F57" si="50">(100*E53)/D53</f>
        <v>-1.029397196305593E-4</v>
      </c>
      <c r="G53" s="191">
        <v>30.699100000000001</v>
      </c>
      <c r="H53" s="24">
        <f t="shared" ref="H53:H57" si="51">B53*31.1034768/1000</f>
        <v>30.699131601599998</v>
      </c>
      <c r="I53" s="23">
        <f t="shared" ref="I53:I57" si="52">G53-H53</f>
        <v>-3.1601599996378127E-5</v>
      </c>
      <c r="J53" s="52">
        <f t="shared" ref="J53:J57" si="53">(100*I53)/H53</f>
        <v>-1.0293971961972726E-4</v>
      </c>
      <c r="K53" s="191">
        <v>67.680000000000007</v>
      </c>
      <c r="L53" s="24">
        <f t="shared" ref="L53:L57" si="54">H53/0.45359237</f>
        <v>67.679999999999993</v>
      </c>
      <c r="M53" s="23">
        <f t="shared" ref="M53:M57" si="55">K53-L53</f>
        <v>0</v>
      </c>
      <c r="N53" s="52">
        <f t="shared" ref="N53:N57" si="56">(100*M53)/L53</f>
        <v>0</v>
      </c>
      <c r="O53" s="191">
        <v>3.06991E-2</v>
      </c>
      <c r="P53" s="24">
        <f t="shared" ref="P53:P57" si="57">H53/1000</f>
        <v>3.0699131601599997E-2</v>
      </c>
      <c r="Q53" s="23">
        <f t="shared" ref="Q53:Q57" si="58">O53-P53</f>
        <v>-3.160159999654466E-8</v>
      </c>
      <c r="R53" s="153">
        <f t="shared" ref="R53:R57" si="59">(100*Q53)/P53</f>
        <v>-1.0293971962026974E-4</v>
      </c>
    </row>
    <row r="54" spans="2:18" x14ac:dyDescent="0.25">
      <c r="B54" s="29">
        <v>5987</v>
      </c>
      <c r="C54" s="191">
        <v>186217</v>
      </c>
      <c r="D54" s="24">
        <f t="shared" si="48"/>
        <v>186216.5156016</v>
      </c>
      <c r="E54" s="23">
        <f t="shared" si="49"/>
        <v>0.48439840000355616</v>
      </c>
      <c r="F54" s="52">
        <f t="shared" si="50"/>
        <v>2.6012644390785395E-4</v>
      </c>
      <c r="G54" s="191">
        <v>186.21700000000001</v>
      </c>
      <c r="H54" s="24">
        <f t="shared" si="51"/>
        <v>186.21651560160001</v>
      </c>
      <c r="I54" s="23">
        <f t="shared" si="52"/>
        <v>4.8439840000469303E-4</v>
      </c>
      <c r="J54" s="52">
        <f t="shared" si="53"/>
        <v>2.6012644390846447E-4</v>
      </c>
      <c r="K54" s="205">
        <v>410.53699999999998</v>
      </c>
      <c r="L54" s="24">
        <f t="shared" si="54"/>
        <v>410.53714285714284</v>
      </c>
      <c r="M54" s="23">
        <f t="shared" si="55"/>
        <v>-1.4285714286188522E-4</v>
      </c>
      <c r="N54" s="52">
        <f t="shared" si="56"/>
        <v>-3.4797617060338948E-5</v>
      </c>
      <c r="O54" s="197">
        <v>0.18621699999999999</v>
      </c>
      <c r="P54" s="24">
        <f t="shared" si="57"/>
        <v>0.18621651560160002</v>
      </c>
      <c r="Q54" s="23">
        <f t="shared" si="58"/>
        <v>4.8439839997471701E-7</v>
      </c>
      <c r="R54" s="153">
        <f t="shared" si="59"/>
        <v>2.6012644389236705E-4</v>
      </c>
    </row>
    <row r="55" spans="2:18" x14ac:dyDescent="0.25">
      <c r="B55" s="29">
        <v>4455667788</v>
      </c>
      <c r="C55" s="191">
        <v>138586759673</v>
      </c>
      <c r="D55" s="24">
        <f t="shared" si="48"/>
        <v>138586759672.56531</v>
      </c>
      <c r="E55" s="23">
        <f t="shared" si="49"/>
        <v>0.4346923828125</v>
      </c>
      <c r="F55" s="52">
        <f t="shared" si="50"/>
        <v>3.136608315538471E-10</v>
      </c>
      <c r="G55" s="191">
        <v>138586760</v>
      </c>
      <c r="H55" s="24">
        <f t="shared" si="51"/>
        <v>138586759.67256531</v>
      </c>
      <c r="I55" s="23">
        <f t="shared" si="52"/>
        <v>0.32743468880653381</v>
      </c>
      <c r="J55" s="52">
        <f t="shared" si="53"/>
        <v>2.3626693457596796E-7</v>
      </c>
      <c r="K55" s="191">
        <v>305531505</v>
      </c>
      <c r="L55" s="24">
        <f t="shared" si="54"/>
        <v>305531505.46285713</v>
      </c>
      <c r="M55" s="23">
        <f t="shared" si="55"/>
        <v>-0.46285712718963623</v>
      </c>
      <c r="N55" s="52">
        <f t="shared" si="56"/>
        <v>-1.5149243823102389E-7</v>
      </c>
      <c r="O55" s="191">
        <v>138587</v>
      </c>
      <c r="P55" s="24">
        <f t="shared" si="57"/>
        <v>138586.7596725653</v>
      </c>
      <c r="Q55" s="23">
        <f t="shared" si="58"/>
        <v>0.24032743470161222</v>
      </c>
      <c r="R55" s="153">
        <f t="shared" si="59"/>
        <v>1.7341298351258554E-4</v>
      </c>
    </row>
    <row r="56" spans="2:18" x14ac:dyDescent="0.25">
      <c r="B56" s="29">
        <v>-654</v>
      </c>
      <c r="C56" s="191">
        <v>-20341.7</v>
      </c>
      <c r="D56" s="24">
        <f t="shared" si="48"/>
        <v>-20341.6738272</v>
      </c>
      <c r="E56" s="23">
        <f t="shared" si="49"/>
        <v>-2.6172800000495045E-2</v>
      </c>
      <c r="F56" s="52">
        <f t="shared" si="50"/>
        <v>1.2866591128552025E-4</v>
      </c>
      <c r="G56" s="191">
        <v>-20.341699999999999</v>
      </c>
      <c r="H56" s="24">
        <f t="shared" si="51"/>
        <v>-20.341673827200001</v>
      </c>
      <c r="I56" s="23">
        <f t="shared" si="52"/>
        <v>-2.6172799998391838E-5</v>
      </c>
      <c r="J56" s="52">
        <f t="shared" si="53"/>
        <v>1.2866591127518086E-4</v>
      </c>
      <c r="K56" s="191">
        <v>-44.845700000000001</v>
      </c>
      <c r="L56" s="24">
        <f t="shared" si="54"/>
        <v>-44.845714285714287</v>
      </c>
      <c r="M56" s="23">
        <f t="shared" si="55"/>
        <v>1.4285714286188522E-5</v>
      </c>
      <c r="N56" s="52">
        <f t="shared" si="56"/>
        <v>-3.1855249746215488E-5</v>
      </c>
      <c r="O56" s="191">
        <v>-2.0341700000000001E-2</v>
      </c>
      <c r="P56" s="24">
        <f t="shared" si="57"/>
        <v>-2.0341673827200001E-2</v>
      </c>
      <c r="Q56" s="23">
        <f t="shared" si="58"/>
        <v>-2.617280000019595E-8</v>
      </c>
      <c r="R56" s="153">
        <f t="shared" si="59"/>
        <v>1.286659112840499E-4</v>
      </c>
    </row>
    <row r="57" spans="2:18" ht="15.75" thickBot="1" x14ac:dyDescent="0.3">
      <c r="B57" s="31">
        <v>0.65469999999999995</v>
      </c>
      <c r="C57" s="192">
        <v>20.363399999999999</v>
      </c>
      <c r="D57" s="142">
        <f t="shared" si="48"/>
        <v>20.363446260959996</v>
      </c>
      <c r="E57" s="23">
        <f t="shared" si="49"/>
        <v>-4.6260959997823647E-5</v>
      </c>
      <c r="F57" s="57">
        <f t="shared" si="50"/>
        <v>-2.271764779152994E-4</v>
      </c>
      <c r="G57" s="203">
        <v>2.03634E-2</v>
      </c>
      <c r="H57" s="142">
        <f t="shared" si="51"/>
        <v>2.0363446260959997E-2</v>
      </c>
      <c r="I57" s="23">
        <f t="shared" si="52"/>
        <v>-4.626095999674118E-8</v>
      </c>
      <c r="J57" s="57">
        <f t="shared" si="53"/>
        <v>-2.2717647790998366E-4</v>
      </c>
      <c r="K57" s="192">
        <v>4.4893700000000002E-2</v>
      </c>
      <c r="L57" s="142">
        <f t="shared" si="54"/>
        <v>4.489371428571428E-2</v>
      </c>
      <c r="M57" s="23">
        <f t="shared" si="55"/>
        <v>-1.4285714278194916E-8</v>
      </c>
      <c r="N57" s="57">
        <f t="shared" si="56"/>
        <v>-3.1821190350339988E-5</v>
      </c>
      <c r="O57" s="203">
        <v>2.036344626096E-5</v>
      </c>
      <c r="P57" s="142">
        <f t="shared" si="57"/>
        <v>2.0363446260959997E-5</v>
      </c>
      <c r="Q57" s="23">
        <f t="shared" si="58"/>
        <v>0</v>
      </c>
      <c r="R57" s="163">
        <f t="shared" si="59"/>
        <v>0</v>
      </c>
    </row>
  </sheetData>
  <mergeCells count="71">
    <mergeCell ref="R4:R7"/>
    <mergeCell ref="R15:R18"/>
    <mergeCell ref="R26:R29"/>
    <mergeCell ref="R37:R40"/>
    <mergeCell ref="R48:R51"/>
    <mergeCell ref="B1:K1"/>
    <mergeCell ref="B4:B5"/>
    <mergeCell ref="B15:B16"/>
    <mergeCell ref="B26:B27"/>
    <mergeCell ref="B37:B38"/>
    <mergeCell ref="E4:E7"/>
    <mergeCell ref="I4:I7"/>
    <mergeCell ref="E26:E29"/>
    <mergeCell ref="I26:I29"/>
    <mergeCell ref="B28:B29"/>
    <mergeCell ref="F4:F7"/>
    <mergeCell ref="F15:F18"/>
    <mergeCell ref="F26:F29"/>
    <mergeCell ref="F37:F40"/>
    <mergeCell ref="J4:J7"/>
    <mergeCell ref="J15:J18"/>
    <mergeCell ref="M4:M7"/>
    <mergeCell ref="Q4:Q7"/>
    <mergeCell ref="E15:E18"/>
    <mergeCell ref="I15:I18"/>
    <mergeCell ref="M15:M18"/>
    <mergeCell ref="Q15:Q18"/>
    <mergeCell ref="K17:K18"/>
    <mergeCell ref="N4:N7"/>
    <mergeCell ref="N15:N18"/>
    <mergeCell ref="Q26:Q29"/>
    <mergeCell ref="E37:E40"/>
    <mergeCell ref="I37:I40"/>
    <mergeCell ref="M37:M40"/>
    <mergeCell ref="Q37:Q40"/>
    <mergeCell ref="K39:K40"/>
    <mergeCell ref="K28:K29"/>
    <mergeCell ref="J26:J29"/>
    <mergeCell ref="J37:J40"/>
    <mergeCell ref="N26:N29"/>
    <mergeCell ref="N37:N40"/>
    <mergeCell ref="Q48:Q51"/>
    <mergeCell ref="B6:B7"/>
    <mergeCell ref="C6:C7"/>
    <mergeCell ref="G6:G7"/>
    <mergeCell ref="K6:K7"/>
    <mergeCell ref="O6:O7"/>
    <mergeCell ref="C17:C18"/>
    <mergeCell ref="C28:C29"/>
    <mergeCell ref="C39:C40"/>
    <mergeCell ref="C50:C51"/>
    <mergeCell ref="B17:B18"/>
    <mergeCell ref="G28:G29"/>
    <mergeCell ref="G39:G40"/>
    <mergeCell ref="G50:G51"/>
    <mergeCell ref="G17:G18"/>
    <mergeCell ref="M26:M29"/>
    <mergeCell ref="O50:O51"/>
    <mergeCell ref="B39:B40"/>
    <mergeCell ref="O17:O18"/>
    <mergeCell ref="O28:O29"/>
    <mergeCell ref="O39:O40"/>
    <mergeCell ref="B50:B51"/>
    <mergeCell ref="M48:M51"/>
    <mergeCell ref="B48:B49"/>
    <mergeCell ref="E48:E51"/>
    <mergeCell ref="I48:I51"/>
    <mergeCell ref="K50:K51"/>
    <mergeCell ref="F48:F51"/>
    <mergeCell ref="J48:J51"/>
    <mergeCell ref="N48:N51"/>
  </mergeCells>
  <pageMargins left="0.7" right="0.7" top="0.78740157499999996" bottom="0.78740157499999996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N47"/>
  <sheetViews>
    <sheetView workbookViewId="0">
      <pane xSplit="2" ySplit="1" topLeftCell="H2" activePane="bottomRight" state="frozen"/>
      <selection pane="topRight" activeCell="C1" sqref="C1"/>
      <selection pane="bottomLeft" activeCell="A2" sqref="A2"/>
      <selection pane="bottomRight" activeCell="J52" sqref="J52"/>
    </sheetView>
  </sheetViews>
  <sheetFormatPr defaultRowHeight="15" x14ac:dyDescent="0.25"/>
  <cols>
    <col min="1" max="1" width="3.85546875" customWidth="1"/>
    <col min="2" max="2" width="25.5703125" bestFit="1" customWidth="1"/>
    <col min="3" max="3" width="29.140625" bestFit="1" customWidth="1"/>
    <col min="4" max="4" width="44.5703125" customWidth="1"/>
    <col min="5" max="5" width="28.28515625" bestFit="1" customWidth="1"/>
    <col min="6" max="6" width="23" bestFit="1" customWidth="1"/>
    <col min="7" max="7" width="30.28515625" bestFit="1" customWidth="1"/>
    <col min="8" max="8" width="44.5703125" customWidth="1"/>
    <col min="9" max="9" width="23.140625" bestFit="1" customWidth="1"/>
    <col min="10" max="10" width="23" bestFit="1" customWidth="1"/>
    <col min="11" max="11" width="27.140625" bestFit="1" customWidth="1"/>
    <col min="12" max="12" width="47.85546875" customWidth="1"/>
    <col min="13" max="13" width="23.140625" bestFit="1" customWidth="1"/>
    <col min="14" max="14" width="23" bestFit="1" customWidth="1"/>
  </cols>
  <sheetData>
    <row r="1" spans="2:14" ht="31.5" x14ac:dyDescent="0.5">
      <c r="B1" s="340" t="s">
        <v>289</v>
      </c>
      <c r="C1" s="340"/>
      <c r="D1" s="340"/>
      <c r="E1" s="340"/>
      <c r="F1" s="340"/>
      <c r="G1" s="340"/>
      <c r="H1" s="340"/>
      <c r="I1" s="340"/>
      <c r="J1" s="340"/>
      <c r="K1" s="340"/>
    </row>
    <row r="2" spans="2:14" x14ac:dyDescent="0.25">
      <c r="B2" s="70" t="s">
        <v>340</v>
      </c>
      <c r="C2" t="s">
        <v>341</v>
      </c>
      <c r="D2" t="s">
        <v>493</v>
      </c>
    </row>
    <row r="3" spans="2:14" ht="15.75" thickBot="1" x14ac:dyDescent="0.3"/>
    <row r="4" spans="2:14" x14ac:dyDescent="0.25">
      <c r="B4" s="341" t="s">
        <v>10</v>
      </c>
      <c r="C4" s="62" t="s">
        <v>14</v>
      </c>
      <c r="D4" s="65" t="s">
        <v>14</v>
      </c>
      <c r="E4" s="330" t="s">
        <v>354</v>
      </c>
      <c r="F4" s="324" t="s">
        <v>355</v>
      </c>
      <c r="G4" s="62" t="s">
        <v>14</v>
      </c>
      <c r="H4" s="65" t="s">
        <v>14</v>
      </c>
      <c r="I4" s="330" t="s">
        <v>354</v>
      </c>
      <c r="J4" s="324" t="s">
        <v>355</v>
      </c>
      <c r="K4" s="62" t="s">
        <v>14</v>
      </c>
      <c r="L4" s="65" t="s">
        <v>14</v>
      </c>
      <c r="M4" s="330" t="s">
        <v>354</v>
      </c>
      <c r="N4" s="321" t="s">
        <v>355</v>
      </c>
    </row>
    <row r="5" spans="2:14" ht="15.75" thickBot="1" x14ac:dyDescent="0.3">
      <c r="B5" s="342"/>
      <c r="C5" s="63" t="s">
        <v>290</v>
      </c>
      <c r="D5" s="27" t="s">
        <v>291</v>
      </c>
      <c r="E5" s="331"/>
      <c r="F5" s="325"/>
      <c r="G5" s="63" t="s">
        <v>290</v>
      </c>
      <c r="H5" s="27" t="s">
        <v>291</v>
      </c>
      <c r="I5" s="331"/>
      <c r="J5" s="325"/>
      <c r="K5" s="63" t="s">
        <v>290</v>
      </c>
      <c r="L5" s="27" t="s">
        <v>291</v>
      </c>
      <c r="M5" s="331"/>
      <c r="N5" s="322"/>
    </row>
    <row r="6" spans="2:14" ht="15.75" thickBot="1" x14ac:dyDescent="0.3">
      <c r="B6" s="346" t="s">
        <v>494</v>
      </c>
      <c r="C6" s="346" t="s">
        <v>495</v>
      </c>
      <c r="D6" s="16" t="s">
        <v>495</v>
      </c>
      <c r="E6" s="331"/>
      <c r="F6" s="326"/>
      <c r="G6" s="346" t="s">
        <v>496</v>
      </c>
      <c r="H6" s="16" t="s">
        <v>496</v>
      </c>
      <c r="I6" s="331"/>
      <c r="J6" s="326"/>
      <c r="K6" s="346" t="s">
        <v>497</v>
      </c>
      <c r="L6" s="16" t="s">
        <v>497</v>
      </c>
      <c r="M6" s="331"/>
      <c r="N6" s="322"/>
    </row>
    <row r="7" spans="2:14" ht="30.75" thickBot="1" x14ac:dyDescent="0.3">
      <c r="B7" s="347"/>
      <c r="C7" s="347"/>
      <c r="D7" s="121" t="s">
        <v>498</v>
      </c>
      <c r="E7" s="327"/>
      <c r="F7" s="327"/>
      <c r="G7" s="347"/>
      <c r="H7" s="121" t="s">
        <v>499</v>
      </c>
      <c r="I7" s="327"/>
      <c r="J7" s="327"/>
      <c r="K7" s="347"/>
      <c r="L7" s="120" t="s">
        <v>500</v>
      </c>
      <c r="M7" s="327"/>
      <c r="N7" s="323"/>
    </row>
    <row r="8" spans="2:14" x14ac:dyDescent="0.25">
      <c r="B8" s="44">
        <v>1</v>
      </c>
      <c r="C8" s="154">
        <v>100</v>
      </c>
      <c r="D8" s="123">
        <f>B8*100</f>
        <v>100</v>
      </c>
      <c r="E8" s="54">
        <f>C8-D8</f>
        <v>0</v>
      </c>
      <c r="F8" s="54">
        <f>(100*E8)/D8</f>
        <v>0</v>
      </c>
      <c r="G8" s="154">
        <v>0.1</v>
      </c>
      <c r="H8" s="123">
        <f>D8/1000</f>
        <v>0.1</v>
      </c>
      <c r="I8" s="54">
        <f>G8-H8</f>
        <v>0</v>
      </c>
      <c r="J8" s="54">
        <f>(100*I8)/H8</f>
        <v>0</v>
      </c>
      <c r="K8" s="154">
        <v>0.1</v>
      </c>
      <c r="L8" s="123">
        <f>D8/1000</f>
        <v>0.1</v>
      </c>
      <c r="M8" s="117">
        <f>K8-L8</f>
        <v>0</v>
      </c>
      <c r="N8" s="162">
        <f>(100*M8)/L8</f>
        <v>0</v>
      </c>
    </row>
    <row r="9" spans="2:14" x14ac:dyDescent="0.25">
      <c r="B9" s="47">
        <v>987</v>
      </c>
      <c r="C9" s="159">
        <v>98700</v>
      </c>
      <c r="D9" s="123">
        <f t="shared" ref="D9:D13" si="0">B9*100</f>
        <v>98700</v>
      </c>
      <c r="E9" s="52">
        <f t="shared" ref="E9:E13" si="1">C9-D9</f>
        <v>0</v>
      </c>
      <c r="F9" s="52">
        <f t="shared" ref="F9:F13" si="2">(100*E9)/D9</f>
        <v>0</v>
      </c>
      <c r="G9" s="159">
        <v>98.7</v>
      </c>
      <c r="H9" s="123">
        <f t="shared" ref="H9:H13" si="3">D9/1000</f>
        <v>98.7</v>
      </c>
      <c r="I9" s="52">
        <f t="shared" ref="I9:I13" si="4">G9-H9</f>
        <v>0</v>
      </c>
      <c r="J9" s="52">
        <f t="shared" ref="J9:J13" si="5">(100*I9)/H9</f>
        <v>0</v>
      </c>
      <c r="K9" s="159">
        <v>98.7</v>
      </c>
      <c r="L9" s="123">
        <f t="shared" ref="L9:L13" si="6">D9/1000</f>
        <v>98.7</v>
      </c>
      <c r="M9" s="118">
        <f t="shared" ref="M9:M13" si="7">K9-L9</f>
        <v>0</v>
      </c>
      <c r="N9" s="153">
        <f t="shared" ref="N9:N13" si="8">(100*M9)/L9</f>
        <v>0</v>
      </c>
    </row>
    <row r="10" spans="2:14" x14ac:dyDescent="0.25">
      <c r="B10" s="47">
        <v>5987</v>
      </c>
      <c r="C10" s="159">
        <v>598700</v>
      </c>
      <c r="D10" s="123">
        <f t="shared" si="0"/>
        <v>598700</v>
      </c>
      <c r="E10" s="52">
        <f t="shared" si="1"/>
        <v>0</v>
      </c>
      <c r="F10" s="52">
        <f t="shared" si="2"/>
        <v>0</v>
      </c>
      <c r="G10" s="159">
        <v>598.70000000000005</v>
      </c>
      <c r="H10" s="123">
        <f t="shared" si="3"/>
        <v>598.70000000000005</v>
      </c>
      <c r="I10" s="52">
        <f t="shared" si="4"/>
        <v>0</v>
      </c>
      <c r="J10" s="52">
        <f t="shared" si="5"/>
        <v>0</v>
      </c>
      <c r="K10" s="159">
        <v>598.70000000000005</v>
      </c>
      <c r="L10" s="123">
        <f t="shared" si="6"/>
        <v>598.70000000000005</v>
      </c>
      <c r="M10" s="118">
        <f t="shared" si="7"/>
        <v>0</v>
      </c>
      <c r="N10" s="153">
        <f t="shared" si="8"/>
        <v>0</v>
      </c>
    </row>
    <row r="11" spans="2:14" x14ac:dyDescent="0.25">
      <c r="B11" s="47">
        <v>4455667788</v>
      </c>
      <c r="C11" s="159">
        <v>445566778800</v>
      </c>
      <c r="D11" s="123">
        <f t="shared" si="0"/>
        <v>445566778800</v>
      </c>
      <c r="E11" s="52">
        <f t="shared" si="1"/>
        <v>0</v>
      </c>
      <c r="F11" s="52">
        <f t="shared" si="2"/>
        <v>0</v>
      </c>
      <c r="G11" s="159">
        <v>445566779</v>
      </c>
      <c r="H11" s="123">
        <f t="shared" si="3"/>
        <v>445566778.80000001</v>
      </c>
      <c r="I11" s="52">
        <f t="shared" si="4"/>
        <v>0.19999998807907104</v>
      </c>
      <c r="J11" s="52">
        <f t="shared" si="5"/>
        <v>4.4886647208687954E-8</v>
      </c>
      <c r="K11" s="159">
        <v>445566779</v>
      </c>
      <c r="L11" s="123">
        <f t="shared" si="6"/>
        <v>445566778.80000001</v>
      </c>
      <c r="M11" s="118">
        <f t="shared" si="7"/>
        <v>0.19999998807907104</v>
      </c>
      <c r="N11" s="153">
        <f t="shared" si="8"/>
        <v>4.4886647208687954E-8</v>
      </c>
    </row>
    <row r="12" spans="2:14" x14ac:dyDescent="0.25">
      <c r="B12" s="47">
        <v>-654</v>
      </c>
      <c r="C12" s="159">
        <v>-65400</v>
      </c>
      <c r="D12" s="123">
        <f t="shared" si="0"/>
        <v>-65400</v>
      </c>
      <c r="E12" s="52">
        <f t="shared" si="1"/>
        <v>0</v>
      </c>
      <c r="F12" s="52">
        <f t="shared" si="2"/>
        <v>0</v>
      </c>
      <c r="G12" s="159">
        <v>-65.400000000000006</v>
      </c>
      <c r="H12" s="123">
        <f t="shared" si="3"/>
        <v>-65.400000000000006</v>
      </c>
      <c r="I12" s="52">
        <f t="shared" si="4"/>
        <v>0</v>
      </c>
      <c r="J12" s="52">
        <f t="shared" si="5"/>
        <v>0</v>
      </c>
      <c r="K12" s="159">
        <v>-65.400000000000006</v>
      </c>
      <c r="L12" s="123">
        <f t="shared" si="6"/>
        <v>-65.400000000000006</v>
      </c>
      <c r="M12" s="118">
        <f t="shared" si="7"/>
        <v>0</v>
      </c>
      <c r="N12" s="153">
        <f t="shared" si="8"/>
        <v>0</v>
      </c>
    </row>
    <row r="13" spans="2:14" ht="15.75" thickBot="1" x14ac:dyDescent="0.3">
      <c r="B13" s="74">
        <v>0.65469999999999995</v>
      </c>
      <c r="C13" s="156">
        <v>65.47</v>
      </c>
      <c r="D13" s="59">
        <f t="shared" si="0"/>
        <v>65.47</v>
      </c>
      <c r="E13" s="57">
        <f t="shared" si="1"/>
        <v>0</v>
      </c>
      <c r="F13" s="57">
        <f t="shared" si="2"/>
        <v>0</v>
      </c>
      <c r="G13" s="156">
        <v>6.547E-2</v>
      </c>
      <c r="H13" s="59">
        <f t="shared" si="3"/>
        <v>6.547E-2</v>
      </c>
      <c r="I13" s="57">
        <f t="shared" si="4"/>
        <v>0</v>
      </c>
      <c r="J13" s="57">
        <f t="shared" si="5"/>
        <v>0</v>
      </c>
      <c r="K13" s="156">
        <v>6.547E-2</v>
      </c>
      <c r="L13" s="59">
        <f t="shared" si="6"/>
        <v>6.547E-2</v>
      </c>
      <c r="M13" s="119">
        <f t="shared" si="7"/>
        <v>0</v>
      </c>
      <c r="N13" s="163">
        <f t="shared" si="8"/>
        <v>0</v>
      </c>
    </row>
    <row r="14" spans="2:14" ht="15.75" thickBot="1" x14ac:dyDescent="0.3">
      <c r="C14" s="165"/>
      <c r="D14" s="165"/>
      <c r="E14" s="164"/>
      <c r="F14" s="164"/>
      <c r="G14" s="165"/>
      <c r="H14" s="165"/>
      <c r="I14" s="164"/>
      <c r="J14" s="164"/>
      <c r="K14" s="165"/>
      <c r="L14" s="165"/>
      <c r="M14" s="164"/>
      <c r="N14" s="164"/>
    </row>
    <row r="15" spans="2:14" x14ac:dyDescent="0.25">
      <c r="B15" s="341" t="s">
        <v>10</v>
      </c>
      <c r="C15" s="166" t="s">
        <v>14</v>
      </c>
      <c r="D15" s="168" t="s">
        <v>14</v>
      </c>
      <c r="E15" s="343" t="s">
        <v>354</v>
      </c>
      <c r="F15" s="352" t="s">
        <v>355</v>
      </c>
      <c r="G15" s="166" t="s">
        <v>14</v>
      </c>
      <c r="H15" s="168" t="s">
        <v>14</v>
      </c>
      <c r="I15" s="343" t="s">
        <v>354</v>
      </c>
      <c r="J15" s="352" t="s">
        <v>355</v>
      </c>
      <c r="K15" s="166" t="s">
        <v>14</v>
      </c>
      <c r="L15" s="168" t="s">
        <v>14</v>
      </c>
      <c r="M15" s="343" t="s">
        <v>354</v>
      </c>
      <c r="N15" s="357" t="s">
        <v>355</v>
      </c>
    </row>
    <row r="16" spans="2:14" ht="15.75" thickBot="1" x14ac:dyDescent="0.3">
      <c r="B16" s="342"/>
      <c r="C16" s="167" t="s">
        <v>290</v>
      </c>
      <c r="D16" s="169" t="s">
        <v>291</v>
      </c>
      <c r="E16" s="344"/>
      <c r="F16" s="353"/>
      <c r="G16" s="167" t="s">
        <v>290</v>
      </c>
      <c r="H16" s="169" t="s">
        <v>291</v>
      </c>
      <c r="I16" s="344"/>
      <c r="J16" s="353"/>
      <c r="K16" s="167" t="s">
        <v>290</v>
      </c>
      <c r="L16" s="169" t="s">
        <v>291</v>
      </c>
      <c r="M16" s="344"/>
      <c r="N16" s="358"/>
    </row>
    <row r="17" spans="2:14" ht="15.75" thickBot="1" x14ac:dyDescent="0.3">
      <c r="B17" s="346" t="s">
        <v>495</v>
      </c>
      <c r="C17" s="363" t="s">
        <v>494</v>
      </c>
      <c r="D17" s="177" t="s">
        <v>494</v>
      </c>
      <c r="E17" s="344"/>
      <c r="F17" s="354"/>
      <c r="G17" s="363" t="s">
        <v>496</v>
      </c>
      <c r="H17" s="177" t="s">
        <v>496</v>
      </c>
      <c r="I17" s="344"/>
      <c r="J17" s="354"/>
      <c r="K17" s="363" t="s">
        <v>497</v>
      </c>
      <c r="L17" s="177" t="s">
        <v>497</v>
      </c>
      <c r="M17" s="344"/>
      <c r="N17" s="358"/>
    </row>
    <row r="18" spans="2:14" ht="15.75" thickBot="1" x14ac:dyDescent="0.3">
      <c r="B18" s="362"/>
      <c r="C18" s="364"/>
      <c r="D18" s="179" t="s">
        <v>501</v>
      </c>
      <c r="E18" s="345"/>
      <c r="F18" s="345"/>
      <c r="G18" s="364"/>
      <c r="H18" s="179" t="s">
        <v>502</v>
      </c>
      <c r="I18" s="345"/>
      <c r="J18" s="345"/>
      <c r="K18" s="364"/>
      <c r="L18" s="179" t="s">
        <v>503</v>
      </c>
      <c r="M18" s="345"/>
      <c r="N18" s="359"/>
    </row>
    <row r="19" spans="2:14" x14ac:dyDescent="0.25">
      <c r="B19" s="44">
        <v>1</v>
      </c>
      <c r="C19" s="154">
        <v>0.01</v>
      </c>
      <c r="D19" s="123">
        <f>B19/100</f>
        <v>0.01</v>
      </c>
      <c r="E19" s="54">
        <f>C19-D19</f>
        <v>0</v>
      </c>
      <c r="F19" s="54">
        <f>(100*E19)/D19</f>
        <v>0</v>
      </c>
      <c r="G19" s="154">
        <v>1E-3</v>
      </c>
      <c r="H19" s="123">
        <f>B19/1000</f>
        <v>1E-3</v>
      </c>
      <c r="I19" s="54">
        <f>G19-H19</f>
        <v>0</v>
      </c>
      <c r="J19" s="54">
        <f>(100*I19)/H19</f>
        <v>0</v>
      </c>
      <c r="K19" s="154">
        <v>1E-3</v>
      </c>
      <c r="L19" s="123">
        <f>B19/1000</f>
        <v>1E-3</v>
      </c>
      <c r="M19" s="117">
        <f>K19-L19</f>
        <v>0</v>
      </c>
      <c r="N19" s="162">
        <f>(100*M19)/L19</f>
        <v>0</v>
      </c>
    </row>
    <row r="20" spans="2:14" x14ac:dyDescent="0.25">
      <c r="B20" s="47">
        <v>987</v>
      </c>
      <c r="C20" s="159">
        <v>9.8699999999999992</v>
      </c>
      <c r="D20" s="123">
        <f t="shared" ref="D20:D24" si="9">B20/100</f>
        <v>9.8699999999999992</v>
      </c>
      <c r="E20" s="52">
        <f t="shared" ref="E20:E24" si="10">C20-D20</f>
        <v>0</v>
      </c>
      <c r="F20" s="52">
        <f t="shared" ref="F20:F24" si="11">(100*E20)/D20</f>
        <v>0</v>
      </c>
      <c r="G20" s="159">
        <v>0.98699999999999999</v>
      </c>
      <c r="H20" s="123">
        <f t="shared" ref="H20:H24" si="12">B20/1000</f>
        <v>0.98699999999999999</v>
      </c>
      <c r="I20" s="52">
        <f t="shared" ref="I20:I24" si="13">G20-H20</f>
        <v>0</v>
      </c>
      <c r="J20" s="52">
        <f t="shared" ref="J20:J24" si="14">(100*I20)/H20</f>
        <v>0</v>
      </c>
      <c r="K20" s="159">
        <v>0.98699999999999999</v>
      </c>
      <c r="L20" s="123">
        <f t="shared" ref="L20:L24" si="15">B20/1000</f>
        <v>0.98699999999999999</v>
      </c>
      <c r="M20" s="118">
        <f t="shared" ref="M20:M24" si="16">K20-L20</f>
        <v>0</v>
      </c>
      <c r="N20" s="153">
        <f t="shared" ref="N20:N24" si="17">(100*M20)/L20</f>
        <v>0</v>
      </c>
    </row>
    <row r="21" spans="2:14" x14ac:dyDescent="0.25">
      <c r="B21" s="47">
        <v>5987</v>
      </c>
      <c r="C21" s="159">
        <v>59.87</v>
      </c>
      <c r="D21" s="123">
        <f t="shared" si="9"/>
        <v>59.87</v>
      </c>
      <c r="E21" s="52">
        <f t="shared" si="10"/>
        <v>0</v>
      </c>
      <c r="F21" s="52">
        <f t="shared" si="11"/>
        <v>0</v>
      </c>
      <c r="G21" s="159">
        <v>5.9870000000000001</v>
      </c>
      <c r="H21" s="123">
        <f t="shared" si="12"/>
        <v>5.9870000000000001</v>
      </c>
      <c r="I21" s="52">
        <f t="shared" si="13"/>
        <v>0</v>
      </c>
      <c r="J21" s="52">
        <f t="shared" si="14"/>
        <v>0</v>
      </c>
      <c r="K21" s="159">
        <v>5.9870000000000001</v>
      </c>
      <c r="L21" s="123">
        <f t="shared" si="15"/>
        <v>5.9870000000000001</v>
      </c>
      <c r="M21" s="118">
        <f t="shared" si="16"/>
        <v>0</v>
      </c>
      <c r="N21" s="153">
        <f t="shared" si="17"/>
        <v>0</v>
      </c>
    </row>
    <row r="22" spans="2:14" x14ac:dyDescent="0.25">
      <c r="B22" s="47">
        <v>4455667788</v>
      </c>
      <c r="C22" s="159">
        <v>44556678</v>
      </c>
      <c r="D22" s="123">
        <f t="shared" si="9"/>
        <v>44556677.880000003</v>
      </c>
      <c r="E22" s="52">
        <f t="shared" si="10"/>
        <v>0.11999999731779099</v>
      </c>
      <c r="F22" s="52">
        <f t="shared" si="11"/>
        <v>2.6931989328507578E-7</v>
      </c>
      <c r="G22" s="159">
        <v>4455668</v>
      </c>
      <c r="H22" s="123">
        <f t="shared" si="12"/>
        <v>4455667.7879999997</v>
      </c>
      <c r="I22" s="52">
        <f t="shared" si="13"/>
        <v>0.21200000029057264</v>
      </c>
      <c r="J22" s="52">
        <f t="shared" si="14"/>
        <v>4.7579848942403393E-6</v>
      </c>
      <c r="K22" s="159">
        <v>4455668</v>
      </c>
      <c r="L22" s="123">
        <f t="shared" si="15"/>
        <v>4455667.7879999997</v>
      </c>
      <c r="M22" s="118">
        <f t="shared" si="16"/>
        <v>0.21200000029057264</v>
      </c>
      <c r="N22" s="153">
        <f t="shared" si="17"/>
        <v>4.7579848942403393E-6</v>
      </c>
    </row>
    <row r="23" spans="2:14" x14ac:dyDescent="0.25">
      <c r="B23" s="47">
        <v>-654</v>
      </c>
      <c r="C23" s="159">
        <v>-6.54</v>
      </c>
      <c r="D23" s="123">
        <f t="shared" si="9"/>
        <v>-6.54</v>
      </c>
      <c r="E23" s="52">
        <f t="shared" si="10"/>
        <v>0</v>
      </c>
      <c r="F23" s="52">
        <f t="shared" si="11"/>
        <v>0</v>
      </c>
      <c r="G23" s="159">
        <v>-0.65400000000000003</v>
      </c>
      <c r="H23" s="123">
        <f t="shared" si="12"/>
        <v>-0.65400000000000003</v>
      </c>
      <c r="I23" s="52">
        <f t="shared" si="13"/>
        <v>0</v>
      </c>
      <c r="J23" s="52">
        <f t="shared" si="14"/>
        <v>0</v>
      </c>
      <c r="K23" s="159">
        <v>-0.65400000000000003</v>
      </c>
      <c r="L23" s="123">
        <f t="shared" si="15"/>
        <v>-0.65400000000000003</v>
      </c>
      <c r="M23" s="118">
        <f t="shared" si="16"/>
        <v>0</v>
      </c>
      <c r="N23" s="153">
        <f t="shared" si="17"/>
        <v>0</v>
      </c>
    </row>
    <row r="24" spans="2:14" ht="15.75" thickBot="1" x14ac:dyDescent="0.3">
      <c r="B24" s="74">
        <v>0.65469999999999995</v>
      </c>
      <c r="C24" s="156">
        <v>6.5469999999999999E-3</v>
      </c>
      <c r="D24" s="59">
        <f t="shared" si="9"/>
        <v>6.5469999999999999E-3</v>
      </c>
      <c r="E24" s="57">
        <f t="shared" si="10"/>
        <v>0</v>
      </c>
      <c r="F24" s="57">
        <f t="shared" si="11"/>
        <v>0</v>
      </c>
      <c r="G24" s="156">
        <v>6.5470000000000003E-4</v>
      </c>
      <c r="H24" s="59">
        <f t="shared" si="12"/>
        <v>6.5469999999999992E-4</v>
      </c>
      <c r="I24" s="57">
        <f t="shared" si="13"/>
        <v>0</v>
      </c>
      <c r="J24" s="57">
        <f t="shared" si="14"/>
        <v>0</v>
      </c>
      <c r="K24" s="156">
        <v>6.5470000000000003E-4</v>
      </c>
      <c r="L24" s="59">
        <f t="shared" si="15"/>
        <v>6.5469999999999992E-4</v>
      </c>
      <c r="M24" s="119">
        <f t="shared" si="16"/>
        <v>0</v>
      </c>
      <c r="N24" s="163">
        <f t="shared" si="17"/>
        <v>0</v>
      </c>
    </row>
    <row r="25" spans="2:14" ht="15.75" thickBot="1" x14ac:dyDescent="0.3">
      <c r="C25" s="165"/>
      <c r="D25" s="165"/>
      <c r="E25" s="164"/>
      <c r="F25" s="164"/>
      <c r="G25" s="165"/>
      <c r="H25" s="165"/>
      <c r="I25" s="164"/>
      <c r="J25" s="164"/>
      <c r="K25" s="165"/>
      <c r="L25" s="165"/>
      <c r="M25" s="164"/>
      <c r="N25" s="164"/>
    </row>
    <row r="26" spans="2:14" x14ac:dyDescent="0.25">
      <c r="B26" s="341" t="s">
        <v>10</v>
      </c>
      <c r="C26" s="166" t="s">
        <v>14</v>
      </c>
      <c r="D26" s="168" t="s">
        <v>14</v>
      </c>
      <c r="E26" s="343" t="s">
        <v>354</v>
      </c>
      <c r="F26" s="352" t="s">
        <v>355</v>
      </c>
      <c r="G26" s="166" t="s">
        <v>14</v>
      </c>
      <c r="H26" s="168" t="s">
        <v>14</v>
      </c>
      <c r="I26" s="343" t="s">
        <v>354</v>
      </c>
      <c r="J26" s="352" t="s">
        <v>355</v>
      </c>
      <c r="K26" s="166" t="s">
        <v>14</v>
      </c>
      <c r="L26" s="168" t="s">
        <v>14</v>
      </c>
      <c r="M26" s="343" t="s">
        <v>354</v>
      </c>
      <c r="N26" s="357" t="s">
        <v>355</v>
      </c>
    </row>
    <row r="27" spans="2:14" ht="15.75" thickBot="1" x14ac:dyDescent="0.3">
      <c r="B27" s="342"/>
      <c r="C27" s="167" t="s">
        <v>290</v>
      </c>
      <c r="D27" s="169" t="s">
        <v>291</v>
      </c>
      <c r="E27" s="344"/>
      <c r="F27" s="353"/>
      <c r="G27" s="167" t="s">
        <v>290</v>
      </c>
      <c r="H27" s="169" t="s">
        <v>291</v>
      </c>
      <c r="I27" s="344"/>
      <c r="J27" s="353"/>
      <c r="K27" s="167" t="s">
        <v>290</v>
      </c>
      <c r="L27" s="169" t="s">
        <v>291</v>
      </c>
      <c r="M27" s="344"/>
      <c r="N27" s="358"/>
    </row>
    <row r="28" spans="2:14" ht="15.75" thickBot="1" x14ac:dyDescent="0.3">
      <c r="B28" s="346" t="s">
        <v>496</v>
      </c>
      <c r="C28" s="363" t="s">
        <v>494</v>
      </c>
      <c r="D28" s="177" t="s">
        <v>494</v>
      </c>
      <c r="E28" s="344"/>
      <c r="F28" s="354"/>
      <c r="G28" s="363" t="s">
        <v>495</v>
      </c>
      <c r="H28" s="177" t="s">
        <v>495</v>
      </c>
      <c r="I28" s="344"/>
      <c r="J28" s="354"/>
      <c r="K28" s="363" t="s">
        <v>497</v>
      </c>
      <c r="L28" s="177" t="s">
        <v>497</v>
      </c>
      <c r="M28" s="344"/>
      <c r="N28" s="358"/>
    </row>
    <row r="29" spans="2:14" ht="30.75" thickBot="1" x14ac:dyDescent="0.3">
      <c r="B29" s="347"/>
      <c r="C29" s="364"/>
      <c r="D29" s="179" t="s">
        <v>505</v>
      </c>
      <c r="E29" s="345"/>
      <c r="F29" s="345"/>
      <c r="G29" s="364"/>
      <c r="H29" s="179" t="s">
        <v>504</v>
      </c>
      <c r="I29" s="345"/>
      <c r="J29" s="345"/>
      <c r="K29" s="364"/>
      <c r="L29" s="178" t="s">
        <v>506</v>
      </c>
      <c r="M29" s="345"/>
      <c r="N29" s="359"/>
    </row>
    <row r="30" spans="2:14" x14ac:dyDescent="0.25">
      <c r="B30" s="44">
        <v>1</v>
      </c>
      <c r="C30" s="154">
        <v>10</v>
      </c>
      <c r="D30" s="123">
        <f>H30/100</f>
        <v>10</v>
      </c>
      <c r="E30" s="54">
        <f>C30-D30</f>
        <v>0</v>
      </c>
      <c r="F30" s="54">
        <f>(100*E30)/D30</f>
        <v>0</v>
      </c>
      <c r="G30" s="154">
        <v>1000</v>
      </c>
      <c r="H30" s="123">
        <f>B30*1000</f>
        <v>1000</v>
      </c>
      <c r="I30" s="54">
        <f>G30-H30</f>
        <v>0</v>
      </c>
      <c r="J30" s="54">
        <f>(100*I30)/H30</f>
        <v>0</v>
      </c>
      <c r="K30" s="154">
        <v>1</v>
      </c>
      <c r="L30" s="123">
        <f>H30/1000</f>
        <v>1</v>
      </c>
      <c r="M30" s="117">
        <f>K30-L30</f>
        <v>0</v>
      </c>
      <c r="N30" s="162">
        <f>(100*M30)/L30</f>
        <v>0</v>
      </c>
    </row>
    <row r="31" spans="2:14" x14ac:dyDescent="0.25">
      <c r="B31" s="47">
        <v>987</v>
      </c>
      <c r="C31" s="159">
        <v>9870</v>
      </c>
      <c r="D31" s="123">
        <f t="shared" ref="D31:D35" si="18">H31/100</f>
        <v>9870</v>
      </c>
      <c r="E31" s="52">
        <f t="shared" ref="E31:E35" si="19">C31-D31</f>
        <v>0</v>
      </c>
      <c r="F31" s="52">
        <f t="shared" ref="F31:F35" si="20">(100*E31)/D31</f>
        <v>0</v>
      </c>
      <c r="G31" s="159">
        <v>987000</v>
      </c>
      <c r="H31" s="123">
        <f t="shared" ref="H31:H35" si="21">B31*1000</f>
        <v>987000</v>
      </c>
      <c r="I31" s="52">
        <f t="shared" ref="I31:I35" si="22">G31-H31</f>
        <v>0</v>
      </c>
      <c r="J31" s="52">
        <f t="shared" ref="J31:J35" si="23">(100*I31)/H31</f>
        <v>0</v>
      </c>
      <c r="K31" s="159">
        <v>987</v>
      </c>
      <c r="L31" s="123">
        <f t="shared" ref="L31:L35" si="24">H31/1000</f>
        <v>987</v>
      </c>
      <c r="M31" s="118">
        <f t="shared" ref="M31:M35" si="25">K31-L31</f>
        <v>0</v>
      </c>
      <c r="N31" s="153">
        <f t="shared" ref="N31:N35" si="26">(100*M31)/L31</f>
        <v>0</v>
      </c>
    </row>
    <row r="32" spans="2:14" x14ac:dyDescent="0.25">
      <c r="B32" s="47">
        <v>5987</v>
      </c>
      <c r="C32" s="159">
        <v>59870</v>
      </c>
      <c r="D32" s="123">
        <f t="shared" si="18"/>
        <v>59870</v>
      </c>
      <c r="E32" s="52">
        <f t="shared" si="19"/>
        <v>0</v>
      </c>
      <c r="F32" s="52">
        <f t="shared" si="20"/>
        <v>0</v>
      </c>
      <c r="G32" s="159">
        <v>5987000</v>
      </c>
      <c r="H32" s="123">
        <f t="shared" si="21"/>
        <v>5987000</v>
      </c>
      <c r="I32" s="52">
        <f t="shared" si="22"/>
        <v>0</v>
      </c>
      <c r="J32" s="52">
        <f t="shared" si="23"/>
        <v>0</v>
      </c>
      <c r="K32" s="159">
        <v>5987</v>
      </c>
      <c r="L32" s="123">
        <f t="shared" si="24"/>
        <v>5987</v>
      </c>
      <c r="M32" s="118">
        <f t="shared" si="25"/>
        <v>0</v>
      </c>
      <c r="N32" s="153">
        <f t="shared" si="26"/>
        <v>0</v>
      </c>
    </row>
    <row r="33" spans="2:14" x14ac:dyDescent="0.25">
      <c r="B33" s="47">
        <v>4455667788</v>
      </c>
      <c r="C33" s="159">
        <v>44556677880</v>
      </c>
      <c r="D33" s="123">
        <f t="shared" si="18"/>
        <v>44556677880</v>
      </c>
      <c r="E33" s="52">
        <f t="shared" si="19"/>
        <v>0</v>
      </c>
      <c r="F33" s="52">
        <f t="shared" si="20"/>
        <v>0</v>
      </c>
      <c r="G33" s="159">
        <v>4455667788000</v>
      </c>
      <c r="H33" s="123">
        <f t="shared" si="21"/>
        <v>4455667788000</v>
      </c>
      <c r="I33" s="52">
        <f t="shared" si="22"/>
        <v>0</v>
      </c>
      <c r="J33" s="52">
        <f t="shared" si="23"/>
        <v>0</v>
      </c>
      <c r="K33" s="159">
        <v>4455667788</v>
      </c>
      <c r="L33" s="123">
        <f t="shared" si="24"/>
        <v>4455667788</v>
      </c>
      <c r="M33" s="118">
        <f t="shared" si="25"/>
        <v>0</v>
      </c>
      <c r="N33" s="153">
        <f t="shared" si="26"/>
        <v>0</v>
      </c>
    </row>
    <row r="34" spans="2:14" x14ac:dyDescent="0.25">
      <c r="B34" s="47">
        <v>-654</v>
      </c>
      <c r="C34" s="159">
        <v>-6540</v>
      </c>
      <c r="D34" s="123">
        <f t="shared" si="18"/>
        <v>-6540</v>
      </c>
      <c r="E34" s="52">
        <f t="shared" si="19"/>
        <v>0</v>
      </c>
      <c r="F34" s="52">
        <f t="shared" si="20"/>
        <v>0</v>
      </c>
      <c r="G34" s="159">
        <v>-654000</v>
      </c>
      <c r="H34" s="123">
        <f t="shared" si="21"/>
        <v>-654000</v>
      </c>
      <c r="I34" s="52">
        <f t="shared" si="22"/>
        <v>0</v>
      </c>
      <c r="J34" s="52">
        <f t="shared" si="23"/>
        <v>0</v>
      </c>
      <c r="K34" s="159">
        <v>-654</v>
      </c>
      <c r="L34" s="123">
        <f t="shared" si="24"/>
        <v>-654</v>
      </c>
      <c r="M34" s="118">
        <f t="shared" si="25"/>
        <v>0</v>
      </c>
      <c r="N34" s="153">
        <f t="shared" si="26"/>
        <v>0</v>
      </c>
    </row>
    <row r="35" spans="2:14" ht="15.75" thickBot="1" x14ac:dyDescent="0.3">
      <c r="B35" s="74">
        <v>0.65469999999999995</v>
      </c>
      <c r="C35" s="156">
        <v>6.5469999999999997</v>
      </c>
      <c r="D35" s="59">
        <f t="shared" si="18"/>
        <v>6.5469999999999997</v>
      </c>
      <c r="E35" s="57">
        <f t="shared" si="19"/>
        <v>0</v>
      </c>
      <c r="F35" s="57">
        <f t="shared" si="20"/>
        <v>0</v>
      </c>
      <c r="G35" s="156">
        <v>654.70000000000005</v>
      </c>
      <c r="H35" s="59">
        <f t="shared" si="21"/>
        <v>654.69999999999993</v>
      </c>
      <c r="I35" s="57">
        <f t="shared" si="22"/>
        <v>0</v>
      </c>
      <c r="J35" s="57">
        <f t="shared" si="23"/>
        <v>0</v>
      </c>
      <c r="K35" s="156">
        <v>0.65469999999999995</v>
      </c>
      <c r="L35" s="59">
        <f t="shared" si="24"/>
        <v>0.65469999999999995</v>
      </c>
      <c r="M35" s="119">
        <f t="shared" si="25"/>
        <v>0</v>
      </c>
      <c r="N35" s="163">
        <f t="shared" si="26"/>
        <v>0</v>
      </c>
    </row>
    <row r="36" spans="2:14" ht="15.75" thickBot="1" x14ac:dyDescent="0.3">
      <c r="C36" s="165"/>
      <c r="D36" s="165"/>
      <c r="E36" s="164"/>
      <c r="F36" s="164"/>
      <c r="G36" s="165"/>
      <c r="H36" s="165"/>
      <c r="I36" s="164"/>
      <c r="J36" s="164"/>
      <c r="K36" s="165"/>
      <c r="L36" s="165"/>
      <c r="M36" s="164"/>
      <c r="N36" s="164"/>
    </row>
    <row r="37" spans="2:14" x14ac:dyDescent="0.25">
      <c r="B37" s="341" t="s">
        <v>10</v>
      </c>
      <c r="C37" s="166" t="s">
        <v>14</v>
      </c>
      <c r="D37" s="168" t="s">
        <v>14</v>
      </c>
      <c r="E37" s="343" t="s">
        <v>354</v>
      </c>
      <c r="F37" s="352" t="s">
        <v>355</v>
      </c>
      <c r="G37" s="166" t="s">
        <v>14</v>
      </c>
      <c r="H37" s="168" t="s">
        <v>14</v>
      </c>
      <c r="I37" s="343" t="s">
        <v>354</v>
      </c>
      <c r="J37" s="352" t="s">
        <v>355</v>
      </c>
      <c r="K37" s="166" t="s">
        <v>14</v>
      </c>
      <c r="L37" s="168" t="s">
        <v>14</v>
      </c>
      <c r="M37" s="343" t="s">
        <v>354</v>
      </c>
      <c r="N37" s="357" t="s">
        <v>355</v>
      </c>
    </row>
    <row r="38" spans="2:14" ht="15.75" thickBot="1" x14ac:dyDescent="0.3">
      <c r="B38" s="342"/>
      <c r="C38" s="167" t="s">
        <v>290</v>
      </c>
      <c r="D38" s="169" t="s">
        <v>291</v>
      </c>
      <c r="E38" s="344"/>
      <c r="F38" s="353"/>
      <c r="G38" s="167" t="s">
        <v>290</v>
      </c>
      <c r="H38" s="169" t="s">
        <v>291</v>
      </c>
      <c r="I38" s="344"/>
      <c r="J38" s="353"/>
      <c r="K38" s="167" t="s">
        <v>290</v>
      </c>
      <c r="L38" s="169" t="s">
        <v>291</v>
      </c>
      <c r="M38" s="344"/>
      <c r="N38" s="358"/>
    </row>
    <row r="39" spans="2:14" ht="15.75" thickBot="1" x14ac:dyDescent="0.3">
      <c r="B39" s="346" t="s">
        <v>497</v>
      </c>
      <c r="C39" s="363" t="s">
        <v>494</v>
      </c>
      <c r="D39" s="177" t="s">
        <v>494</v>
      </c>
      <c r="E39" s="344"/>
      <c r="F39" s="354"/>
      <c r="G39" s="363" t="s">
        <v>495</v>
      </c>
      <c r="H39" s="177" t="s">
        <v>495</v>
      </c>
      <c r="I39" s="344"/>
      <c r="J39" s="354"/>
      <c r="K39" s="363" t="s">
        <v>496</v>
      </c>
      <c r="L39" s="177" t="s">
        <v>496</v>
      </c>
      <c r="M39" s="344"/>
      <c r="N39" s="358"/>
    </row>
    <row r="40" spans="2:14" ht="30.75" thickBot="1" x14ac:dyDescent="0.3">
      <c r="B40" s="347"/>
      <c r="C40" s="364"/>
      <c r="D40" s="179" t="s">
        <v>508</v>
      </c>
      <c r="E40" s="345"/>
      <c r="F40" s="345"/>
      <c r="G40" s="364"/>
      <c r="H40" s="179" t="s">
        <v>507</v>
      </c>
      <c r="I40" s="345"/>
      <c r="J40" s="345"/>
      <c r="K40" s="364"/>
      <c r="L40" s="179" t="s">
        <v>509</v>
      </c>
      <c r="M40" s="345"/>
      <c r="N40" s="359"/>
    </row>
    <row r="41" spans="2:14" x14ac:dyDescent="0.25">
      <c r="B41" s="44">
        <v>1</v>
      </c>
      <c r="C41" s="154">
        <v>10</v>
      </c>
      <c r="D41" s="123">
        <f>H41/100</f>
        <v>10</v>
      </c>
      <c r="E41" s="54">
        <f>C41-D41</f>
        <v>0</v>
      </c>
      <c r="F41" s="54">
        <f>(100*E41)/D41</f>
        <v>0</v>
      </c>
      <c r="G41" s="154">
        <v>1000</v>
      </c>
      <c r="H41" s="123">
        <f>B41*1000</f>
        <v>1000</v>
      </c>
      <c r="I41" s="54">
        <f>G41-H41</f>
        <v>0</v>
      </c>
      <c r="J41" s="54">
        <f>(100*I41)/H41</f>
        <v>0</v>
      </c>
      <c r="K41" s="154">
        <v>1</v>
      </c>
      <c r="L41" s="123">
        <f>H41/1000</f>
        <v>1</v>
      </c>
      <c r="M41" s="117">
        <f>K41-L41</f>
        <v>0</v>
      </c>
      <c r="N41" s="162">
        <f>(100*M41)/L41</f>
        <v>0</v>
      </c>
    </row>
    <row r="42" spans="2:14" x14ac:dyDescent="0.25">
      <c r="B42" s="47">
        <v>987</v>
      </c>
      <c r="C42" s="159">
        <v>9870</v>
      </c>
      <c r="D42" s="123">
        <f t="shared" ref="D42:D46" si="27">H42/100</f>
        <v>9870</v>
      </c>
      <c r="E42" s="52">
        <f t="shared" ref="E42:E46" si="28">C42-D42</f>
        <v>0</v>
      </c>
      <c r="F42" s="52">
        <f t="shared" ref="F42:F46" si="29">(100*E42)/D42</f>
        <v>0</v>
      </c>
      <c r="G42" s="159">
        <v>987000</v>
      </c>
      <c r="H42" s="123">
        <f t="shared" ref="H42:H46" si="30">B42*1000</f>
        <v>987000</v>
      </c>
      <c r="I42" s="52">
        <f t="shared" ref="I42:I46" si="31">G42-H42</f>
        <v>0</v>
      </c>
      <c r="J42" s="52">
        <f t="shared" ref="J42:J46" si="32">(100*I42)/H42</f>
        <v>0</v>
      </c>
      <c r="K42" s="159">
        <v>987</v>
      </c>
      <c r="L42" s="123">
        <f t="shared" ref="L42:L46" si="33">H42/1000</f>
        <v>987</v>
      </c>
      <c r="M42" s="118">
        <f t="shared" ref="M42:M46" si="34">K42-L42</f>
        <v>0</v>
      </c>
      <c r="N42" s="153">
        <f t="shared" ref="N42:N46" si="35">(100*M42)/L42</f>
        <v>0</v>
      </c>
    </row>
    <row r="43" spans="2:14" x14ac:dyDescent="0.25">
      <c r="B43" s="47">
        <v>5987</v>
      </c>
      <c r="C43" s="159">
        <v>59870</v>
      </c>
      <c r="D43" s="123">
        <f t="shared" si="27"/>
        <v>59870</v>
      </c>
      <c r="E43" s="52">
        <f t="shared" si="28"/>
        <v>0</v>
      </c>
      <c r="F43" s="52">
        <f t="shared" si="29"/>
        <v>0</v>
      </c>
      <c r="G43" s="159">
        <v>5987000</v>
      </c>
      <c r="H43" s="123">
        <f t="shared" si="30"/>
        <v>5987000</v>
      </c>
      <c r="I43" s="52">
        <f t="shared" si="31"/>
        <v>0</v>
      </c>
      <c r="J43" s="52">
        <f t="shared" si="32"/>
        <v>0</v>
      </c>
      <c r="K43" s="159">
        <v>5987</v>
      </c>
      <c r="L43" s="123">
        <f t="shared" si="33"/>
        <v>5987</v>
      </c>
      <c r="M43" s="118">
        <f t="shared" si="34"/>
        <v>0</v>
      </c>
      <c r="N43" s="153">
        <f t="shared" si="35"/>
        <v>0</v>
      </c>
    </row>
    <row r="44" spans="2:14" x14ac:dyDescent="0.25">
      <c r="B44" s="47">
        <v>4455667788</v>
      </c>
      <c r="C44" s="159">
        <v>44556677880</v>
      </c>
      <c r="D44" s="123">
        <f t="shared" si="27"/>
        <v>44556677880</v>
      </c>
      <c r="E44" s="52">
        <f t="shared" si="28"/>
        <v>0</v>
      </c>
      <c r="F44" s="52">
        <f t="shared" si="29"/>
        <v>0</v>
      </c>
      <c r="G44" s="159">
        <v>4455667788000</v>
      </c>
      <c r="H44" s="123">
        <f t="shared" si="30"/>
        <v>4455667788000</v>
      </c>
      <c r="I44" s="52">
        <f t="shared" si="31"/>
        <v>0</v>
      </c>
      <c r="J44" s="52">
        <f t="shared" si="32"/>
        <v>0</v>
      </c>
      <c r="K44" s="159">
        <v>4455667788</v>
      </c>
      <c r="L44" s="123">
        <f t="shared" si="33"/>
        <v>4455667788</v>
      </c>
      <c r="M44" s="118">
        <f t="shared" si="34"/>
        <v>0</v>
      </c>
      <c r="N44" s="153">
        <f t="shared" si="35"/>
        <v>0</v>
      </c>
    </row>
    <row r="45" spans="2:14" x14ac:dyDescent="0.25">
      <c r="B45" s="47">
        <v>-654</v>
      </c>
      <c r="C45" s="159">
        <v>-6540</v>
      </c>
      <c r="D45" s="123">
        <f t="shared" si="27"/>
        <v>-6540</v>
      </c>
      <c r="E45" s="52">
        <f t="shared" si="28"/>
        <v>0</v>
      </c>
      <c r="F45" s="52">
        <f t="shared" si="29"/>
        <v>0</v>
      </c>
      <c r="G45" s="159">
        <v>-654000</v>
      </c>
      <c r="H45" s="123">
        <f t="shared" si="30"/>
        <v>-654000</v>
      </c>
      <c r="I45" s="52">
        <f t="shared" si="31"/>
        <v>0</v>
      </c>
      <c r="J45" s="52">
        <f t="shared" si="32"/>
        <v>0</v>
      </c>
      <c r="K45" s="159">
        <v>-654</v>
      </c>
      <c r="L45" s="123">
        <f t="shared" si="33"/>
        <v>-654</v>
      </c>
      <c r="M45" s="118">
        <f t="shared" si="34"/>
        <v>0</v>
      </c>
      <c r="N45" s="153">
        <f t="shared" si="35"/>
        <v>0</v>
      </c>
    </row>
    <row r="46" spans="2:14" ht="15.75" thickBot="1" x14ac:dyDescent="0.3">
      <c r="B46" s="74">
        <v>0.65469999999999995</v>
      </c>
      <c r="C46" s="156">
        <v>6.5469999999999997</v>
      </c>
      <c r="D46" s="59">
        <f t="shared" si="27"/>
        <v>6.5469999999999997</v>
      </c>
      <c r="E46" s="57">
        <f t="shared" si="28"/>
        <v>0</v>
      </c>
      <c r="F46" s="57">
        <f t="shared" si="29"/>
        <v>0</v>
      </c>
      <c r="G46" s="156">
        <v>654.70000000000005</v>
      </c>
      <c r="H46" s="59">
        <f t="shared" si="30"/>
        <v>654.69999999999993</v>
      </c>
      <c r="I46" s="57">
        <f t="shared" si="31"/>
        <v>0</v>
      </c>
      <c r="J46" s="57">
        <f t="shared" si="32"/>
        <v>0</v>
      </c>
      <c r="K46" s="156">
        <v>0.65469999999999995</v>
      </c>
      <c r="L46" s="59">
        <f t="shared" si="33"/>
        <v>0.65469999999999995</v>
      </c>
      <c r="M46" s="119">
        <f t="shared" si="34"/>
        <v>0</v>
      </c>
      <c r="N46" s="163">
        <f t="shared" si="35"/>
        <v>0</v>
      </c>
    </row>
    <row r="47" spans="2:14" x14ac:dyDescent="0.25">
      <c r="E47" s="68"/>
      <c r="F47" s="68"/>
      <c r="G47" s="68"/>
    </row>
  </sheetData>
  <mergeCells count="45">
    <mergeCell ref="N37:N40"/>
    <mergeCell ref="B39:B40"/>
    <mergeCell ref="C39:C40"/>
    <mergeCell ref="G39:G40"/>
    <mergeCell ref="K39:K40"/>
    <mergeCell ref="B37:B38"/>
    <mergeCell ref="E37:E40"/>
    <mergeCell ref="F37:F40"/>
    <mergeCell ref="I37:I40"/>
    <mergeCell ref="J37:J40"/>
    <mergeCell ref="M37:M40"/>
    <mergeCell ref="M26:M29"/>
    <mergeCell ref="N26:N29"/>
    <mergeCell ref="B28:B29"/>
    <mergeCell ref="C28:C29"/>
    <mergeCell ref="G28:G29"/>
    <mergeCell ref="K28:K29"/>
    <mergeCell ref="B26:B27"/>
    <mergeCell ref="E26:E29"/>
    <mergeCell ref="F26:F29"/>
    <mergeCell ref="I26:I29"/>
    <mergeCell ref="J26:J29"/>
    <mergeCell ref="N15:N18"/>
    <mergeCell ref="B17:B18"/>
    <mergeCell ref="C17:C18"/>
    <mergeCell ref="G17:G18"/>
    <mergeCell ref="K17:K18"/>
    <mergeCell ref="B15:B16"/>
    <mergeCell ref="E15:E18"/>
    <mergeCell ref="F15:F18"/>
    <mergeCell ref="I15:I18"/>
    <mergeCell ref="J15:J18"/>
    <mergeCell ref="M15:M18"/>
    <mergeCell ref="M4:M7"/>
    <mergeCell ref="N4:N7"/>
    <mergeCell ref="B6:B7"/>
    <mergeCell ref="C6:C7"/>
    <mergeCell ref="G6:G7"/>
    <mergeCell ref="K6:K7"/>
    <mergeCell ref="B1:K1"/>
    <mergeCell ref="B4:B5"/>
    <mergeCell ref="E4:E7"/>
    <mergeCell ref="F4:F7"/>
    <mergeCell ref="I4:I7"/>
    <mergeCell ref="J4:J7"/>
  </mergeCells>
  <pageMargins left="0.7" right="0.7" top="0.78740157499999996" bottom="0.78740157499999996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9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22" sqref="B22"/>
    </sheetView>
  </sheetViews>
  <sheetFormatPr defaultRowHeight="15" x14ac:dyDescent="0.25"/>
  <cols>
    <col min="1" max="1" width="4.5703125" customWidth="1"/>
    <col min="2" max="2" width="25.5703125" bestFit="1" customWidth="1"/>
    <col min="3" max="3" width="27.140625" bestFit="1" customWidth="1"/>
    <col min="4" max="4" width="43.140625" customWidth="1"/>
    <col min="5" max="5" width="23.140625" bestFit="1" customWidth="1"/>
    <col min="6" max="6" width="23" bestFit="1" customWidth="1"/>
    <col min="7" max="8" width="25.28515625" bestFit="1" customWidth="1"/>
    <col min="9" max="9" width="23" bestFit="1" customWidth="1"/>
    <col min="10" max="10" width="20.85546875" bestFit="1" customWidth="1"/>
    <col min="11" max="12" width="25.28515625" bestFit="1" customWidth="1"/>
    <col min="13" max="13" width="23" bestFit="1" customWidth="1"/>
    <col min="14" max="14" width="20.85546875" bestFit="1" customWidth="1"/>
  </cols>
  <sheetData>
    <row r="1" spans="2:16" ht="31.5" x14ac:dyDescent="0.5">
      <c r="B1" s="340" t="s">
        <v>289</v>
      </c>
      <c r="C1" s="340"/>
      <c r="D1" s="340"/>
      <c r="E1" s="340"/>
      <c r="F1" s="340"/>
      <c r="G1" s="340"/>
      <c r="H1" s="340"/>
      <c r="I1" s="340"/>
      <c r="J1" s="340"/>
      <c r="K1" s="340"/>
    </row>
    <row r="2" spans="2:16" x14ac:dyDescent="0.25">
      <c r="B2" s="70" t="s">
        <v>340</v>
      </c>
      <c r="C2" t="s">
        <v>341</v>
      </c>
      <c r="D2" t="s">
        <v>493</v>
      </c>
    </row>
    <row r="3" spans="2:16" ht="15.75" thickBot="1" x14ac:dyDescent="0.3">
      <c r="G3" s="131"/>
      <c r="H3" s="131"/>
      <c r="I3" s="131"/>
      <c r="J3" s="131"/>
      <c r="K3" s="131"/>
      <c r="L3" s="131"/>
      <c r="M3" s="131"/>
      <c r="N3" s="68"/>
      <c r="O3" s="68"/>
      <c r="P3" s="68"/>
    </row>
    <row r="4" spans="2:16" x14ac:dyDescent="0.25">
      <c r="B4" s="341" t="s">
        <v>10</v>
      </c>
      <c r="C4" s="62" t="s">
        <v>14</v>
      </c>
      <c r="D4" s="65" t="s">
        <v>14</v>
      </c>
      <c r="E4" s="330" t="s">
        <v>354</v>
      </c>
      <c r="F4" s="321" t="s">
        <v>355</v>
      </c>
      <c r="G4" s="132"/>
      <c r="H4" s="133"/>
      <c r="I4" s="367"/>
      <c r="J4" s="367"/>
      <c r="K4" s="132"/>
      <c r="L4" s="133"/>
      <c r="M4" s="367"/>
      <c r="N4" s="367"/>
      <c r="O4" s="68"/>
      <c r="P4" s="68"/>
    </row>
    <row r="5" spans="2:16" ht="15.75" thickBot="1" x14ac:dyDescent="0.3">
      <c r="B5" s="342"/>
      <c r="C5" s="63" t="s">
        <v>290</v>
      </c>
      <c r="D5" s="27" t="s">
        <v>291</v>
      </c>
      <c r="E5" s="331"/>
      <c r="F5" s="322"/>
      <c r="G5" s="132"/>
      <c r="H5" s="133"/>
      <c r="I5" s="368"/>
      <c r="J5" s="368"/>
      <c r="K5" s="132"/>
      <c r="L5" s="133"/>
      <c r="M5" s="368"/>
      <c r="N5" s="369"/>
      <c r="O5" s="68"/>
      <c r="P5" s="68"/>
    </row>
    <row r="6" spans="2:16" ht="15.75" thickBot="1" x14ac:dyDescent="0.3">
      <c r="B6" s="346" t="s">
        <v>510</v>
      </c>
      <c r="C6" s="346" t="s">
        <v>511</v>
      </c>
      <c r="D6" s="16" t="s">
        <v>511</v>
      </c>
      <c r="E6" s="331"/>
      <c r="F6" s="322"/>
      <c r="G6" s="370"/>
      <c r="H6" s="133"/>
      <c r="I6" s="368"/>
      <c r="J6" s="368"/>
      <c r="K6" s="370"/>
      <c r="L6" s="133"/>
      <c r="M6" s="368"/>
      <c r="N6" s="369"/>
      <c r="O6" s="68"/>
      <c r="P6" s="68"/>
    </row>
    <row r="7" spans="2:16" ht="15.75" thickBot="1" x14ac:dyDescent="0.3">
      <c r="B7" s="347"/>
      <c r="C7" s="347"/>
      <c r="D7" s="121" t="s">
        <v>512</v>
      </c>
      <c r="E7" s="327"/>
      <c r="F7" s="323"/>
      <c r="G7" s="368"/>
      <c r="H7" s="134"/>
      <c r="I7" s="368"/>
      <c r="J7" s="368"/>
      <c r="K7" s="368"/>
      <c r="L7" s="135"/>
      <c r="M7" s="368"/>
      <c r="N7" s="369"/>
      <c r="O7" s="68"/>
      <c r="P7" s="68"/>
    </row>
    <row r="8" spans="2:16" x14ac:dyDescent="0.25">
      <c r="B8" s="44">
        <v>1</v>
      </c>
      <c r="C8" s="154">
        <v>1</v>
      </c>
      <c r="D8" s="123">
        <f>B8</f>
        <v>1</v>
      </c>
      <c r="E8" s="54">
        <f>C8-D8</f>
        <v>0</v>
      </c>
      <c r="F8" s="162">
        <f>(100*E8)/D8</f>
        <v>0</v>
      </c>
      <c r="G8" s="136"/>
      <c r="H8" s="126"/>
      <c r="I8" s="127"/>
      <c r="J8" s="128"/>
      <c r="K8" s="136"/>
      <c r="L8" s="126"/>
      <c r="M8" s="127"/>
      <c r="N8" s="128"/>
      <c r="O8" s="68"/>
      <c r="P8" s="68"/>
    </row>
    <row r="9" spans="2:16" x14ac:dyDescent="0.25">
      <c r="B9" s="47">
        <v>987</v>
      </c>
      <c r="C9" s="159">
        <v>987</v>
      </c>
      <c r="D9" s="123">
        <f t="shared" ref="D9:D13" si="0">B9</f>
        <v>987</v>
      </c>
      <c r="E9" s="52">
        <f t="shared" ref="E9:E13" si="1">C9-D9</f>
        <v>0</v>
      </c>
      <c r="F9" s="153">
        <f t="shared" ref="F9:F13" si="2">(100*E9)/D9</f>
        <v>0</v>
      </c>
      <c r="G9" s="136"/>
      <c r="H9" s="126"/>
      <c r="I9" s="127"/>
      <c r="J9" s="128"/>
      <c r="K9" s="136"/>
      <c r="L9" s="126"/>
      <c r="M9" s="127"/>
      <c r="N9" s="128"/>
      <c r="O9" s="68"/>
      <c r="P9" s="68"/>
    </row>
    <row r="10" spans="2:16" x14ac:dyDescent="0.25">
      <c r="B10" s="47">
        <v>5987</v>
      </c>
      <c r="C10" s="159">
        <v>5987</v>
      </c>
      <c r="D10" s="123">
        <f t="shared" si="0"/>
        <v>5987</v>
      </c>
      <c r="E10" s="52">
        <f t="shared" si="1"/>
        <v>0</v>
      </c>
      <c r="F10" s="153">
        <f t="shared" si="2"/>
        <v>0</v>
      </c>
      <c r="G10" s="136"/>
      <c r="H10" s="126"/>
      <c r="I10" s="127"/>
      <c r="J10" s="128"/>
      <c r="K10" s="136"/>
      <c r="L10" s="126"/>
      <c r="M10" s="127"/>
      <c r="N10" s="128"/>
      <c r="O10" s="68"/>
      <c r="P10" s="68"/>
    </row>
    <row r="11" spans="2:16" x14ac:dyDescent="0.25">
      <c r="B11" s="47">
        <v>4455667788</v>
      </c>
      <c r="C11" s="159">
        <v>4455667788</v>
      </c>
      <c r="D11" s="123">
        <f t="shared" si="0"/>
        <v>4455667788</v>
      </c>
      <c r="E11" s="52">
        <f t="shared" si="1"/>
        <v>0</v>
      </c>
      <c r="F11" s="153">
        <f t="shared" si="2"/>
        <v>0</v>
      </c>
      <c r="G11" s="136"/>
      <c r="H11" s="126"/>
      <c r="I11" s="127"/>
      <c r="J11" s="128"/>
      <c r="K11" s="136"/>
      <c r="L11" s="126"/>
      <c r="M11" s="127"/>
      <c r="N11" s="128"/>
      <c r="O11" s="68"/>
      <c r="P11" s="68"/>
    </row>
    <row r="12" spans="2:16" x14ac:dyDescent="0.25">
      <c r="B12" s="47">
        <v>-654</v>
      </c>
      <c r="C12" s="159">
        <v>-654</v>
      </c>
      <c r="D12" s="123">
        <f t="shared" si="0"/>
        <v>-654</v>
      </c>
      <c r="E12" s="52">
        <f t="shared" si="1"/>
        <v>0</v>
      </c>
      <c r="F12" s="153">
        <f t="shared" si="2"/>
        <v>0</v>
      </c>
      <c r="G12" s="136"/>
      <c r="H12" s="126"/>
      <c r="I12" s="127"/>
      <c r="J12" s="128"/>
      <c r="K12" s="136"/>
      <c r="L12" s="126"/>
      <c r="M12" s="127"/>
      <c r="N12" s="128"/>
      <c r="O12" s="68"/>
      <c r="P12" s="68"/>
    </row>
    <row r="13" spans="2:16" ht="15.75" thickBot="1" x14ac:dyDescent="0.3">
      <c r="B13" s="74">
        <v>0.65469999999999995</v>
      </c>
      <c r="C13" s="156">
        <v>0.65469999999999995</v>
      </c>
      <c r="D13" s="59">
        <f t="shared" si="0"/>
        <v>0.65469999999999995</v>
      </c>
      <c r="E13" s="57">
        <f t="shared" si="1"/>
        <v>0</v>
      </c>
      <c r="F13" s="163">
        <f t="shared" si="2"/>
        <v>0</v>
      </c>
      <c r="G13" s="136"/>
      <c r="H13" s="126"/>
      <c r="I13" s="127"/>
      <c r="J13" s="128"/>
      <c r="K13" s="136"/>
      <c r="L13" s="126"/>
      <c r="M13" s="127"/>
      <c r="N13" s="128"/>
      <c r="O13" s="68"/>
      <c r="P13" s="68"/>
    </row>
    <row r="14" spans="2:16" ht="15.75" thickBot="1" x14ac:dyDescent="0.3">
      <c r="C14" s="165"/>
      <c r="D14" s="165"/>
      <c r="E14" s="164"/>
      <c r="F14" s="164"/>
      <c r="G14" s="131"/>
      <c r="H14" s="131"/>
      <c r="I14" s="131"/>
      <c r="J14" s="131"/>
      <c r="K14" s="131"/>
      <c r="L14" s="131"/>
      <c r="M14" s="131"/>
      <c r="N14" s="68"/>
      <c r="O14" s="68"/>
      <c r="P14" s="68"/>
    </row>
    <row r="15" spans="2:16" x14ac:dyDescent="0.25">
      <c r="B15" s="341" t="s">
        <v>10</v>
      </c>
      <c r="C15" s="166" t="s">
        <v>14</v>
      </c>
      <c r="D15" s="168" t="s">
        <v>14</v>
      </c>
      <c r="E15" s="343" t="s">
        <v>354</v>
      </c>
      <c r="F15" s="357" t="s">
        <v>355</v>
      </c>
      <c r="G15" s="132"/>
      <c r="H15" s="133"/>
      <c r="I15" s="367"/>
      <c r="J15" s="367"/>
      <c r="K15" s="132"/>
      <c r="L15" s="133"/>
      <c r="M15" s="367"/>
      <c r="N15" s="367"/>
      <c r="O15" s="68"/>
      <c r="P15" s="68"/>
    </row>
    <row r="16" spans="2:16" ht="15.75" thickBot="1" x14ac:dyDescent="0.3">
      <c r="B16" s="342"/>
      <c r="C16" s="167" t="s">
        <v>290</v>
      </c>
      <c r="D16" s="169" t="s">
        <v>291</v>
      </c>
      <c r="E16" s="344"/>
      <c r="F16" s="358"/>
      <c r="G16" s="132"/>
      <c r="H16" s="133"/>
      <c r="I16" s="368"/>
      <c r="J16" s="368"/>
      <c r="K16" s="132"/>
      <c r="L16" s="133"/>
      <c r="M16" s="368"/>
      <c r="N16" s="369"/>
      <c r="O16" s="68"/>
      <c r="P16" s="68"/>
    </row>
    <row r="17" spans="1:16" ht="15.75" thickBot="1" x14ac:dyDescent="0.3">
      <c r="B17" s="346" t="s">
        <v>511</v>
      </c>
      <c r="C17" s="363" t="s">
        <v>510</v>
      </c>
      <c r="D17" s="177" t="s">
        <v>510</v>
      </c>
      <c r="E17" s="344"/>
      <c r="F17" s="358"/>
      <c r="G17" s="370"/>
      <c r="H17" s="133"/>
      <c r="I17" s="368"/>
      <c r="J17" s="368"/>
      <c r="K17" s="370"/>
      <c r="L17" s="133"/>
      <c r="M17" s="368"/>
      <c r="N17" s="369"/>
      <c r="O17" s="68"/>
      <c r="P17" s="68"/>
    </row>
    <row r="18" spans="1:16" ht="15.75" thickBot="1" x14ac:dyDescent="0.3">
      <c r="B18" s="362"/>
      <c r="C18" s="364"/>
      <c r="D18" s="179" t="s">
        <v>513</v>
      </c>
      <c r="E18" s="345"/>
      <c r="F18" s="359"/>
      <c r="G18" s="368"/>
      <c r="H18" s="134"/>
      <c r="I18" s="368"/>
      <c r="J18" s="368"/>
      <c r="K18" s="368"/>
      <c r="L18" s="134"/>
      <c r="M18" s="368"/>
      <c r="N18" s="369"/>
      <c r="O18" s="68"/>
      <c r="P18" s="68"/>
    </row>
    <row r="19" spans="1:16" x14ac:dyDescent="0.25">
      <c r="B19" s="44">
        <v>1</v>
      </c>
      <c r="C19" s="154">
        <v>1</v>
      </c>
      <c r="D19" s="123">
        <f>B19</f>
        <v>1</v>
      </c>
      <c r="E19" s="54">
        <f>C19-D19</f>
        <v>0</v>
      </c>
      <c r="F19" s="162">
        <f>(100*E19)/D19</f>
        <v>0</v>
      </c>
      <c r="G19" s="136"/>
      <c r="H19" s="126"/>
      <c r="I19" s="127"/>
      <c r="J19" s="128"/>
      <c r="K19" s="136"/>
      <c r="L19" s="126"/>
      <c r="M19" s="127"/>
      <c r="N19" s="128"/>
      <c r="O19" s="68"/>
      <c r="P19" s="68"/>
    </row>
    <row r="20" spans="1:16" x14ac:dyDescent="0.25">
      <c r="B20" s="47">
        <v>987</v>
      </c>
      <c r="C20" s="159">
        <v>987</v>
      </c>
      <c r="D20" s="123">
        <f t="shared" ref="D20:D24" si="3">B20</f>
        <v>987</v>
      </c>
      <c r="E20" s="52">
        <f t="shared" ref="E20:E24" si="4">C20-D20</f>
        <v>0</v>
      </c>
      <c r="F20" s="153">
        <f t="shared" ref="F20:F24" si="5">(100*E20)/D20</f>
        <v>0</v>
      </c>
      <c r="G20" s="136"/>
      <c r="H20" s="126"/>
      <c r="I20" s="127"/>
      <c r="J20" s="128"/>
      <c r="K20" s="136"/>
      <c r="L20" s="126"/>
      <c r="M20" s="127"/>
      <c r="N20" s="128"/>
      <c r="O20" s="68"/>
      <c r="P20" s="68"/>
    </row>
    <row r="21" spans="1:16" x14ac:dyDescent="0.25">
      <c r="B21" s="47">
        <v>5987</v>
      </c>
      <c r="C21" s="159">
        <v>5987</v>
      </c>
      <c r="D21" s="123">
        <f t="shared" si="3"/>
        <v>5987</v>
      </c>
      <c r="E21" s="52">
        <f t="shared" si="4"/>
        <v>0</v>
      </c>
      <c r="F21" s="153">
        <f t="shared" si="5"/>
        <v>0</v>
      </c>
      <c r="G21" s="136"/>
      <c r="H21" s="126"/>
      <c r="I21" s="127"/>
      <c r="J21" s="128"/>
      <c r="K21" s="137"/>
      <c r="L21" s="126"/>
      <c r="M21" s="127"/>
      <c r="N21" s="128"/>
      <c r="O21" s="68"/>
      <c r="P21" s="68"/>
    </row>
    <row r="22" spans="1:16" x14ac:dyDescent="0.25">
      <c r="B22" s="47">
        <v>4455667788</v>
      </c>
      <c r="C22" s="159">
        <v>4455667788</v>
      </c>
      <c r="D22" s="123">
        <f t="shared" si="3"/>
        <v>4455667788</v>
      </c>
      <c r="E22" s="52">
        <f t="shared" si="4"/>
        <v>0</v>
      </c>
      <c r="F22" s="153">
        <f t="shared" si="5"/>
        <v>0</v>
      </c>
      <c r="G22" s="136"/>
      <c r="H22" s="126"/>
      <c r="I22" s="127"/>
      <c r="J22" s="128"/>
      <c r="K22" s="136"/>
      <c r="L22" s="126"/>
      <c r="M22" s="127"/>
      <c r="N22" s="128"/>
      <c r="O22" s="68"/>
      <c r="P22" s="68"/>
    </row>
    <row r="23" spans="1:16" x14ac:dyDescent="0.25">
      <c r="B23" s="47">
        <v>-654</v>
      </c>
      <c r="C23" s="159">
        <v>-654</v>
      </c>
      <c r="D23" s="123">
        <f t="shared" si="3"/>
        <v>-654</v>
      </c>
      <c r="E23" s="52">
        <f t="shared" si="4"/>
        <v>0</v>
      </c>
      <c r="F23" s="153">
        <f t="shared" si="5"/>
        <v>0</v>
      </c>
      <c r="G23" s="136"/>
      <c r="H23" s="126"/>
      <c r="I23" s="127"/>
      <c r="J23" s="128"/>
      <c r="K23" s="136"/>
      <c r="L23" s="126"/>
      <c r="M23" s="127"/>
      <c r="N23" s="128"/>
      <c r="O23" s="68"/>
      <c r="P23" s="68"/>
    </row>
    <row r="24" spans="1:16" ht="15.75" thickBot="1" x14ac:dyDescent="0.3">
      <c r="B24" s="74">
        <v>0.65469999999999995</v>
      </c>
      <c r="C24" s="156">
        <v>0.65469999999999995</v>
      </c>
      <c r="D24" s="59">
        <f t="shared" si="3"/>
        <v>0.65469999999999995</v>
      </c>
      <c r="E24" s="57">
        <f t="shared" si="4"/>
        <v>0</v>
      </c>
      <c r="F24" s="163">
        <f t="shared" si="5"/>
        <v>0</v>
      </c>
      <c r="G24" s="136"/>
      <c r="H24" s="126"/>
      <c r="I24" s="127"/>
      <c r="J24" s="128"/>
      <c r="K24" s="136"/>
      <c r="L24" s="126"/>
      <c r="M24" s="127"/>
      <c r="N24" s="128"/>
      <c r="O24" s="68"/>
      <c r="P24" s="68"/>
    </row>
    <row r="25" spans="1:16" x14ac:dyDescent="0.25">
      <c r="A25" s="131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68"/>
      <c r="O25" s="68"/>
      <c r="P25" s="68"/>
    </row>
    <row r="26" spans="1:16" x14ac:dyDescent="0.25">
      <c r="A26" s="131"/>
      <c r="B26" s="370"/>
      <c r="C26" s="132"/>
      <c r="D26" s="133"/>
      <c r="E26" s="367"/>
      <c r="F26" s="367"/>
      <c r="G26" s="132"/>
      <c r="H26" s="133"/>
      <c r="I26" s="367"/>
      <c r="J26" s="367"/>
      <c r="K26" s="132"/>
      <c r="L26" s="133"/>
      <c r="M26" s="367"/>
      <c r="N26" s="367"/>
      <c r="O26" s="68"/>
      <c r="P26" s="68"/>
    </row>
    <row r="27" spans="1:16" x14ac:dyDescent="0.25">
      <c r="A27" s="131"/>
      <c r="B27" s="368"/>
      <c r="C27" s="132"/>
      <c r="D27" s="133"/>
      <c r="E27" s="368"/>
      <c r="F27" s="368"/>
      <c r="G27" s="132"/>
      <c r="H27" s="133"/>
      <c r="I27" s="368"/>
      <c r="J27" s="368"/>
      <c r="K27" s="132"/>
      <c r="L27" s="133"/>
      <c r="M27" s="368"/>
      <c r="N27" s="369"/>
      <c r="O27" s="68"/>
      <c r="P27" s="68"/>
    </row>
    <row r="28" spans="1:16" x14ac:dyDescent="0.25">
      <c r="A28" s="131"/>
      <c r="B28" s="370"/>
      <c r="C28" s="370"/>
      <c r="D28" s="133"/>
      <c r="E28" s="368"/>
      <c r="F28" s="368"/>
      <c r="G28" s="370"/>
      <c r="H28" s="133"/>
      <c r="I28" s="368"/>
      <c r="J28" s="368"/>
      <c r="K28" s="370"/>
      <c r="L28" s="133"/>
      <c r="M28" s="368"/>
      <c r="N28" s="369"/>
      <c r="O28" s="68"/>
      <c r="P28" s="68"/>
    </row>
    <row r="29" spans="1:16" x14ac:dyDescent="0.25">
      <c r="A29" s="131"/>
      <c r="B29" s="368"/>
      <c r="C29" s="368"/>
      <c r="D29" s="134"/>
      <c r="E29" s="368"/>
      <c r="F29" s="368"/>
      <c r="G29" s="368"/>
      <c r="H29" s="134"/>
      <c r="I29" s="368"/>
      <c r="J29" s="368"/>
      <c r="K29" s="368"/>
      <c r="L29" s="135"/>
      <c r="M29" s="368"/>
      <c r="N29" s="369"/>
      <c r="O29" s="68"/>
      <c r="P29" s="68"/>
    </row>
    <row r="30" spans="1:16" x14ac:dyDescent="0.25">
      <c r="A30" s="131"/>
      <c r="B30" s="139"/>
      <c r="C30" s="136"/>
      <c r="D30" s="126"/>
      <c r="E30" s="127"/>
      <c r="F30" s="128"/>
      <c r="G30" s="136"/>
      <c r="H30" s="129"/>
      <c r="I30" s="127"/>
      <c r="J30" s="128"/>
      <c r="K30" s="136"/>
      <c r="L30" s="126"/>
      <c r="M30" s="127"/>
      <c r="N30" s="128"/>
      <c r="O30" s="68"/>
      <c r="P30" s="68"/>
    </row>
    <row r="31" spans="1:16" x14ac:dyDescent="0.25">
      <c r="A31" s="131"/>
      <c r="B31" s="139"/>
      <c r="C31" s="136"/>
      <c r="D31" s="126"/>
      <c r="E31" s="127"/>
      <c r="F31" s="128"/>
      <c r="G31" s="136"/>
      <c r="H31" s="129"/>
      <c r="I31" s="127"/>
      <c r="J31" s="128"/>
      <c r="K31" s="136"/>
      <c r="L31" s="126"/>
      <c r="M31" s="127"/>
      <c r="N31" s="128"/>
      <c r="O31" s="68"/>
      <c r="P31" s="68"/>
    </row>
    <row r="32" spans="1:16" x14ac:dyDescent="0.25">
      <c r="A32" s="131"/>
      <c r="B32" s="139"/>
      <c r="C32" s="136"/>
      <c r="D32" s="126"/>
      <c r="E32" s="127"/>
      <c r="F32" s="128"/>
      <c r="G32" s="136"/>
      <c r="H32" s="129"/>
      <c r="I32" s="127"/>
      <c r="J32" s="128"/>
      <c r="K32" s="138"/>
      <c r="L32" s="126"/>
      <c r="M32" s="127"/>
      <c r="N32" s="128"/>
      <c r="O32" s="68"/>
      <c r="P32" s="68"/>
    </row>
    <row r="33" spans="1:16" x14ac:dyDescent="0.25">
      <c r="A33" s="131"/>
      <c r="B33" s="139"/>
      <c r="C33" s="136"/>
      <c r="D33" s="126"/>
      <c r="E33" s="127"/>
      <c r="F33" s="128"/>
      <c r="G33" s="136"/>
      <c r="H33" s="129"/>
      <c r="I33" s="127"/>
      <c r="J33" s="128"/>
      <c r="K33" s="136"/>
      <c r="L33" s="126"/>
      <c r="M33" s="127"/>
      <c r="N33" s="128"/>
      <c r="O33" s="68"/>
      <c r="P33" s="68"/>
    </row>
    <row r="34" spans="1:16" x14ac:dyDescent="0.25">
      <c r="A34" s="131"/>
      <c r="B34" s="139"/>
      <c r="C34" s="136"/>
      <c r="D34" s="126"/>
      <c r="E34" s="127"/>
      <c r="F34" s="128"/>
      <c r="G34" s="136"/>
      <c r="H34" s="129"/>
      <c r="I34" s="127"/>
      <c r="J34" s="128"/>
      <c r="K34" s="136"/>
      <c r="L34" s="126"/>
      <c r="M34" s="127"/>
      <c r="N34" s="128"/>
      <c r="O34" s="68"/>
      <c r="P34" s="68"/>
    </row>
    <row r="35" spans="1:16" x14ac:dyDescent="0.25">
      <c r="A35" s="131"/>
      <c r="B35" s="140"/>
      <c r="C35" s="136"/>
      <c r="D35" s="126"/>
      <c r="E35" s="127"/>
      <c r="F35" s="128"/>
      <c r="G35" s="136"/>
      <c r="H35" s="130"/>
      <c r="I35" s="127"/>
      <c r="J35" s="128"/>
      <c r="K35" s="136"/>
      <c r="L35" s="126"/>
      <c r="M35" s="127"/>
      <c r="N35" s="128"/>
      <c r="O35" s="68"/>
      <c r="P35" s="68"/>
    </row>
    <row r="36" spans="1:16" x14ac:dyDescent="0.25">
      <c r="A36" s="131"/>
      <c r="B36" s="131"/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68"/>
      <c r="O36" s="68"/>
      <c r="P36" s="68"/>
    </row>
    <row r="37" spans="1:16" x14ac:dyDescent="0.25">
      <c r="A37" s="131"/>
      <c r="B37" s="370"/>
      <c r="C37" s="132"/>
      <c r="D37" s="133"/>
      <c r="E37" s="367"/>
      <c r="F37" s="367"/>
      <c r="G37" s="132"/>
      <c r="H37" s="133"/>
      <c r="I37" s="367"/>
      <c r="J37" s="367"/>
      <c r="K37" s="132"/>
      <c r="L37" s="133"/>
      <c r="M37" s="367"/>
      <c r="N37" s="367"/>
      <c r="O37" s="68"/>
      <c r="P37" s="68"/>
    </row>
    <row r="38" spans="1:16" x14ac:dyDescent="0.25">
      <c r="A38" s="131"/>
      <c r="B38" s="368"/>
      <c r="C38" s="132"/>
      <c r="D38" s="133"/>
      <c r="E38" s="368"/>
      <c r="F38" s="368"/>
      <c r="G38" s="132"/>
      <c r="H38" s="133"/>
      <c r="I38" s="368"/>
      <c r="J38" s="368"/>
      <c r="K38" s="132"/>
      <c r="L38" s="133"/>
      <c r="M38" s="368"/>
      <c r="N38" s="369"/>
      <c r="O38" s="68"/>
      <c r="P38" s="68"/>
    </row>
    <row r="39" spans="1:16" x14ac:dyDescent="0.25">
      <c r="A39" s="131"/>
      <c r="B39" s="370"/>
      <c r="C39" s="370"/>
      <c r="D39" s="133"/>
      <c r="E39" s="368"/>
      <c r="F39" s="368"/>
      <c r="G39" s="370"/>
      <c r="H39" s="133"/>
      <c r="I39" s="368"/>
      <c r="J39" s="368"/>
      <c r="K39" s="370"/>
      <c r="L39" s="133"/>
      <c r="M39" s="368"/>
      <c r="N39" s="369"/>
      <c r="O39" s="68"/>
      <c r="P39" s="68"/>
    </row>
    <row r="40" spans="1:16" x14ac:dyDescent="0.25">
      <c r="A40" s="131"/>
      <c r="B40" s="368"/>
      <c r="C40" s="368"/>
      <c r="D40" s="134"/>
      <c r="E40" s="368"/>
      <c r="F40" s="368"/>
      <c r="G40" s="368"/>
      <c r="H40" s="134"/>
      <c r="I40" s="368"/>
      <c r="J40" s="368"/>
      <c r="K40" s="368"/>
      <c r="L40" s="134"/>
      <c r="M40" s="368"/>
      <c r="N40" s="369"/>
      <c r="O40" s="68"/>
      <c r="P40" s="68"/>
    </row>
    <row r="41" spans="1:16" x14ac:dyDescent="0.25">
      <c r="A41" s="131"/>
      <c r="B41" s="139"/>
      <c r="C41" s="136"/>
      <c r="D41" s="126"/>
      <c r="E41" s="127"/>
      <c r="F41" s="128"/>
      <c r="G41" s="136"/>
      <c r="H41" s="129"/>
      <c r="I41" s="127"/>
      <c r="J41" s="128"/>
      <c r="K41" s="136"/>
      <c r="L41" s="126"/>
      <c r="M41" s="127"/>
      <c r="N41" s="128"/>
      <c r="O41" s="68"/>
      <c r="P41" s="68"/>
    </row>
    <row r="42" spans="1:16" x14ac:dyDescent="0.25">
      <c r="A42" s="131"/>
      <c r="B42" s="139"/>
      <c r="C42" s="136"/>
      <c r="D42" s="126"/>
      <c r="E42" s="127"/>
      <c r="F42" s="128"/>
      <c r="G42" s="136"/>
      <c r="H42" s="129"/>
      <c r="I42" s="127"/>
      <c r="J42" s="128"/>
      <c r="K42" s="136"/>
      <c r="L42" s="126"/>
      <c r="M42" s="127"/>
      <c r="N42" s="128"/>
      <c r="O42" s="68"/>
      <c r="P42" s="68"/>
    </row>
    <row r="43" spans="1:16" x14ac:dyDescent="0.25">
      <c r="A43" s="131"/>
      <c r="B43" s="139"/>
      <c r="C43" s="136"/>
      <c r="D43" s="126"/>
      <c r="E43" s="127"/>
      <c r="F43" s="128"/>
      <c r="G43" s="136"/>
      <c r="H43" s="129"/>
      <c r="I43" s="127"/>
      <c r="J43" s="128"/>
      <c r="K43" s="138"/>
      <c r="L43" s="126"/>
      <c r="M43" s="127"/>
      <c r="N43" s="128"/>
      <c r="O43" s="68"/>
      <c r="P43" s="68"/>
    </row>
    <row r="44" spans="1:16" x14ac:dyDescent="0.25">
      <c r="A44" s="131"/>
      <c r="B44" s="139"/>
      <c r="C44" s="136"/>
      <c r="D44" s="126"/>
      <c r="E44" s="127"/>
      <c r="F44" s="128"/>
      <c r="G44" s="136"/>
      <c r="H44" s="129"/>
      <c r="I44" s="127"/>
      <c r="J44" s="128"/>
      <c r="K44" s="125"/>
      <c r="L44" s="126"/>
      <c r="M44" s="127"/>
      <c r="N44" s="128"/>
      <c r="O44" s="68"/>
      <c r="P44" s="68"/>
    </row>
    <row r="45" spans="1:16" x14ac:dyDescent="0.25">
      <c r="A45" s="131"/>
      <c r="B45" s="139"/>
      <c r="C45" s="136"/>
      <c r="D45" s="126"/>
      <c r="E45" s="127"/>
      <c r="F45" s="128"/>
      <c r="G45" s="136"/>
      <c r="H45" s="129"/>
      <c r="I45" s="127"/>
      <c r="J45" s="128"/>
      <c r="K45" s="125"/>
      <c r="L45" s="126"/>
      <c r="M45" s="127"/>
      <c r="N45" s="128"/>
      <c r="O45" s="68"/>
      <c r="P45" s="68"/>
    </row>
    <row r="46" spans="1:16" x14ac:dyDescent="0.25">
      <c r="A46" s="131"/>
      <c r="B46" s="140"/>
      <c r="C46" s="136"/>
      <c r="D46" s="126"/>
      <c r="E46" s="127"/>
      <c r="F46" s="128"/>
      <c r="G46" s="136"/>
      <c r="H46" s="130"/>
      <c r="I46" s="127"/>
      <c r="J46" s="128"/>
      <c r="K46" s="125"/>
      <c r="L46" s="126"/>
      <c r="M46" s="127"/>
      <c r="N46" s="128"/>
      <c r="O46" s="68"/>
      <c r="P46" s="68"/>
    </row>
    <row r="47" spans="1:16" x14ac:dyDescent="0.25">
      <c r="A47" s="131"/>
      <c r="B47" s="131"/>
      <c r="C47" s="131"/>
      <c r="D47" s="131"/>
      <c r="E47" s="131"/>
      <c r="F47" s="131"/>
      <c r="G47" s="131"/>
      <c r="H47" s="68"/>
      <c r="I47" s="68"/>
      <c r="J47" s="68"/>
      <c r="K47" s="68"/>
      <c r="L47" s="68"/>
      <c r="M47" s="68"/>
      <c r="N47" s="68"/>
      <c r="O47" s="68"/>
      <c r="P47" s="68"/>
    </row>
    <row r="48" spans="1:16" x14ac:dyDescent="0.25">
      <c r="A48" s="131"/>
      <c r="B48" s="131"/>
      <c r="C48" s="131"/>
      <c r="D48" s="131"/>
      <c r="E48" s="131"/>
      <c r="F48" s="131"/>
      <c r="G48" s="131"/>
      <c r="H48" s="68"/>
      <c r="I48" s="68"/>
      <c r="J48" s="68"/>
      <c r="K48" s="68"/>
      <c r="L48" s="68"/>
      <c r="M48" s="68"/>
      <c r="N48" s="68"/>
      <c r="O48" s="68"/>
      <c r="P48" s="68"/>
    </row>
    <row r="49" spans="1:7" x14ac:dyDescent="0.25">
      <c r="A49" s="131"/>
      <c r="B49" s="131"/>
      <c r="C49" s="131"/>
      <c r="D49" s="131"/>
      <c r="E49" s="131"/>
      <c r="F49" s="131"/>
      <c r="G49" s="131"/>
    </row>
  </sheetData>
  <mergeCells count="45">
    <mergeCell ref="N37:N40"/>
    <mergeCell ref="B39:B40"/>
    <mergeCell ref="C39:C40"/>
    <mergeCell ref="G39:G40"/>
    <mergeCell ref="K39:K40"/>
    <mergeCell ref="B37:B38"/>
    <mergeCell ref="E37:E40"/>
    <mergeCell ref="F37:F40"/>
    <mergeCell ref="I37:I40"/>
    <mergeCell ref="J37:J40"/>
    <mergeCell ref="M37:M40"/>
    <mergeCell ref="M26:M29"/>
    <mergeCell ref="N26:N29"/>
    <mergeCell ref="B28:B29"/>
    <mergeCell ref="C28:C29"/>
    <mergeCell ref="G28:G29"/>
    <mergeCell ref="K28:K29"/>
    <mergeCell ref="B26:B27"/>
    <mergeCell ref="E26:E29"/>
    <mergeCell ref="F26:F29"/>
    <mergeCell ref="I26:I29"/>
    <mergeCell ref="J26:J29"/>
    <mergeCell ref="N15:N18"/>
    <mergeCell ref="B17:B18"/>
    <mergeCell ref="C17:C18"/>
    <mergeCell ref="G17:G18"/>
    <mergeCell ref="K17:K18"/>
    <mergeCell ref="B15:B16"/>
    <mergeCell ref="E15:E18"/>
    <mergeCell ref="F15:F18"/>
    <mergeCell ref="I15:I18"/>
    <mergeCell ref="J15:J18"/>
    <mergeCell ref="M15:M18"/>
    <mergeCell ref="M4:M7"/>
    <mergeCell ref="N4:N7"/>
    <mergeCell ref="B6:B7"/>
    <mergeCell ref="C6:C7"/>
    <mergeCell ref="G6:G7"/>
    <mergeCell ref="K6:K7"/>
    <mergeCell ref="B1:K1"/>
    <mergeCell ref="B4:B5"/>
    <mergeCell ref="E4:E7"/>
    <mergeCell ref="F4:F7"/>
    <mergeCell ref="I4:I7"/>
    <mergeCell ref="J4:J7"/>
  </mergeCells>
  <pageMargins left="0.7" right="0.7" top="0.78740157499999996" bottom="0.78740157499999996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5"/>
  <sheetViews>
    <sheetView workbookViewId="0">
      <pane xSplit="2" ySplit="1" topLeftCell="C17" activePane="bottomRight" state="frozen"/>
      <selection pane="topRight" activeCell="C1" sqref="C1"/>
      <selection pane="bottomLeft" activeCell="A2" sqref="A2"/>
      <selection pane="bottomRight" activeCell="B1" sqref="B1:K1"/>
    </sheetView>
  </sheetViews>
  <sheetFormatPr defaultRowHeight="15" x14ac:dyDescent="0.25"/>
  <cols>
    <col min="1" max="1" width="4.7109375" customWidth="1"/>
    <col min="2" max="2" width="21.85546875" customWidth="1"/>
    <col min="3" max="3" width="30.28515625" bestFit="1" customWidth="1"/>
    <col min="4" max="4" width="35.28515625" customWidth="1"/>
    <col min="5" max="5" width="23" bestFit="1" customWidth="1"/>
    <col min="6" max="6" width="22.42578125" customWidth="1"/>
    <col min="7" max="7" width="33.28515625" bestFit="1" customWidth="1"/>
    <col min="8" max="8" width="36.7109375" customWidth="1"/>
    <col min="9" max="9" width="23.85546875" customWidth="1"/>
    <col min="10" max="10" width="23.7109375" customWidth="1"/>
  </cols>
  <sheetData>
    <row r="1" spans="2:11" ht="31.5" x14ac:dyDescent="0.5">
      <c r="B1" s="340" t="s">
        <v>289</v>
      </c>
      <c r="C1" s="340"/>
      <c r="D1" s="340"/>
      <c r="E1" s="340"/>
      <c r="F1" s="340"/>
      <c r="G1" s="340"/>
      <c r="H1" s="340"/>
      <c r="I1" s="340"/>
      <c r="J1" s="340"/>
      <c r="K1" s="340"/>
    </row>
    <row r="2" spans="2:11" x14ac:dyDescent="0.25">
      <c r="B2" s="70" t="s">
        <v>340</v>
      </c>
      <c r="C2" t="s">
        <v>341</v>
      </c>
      <c r="D2" t="s">
        <v>523</v>
      </c>
    </row>
    <row r="3" spans="2:11" ht="15.75" thickBot="1" x14ac:dyDescent="0.3">
      <c r="G3" s="131"/>
    </row>
    <row r="4" spans="2:11" x14ac:dyDescent="0.25">
      <c r="B4" s="341" t="s">
        <v>10</v>
      </c>
      <c r="C4" s="62" t="s">
        <v>14</v>
      </c>
      <c r="D4" s="65" t="s">
        <v>14</v>
      </c>
      <c r="E4" s="330" t="s">
        <v>354</v>
      </c>
      <c r="F4" s="321" t="s">
        <v>355</v>
      </c>
      <c r="G4" s="62" t="s">
        <v>14</v>
      </c>
      <c r="H4" s="65" t="s">
        <v>14</v>
      </c>
      <c r="I4" s="330" t="s">
        <v>354</v>
      </c>
      <c r="J4" s="321" t="s">
        <v>355</v>
      </c>
    </row>
    <row r="5" spans="2:11" ht="15.75" thickBot="1" x14ac:dyDescent="0.3">
      <c r="B5" s="342"/>
      <c r="C5" s="63" t="s">
        <v>290</v>
      </c>
      <c r="D5" s="27" t="s">
        <v>291</v>
      </c>
      <c r="E5" s="331"/>
      <c r="F5" s="322"/>
      <c r="G5" s="63" t="s">
        <v>290</v>
      </c>
      <c r="H5" s="27" t="s">
        <v>291</v>
      </c>
      <c r="I5" s="331"/>
      <c r="J5" s="322"/>
    </row>
    <row r="6" spans="2:11" ht="15.75" thickBot="1" x14ac:dyDescent="0.3">
      <c r="B6" s="346" t="s">
        <v>514</v>
      </c>
      <c r="C6" s="346" t="s">
        <v>515</v>
      </c>
      <c r="D6" s="16" t="s">
        <v>515</v>
      </c>
      <c r="E6" s="331"/>
      <c r="F6" s="322"/>
      <c r="G6" s="346" t="s">
        <v>516</v>
      </c>
      <c r="H6" s="16" t="s">
        <v>516</v>
      </c>
      <c r="I6" s="331"/>
      <c r="J6" s="322"/>
    </row>
    <row r="7" spans="2:11" ht="30.75" thickBot="1" x14ac:dyDescent="0.3">
      <c r="B7" s="347"/>
      <c r="C7" s="347"/>
      <c r="D7" s="121" t="s">
        <v>518</v>
      </c>
      <c r="E7" s="327"/>
      <c r="F7" s="323"/>
      <c r="G7" s="347"/>
      <c r="H7" s="121" t="s">
        <v>519</v>
      </c>
      <c r="I7" s="327"/>
      <c r="J7" s="323"/>
    </row>
    <row r="8" spans="2:11" x14ac:dyDescent="0.25">
      <c r="B8" s="44">
        <v>1</v>
      </c>
      <c r="C8" s="154">
        <v>1E-3</v>
      </c>
      <c r="D8" s="123">
        <f>B8/1000</f>
        <v>1E-3</v>
      </c>
      <c r="E8" s="54">
        <f>C8-D8</f>
        <v>0</v>
      </c>
      <c r="F8" s="162">
        <f>(100*E8)/D8</f>
        <v>0</v>
      </c>
      <c r="G8" s="154">
        <v>1000</v>
      </c>
      <c r="H8" s="123">
        <f>D8*1000000</f>
        <v>1000</v>
      </c>
      <c r="I8" s="54">
        <f>G8-H8</f>
        <v>0</v>
      </c>
      <c r="J8" s="162">
        <f>(100*I8)/H8</f>
        <v>0</v>
      </c>
    </row>
    <row r="9" spans="2:11" x14ac:dyDescent="0.25">
      <c r="B9" s="47">
        <v>987</v>
      </c>
      <c r="C9" s="159">
        <v>0.98699999999999999</v>
      </c>
      <c r="D9" s="123">
        <f t="shared" ref="D9:D13" si="0">B9/1000</f>
        <v>0.98699999999999999</v>
      </c>
      <c r="E9" s="52">
        <f t="shared" ref="E9:E13" si="1">C9-D9</f>
        <v>0</v>
      </c>
      <c r="F9" s="153">
        <f t="shared" ref="F9:F13" si="2">(100*E9)/D9</f>
        <v>0</v>
      </c>
      <c r="G9" s="159">
        <v>987000</v>
      </c>
      <c r="H9" s="123">
        <f t="shared" ref="H9:H13" si="3">D9*1000000</f>
        <v>987000</v>
      </c>
      <c r="I9" s="52">
        <f t="shared" ref="I9:I13" si="4">G9-H9</f>
        <v>0</v>
      </c>
      <c r="J9" s="153">
        <f t="shared" ref="J9:J13" si="5">(100*I9)/H9</f>
        <v>0</v>
      </c>
    </row>
    <row r="10" spans="2:11" x14ac:dyDescent="0.25">
      <c r="B10" s="47">
        <v>5987</v>
      </c>
      <c r="C10" s="159">
        <v>5.9870000000000001</v>
      </c>
      <c r="D10" s="123">
        <f t="shared" si="0"/>
        <v>5.9870000000000001</v>
      </c>
      <c r="E10" s="52">
        <f t="shared" si="1"/>
        <v>0</v>
      </c>
      <c r="F10" s="153">
        <f t="shared" si="2"/>
        <v>0</v>
      </c>
      <c r="G10" s="159">
        <v>5987000</v>
      </c>
      <c r="H10" s="123">
        <f t="shared" si="3"/>
        <v>5987000</v>
      </c>
      <c r="I10" s="52">
        <f t="shared" si="4"/>
        <v>0</v>
      </c>
      <c r="J10" s="153">
        <f t="shared" si="5"/>
        <v>0</v>
      </c>
    </row>
    <row r="11" spans="2:11" x14ac:dyDescent="0.25">
      <c r="B11" s="47">
        <v>4455667788</v>
      </c>
      <c r="C11" s="159">
        <v>4455668</v>
      </c>
      <c r="D11" s="123">
        <f t="shared" si="0"/>
        <v>4455667.7879999997</v>
      </c>
      <c r="E11" s="52">
        <f t="shared" si="1"/>
        <v>0.21200000029057264</v>
      </c>
      <c r="F11" s="153">
        <f t="shared" si="2"/>
        <v>4.7579848942403393E-6</v>
      </c>
      <c r="G11" s="159">
        <v>4455667788000</v>
      </c>
      <c r="H11" s="123">
        <f t="shared" si="3"/>
        <v>4455667788000</v>
      </c>
      <c r="I11" s="52">
        <f t="shared" si="4"/>
        <v>0</v>
      </c>
      <c r="J11" s="153">
        <f t="shared" si="5"/>
        <v>0</v>
      </c>
    </row>
    <row r="12" spans="2:11" x14ac:dyDescent="0.25">
      <c r="B12" s="47">
        <v>-654</v>
      </c>
      <c r="C12" s="159">
        <v>-0.65400000000000003</v>
      </c>
      <c r="D12" s="123">
        <f t="shared" si="0"/>
        <v>-0.65400000000000003</v>
      </c>
      <c r="E12" s="52">
        <f t="shared" si="1"/>
        <v>0</v>
      </c>
      <c r="F12" s="153">
        <f t="shared" si="2"/>
        <v>0</v>
      </c>
      <c r="G12" s="159">
        <v>-654000</v>
      </c>
      <c r="H12" s="123">
        <f t="shared" si="3"/>
        <v>-654000</v>
      </c>
      <c r="I12" s="52">
        <f t="shared" si="4"/>
        <v>0</v>
      </c>
      <c r="J12" s="153">
        <f t="shared" si="5"/>
        <v>0</v>
      </c>
    </row>
    <row r="13" spans="2:11" ht="15.75" thickBot="1" x14ac:dyDescent="0.3">
      <c r="B13" s="74">
        <v>0.65469999999999995</v>
      </c>
      <c r="C13" s="156">
        <v>6.5470000000000003E-4</v>
      </c>
      <c r="D13" s="59">
        <f t="shared" si="0"/>
        <v>6.5469999999999992E-4</v>
      </c>
      <c r="E13" s="57">
        <f t="shared" si="1"/>
        <v>0</v>
      </c>
      <c r="F13" s="163">
        <f t="shared" si="2"/>
        <v>0</v>
      </c>
      <c r="G13" s="156">
        <v>654.70000000000005</v>
      </c>
      <c r="H13" s="59">
        <f t="shared" si="3"/>
        <v>654.69999999999993</v>
      </c>
      <c r="I13" s="57">
        <f t="shared" si="4"/>
        <v>0</v>
      </c>
      <c r="J13" s="163">
        <f t="shared" si="5"/>
        <v>0</v>
      </c>
    </row>
    <row r="14" spans="2:11" ht="15.75" thickBot="1" x14ac:dyDescent="0.3">
      <c r="C14" s="165"/>
      <c r="D14" s="165"/>
      <c r="E14" s="164"/>
      <c r="F14" s="164"/>
      <c r="G14" s="165"/>
      <c r="H14" s="165"/>
      <c r="I14" s="164"/>
      <c r="J14" s="164"/>
    </row>
    <row r="15" spans="2:11" x14ac:dyDescent="0.25">
      <c r="B15" s="341" t="s">
        <v>10</v>
      </c>
      <c r="C15" s="166" t="s">
        <v>14</v>
      </c>
      <c r="D15" s="168" t="s">
        <v>14</v>
      </c>
      <c r="E15" s="343" t="s">
        <v>354</v>
      </c>
      <c r="F15" s="357" t="s">
        <v>355</v>
      </c>
      <c r="G15" s="166" t="s">
        <v>14</v>
      </c>
      <c r="H15" s="168" t="s">
        <v>14</v>
      </c>
      <c r="I15" s="343" t="s">
        <v>354</v>
      </c>
      <c r="J15" s="357" t="s">
        <v>355</v>
      </c>
    </row>
    <row r="16" spans="2:11" ht="15.75" thickBot="1" x14ac:dyDescent="0.3">
      <c r="B16" s="342"/>
      <c r="C16" s="167" t="s">
        <v>290</v>
      </c>
      <c r="D16" s="169" t="s">
        <v>291</v>
      </c>
      <c r="E16" s="344"/>
      <c r="F16" s="358"/>
      <c r="G16" s="167" t="s">
        <v>290</v>
      </c>
      <c r="H16" s="169" t="s">
        <v>291</v>
      </c>
      <c r="I16" s="344"/>
      <c r="J16" s="358"/>
    </row>
    <row r="17" spans="1:10" ht="15.75" thickBot="1" x14ac:dyDescent="0.3">
      <c r="B17" s="346" t="s">
        <v>515</v>
      </c>
      <c r="C17" s="363" t="s">
        <v>514</v>
      </c>
      <c r="D17" s="177" t="s">
        <v>514</v>
      </c>
      <c r="E17" s="344"/>
      <c r="F17" s="358"/>
      <c r="G17" s="363" t="s">
        <v>516</v>
      </c>
      <c r="H17" s="177" t="s">
        <v>516</v>
      </c>
      <c r="I17" s="344"/>
      <c r="J17" s="358"/>
    </row>
    <row r="18" spans="1:10" ht="15.75" thickBot="1" x14ac:dyDescent="0.3">
      <c r="B18" s="362"/>
      <c r="C18" s="364"/>
      <c r="D18" s="179" t="s">
        <v>517</v>
      </c>
      <c r="E18" s="345"/>
      <c r="F18" s="359"/>
      <c r="G18" s="364"/>
      <c r="H18" s="179" t="s">
        <v>522</v>
      </c>
      <c r="I18" s="345"/>
      <c r="J18" s="359"/>
    </row>
    <row r="19" spans="1:10" x14ac:dyDescent="0.25">
      <c r="B19" s="44">
        <v>1</v>
      </c>
      <c r="C19" s="154">
        <v>1000</v>
      </c>
      <c r="D19" s="123">
        <f>B19*1000</f>
        <v>1000</v>
      </c>
      <c r="E19" s="54">
        <f>C19-D19</f>
        <v>0</v>
      </c>
      <c r="F19" s="162">
        <f>(100*E19)/D19</f>
        <v>0</v>
      </c>
      <c r="G19" s="154">
        <v>1000000</v>
      </c>
      <c r="H19" s="123">
        <f>B19*1000000</f>
        <v>1000000</v>
      </c>
      <c r="I19" s="54">
        <f>G19-H19</f>
        <v>0</v>
      </c>
      <c r="J19" s="162">
        <f>(100*I19)/H19</f>
        <v>0</v>
      </c>
    </row>
    <row r="20" spans="1:10" x14ac:dyDescent="0.25">
      <c r="B20" s="47">
        <v>987</v>
      </c>
      <c r="C20" s="159">
        <v>987000</v>
      </c>
      <c r="D20" s="123">
        <f t="shared" ref="D20:D24" si="6">B20*1000</f>
        <v>987000</v>
      </c>
      <c r="E20" s="52">
        <f t="shared" ref="E20:E24" si="7">C20-D20</f>
        <v>0</v>
      </c>
      <c r="F20" s="153">
        <f t="shared" ref="F20:F24" si="8">(100*E20)/D20</f>
        <v>0</v>
      </c>
      <c r="G20" s="159">
        <v>987000000</v>
      </c>
      <c r="H20" s="123">
        <f t="shared" ref="H20:H24" si="9">B20*1000000</f>
        <v>987000000</v>
      </c>
      <c r="I20" s="52">
        <f t="shared" ref="I20:I24" si="10">G20-H20</f>
        <v>0</v>
      </c>
      <c r="J20" s="153">
        <f t="shared" ref="J20:J24" si="11">(100*I20)/H20</f>
        <v>0</v>
      </c>
    </row>
    <row r="21" spans="1:10" x14ac:dyDescent="0.25">
      <c r="B21" s="47">
        <v>5987</v>
      </c>
      <c r="C21" s="159">
        <v>5987000</v>
      </c>
      <c r="D21" s="123">
        <f t="shared" si="6"/>
        <v>5987000</v>
      </c>
      <c r="E21" s="52">
        <f t="shared" si="7"/>
        <v>0</v>
      </c>
      <c r="F21" s="153">
        <f t="shared" si="8"/>
        <v>0</v>
      </c>
      <c r="G21" s="159">
        <v>5987000000</v>
      </c>
      <c r="H21" s="123">
        <f t="shared" si="9"/>
        <v>5987000000</v>
      </c>
      <c r="I21" s="52">
        <f t="shared" si="10"/>
        <v>0</v>
      </c>
      <c r="J21" s="153">
        <f t="shared" si="11"/>
        <v>0</v>
      </c>
    </row>
    <row r="22" spans="1:10" x14ac:dyDescent="0.25">
      <c r="B22" s="47">
        <v>4455667788</v>
      </c>
      <c r="C22" s="159">
        <v>4455667788000</v>
      </c>
      <c r="D22" s="123">
        <f t="shared" si="6"/>
        <v>4455667788000</v>
      </c>
      <c r="E22" s="52">
        <f t="shared" si="7"/>
        <v>0</v>
      </c>
      <c r="F22" s="153">
        <f t="shared" si="8"/>
        <v>0</v>
      </c>
      <c r="G22" s="159">
        <v>4455667788000000</v>
      </c>
      <c r="H22" s="123">
        <f t="shared" si="9"/>
        <v>4455667788000000</v>
      </c>
      <c r="I22" s="52">
        <f t="shared" si="10"/>
        <v>0</v>
      </c>
      <c r="J22" s="153">
        <f t="shared" si="11"/>
        <v>0</v>
      </c>
    </row>
    <row r="23" spans="1:10" x14ac:dyDescent="0.25">
      <c r="B23" s="47">
        <v>-654</v>
      </c>
      <c r="C23" s="159">
        <v>-654000</v>
      </c>
      <c r="D23" s="123">
        <f t="shared" si="6"/>
        <v>-654000</v>
      </c>
      <c r="E23" s="52">
        <f t="shared" si="7"/>
        <v>0</v>
      </c>
      <c r="F23" s="153">
        <f t="shared" si="8"/>
        <v>0</v>
      </c>
      <c r="G23" s="159">
        <v>-654000000</v>
      </c>
      <c r="H23" s="123">
        <f t="shared" si="9"/>
        <v>-654000000</v>
      </c>
      <c r="I23" s="52">
        <f t="shared" si="10"/>
        <v>0</v>
      </c>
      <c r="J23" s="153">
        <f t="shared" si="11"/>
        <v>0</v>
      </c>
    </row>
    <row r="24" spans="1:10" ht="15.75" thickBot="1" x14ac:dyDescent="0.3">
      <c r="B24" s="74">
        <v>0.65469999999999995</v>
      </c>
      <c r="C24" s="156">
        <v>654.70000000000005</v>
      </c>
      <c r="D24" s="59">
        <f t="shared" si="6"/>
        <v>654.69999999999993</v>
      </c>
      <c r="E24" s="57">
        <f t="shared" si="7"/>
        <v>0</v>
      </c>
      <c r="F24" s="163">
        <f t="shared" si="8"/>
        <v>0</v>
      </c>
      <c r="G24" s="156">
        <v>654700</v>
      </c>
      <c r="H24" s="59">
        <f t="shared" si="9"/>
        <v>654700</v>
      </c>
      <c r="I24" s="57">
        <f t="shared" si="10"/>
        <v>0</v>
      </c>
      <c r="J24" s="163">
        <f t="shared" si="11"/>
        <v>0</v>
      </c>
    </row>
    <row r="25" spans="1:10" ht="15.75" thickBot="1" x14ac:dyDescent="0.3">
      <c r="A25" s="131"/>
      <c r="B25" s="131"/>
      <c r="C25" s="206"/>
      <c r="D25" s="206"/>
      <c r="E25" s="207"/>
      <c r="F25" s="207"/>
      <c r="G25" s="206"/>
      <c r="H25" s="206"/>
      <c r="I25" s="207"/>
      <c r="J25" s="207"/>
    </row>
    <row r="26" spans="1:10" x14ac:dyDescent="0.25">
      <c r="B26" s="341" t="s">
        <v>10</v>
      </c>
      <c r="C26" s="166" t="s">
        <v>14</v>
      </c>
      <c r="D26" s="168" t="s">
        <v>14</v>
      </c>
      <c r="E26" s="343" t="s">
        <v>354</v>
      </c>
      <c r="F26" s="357" t="s">
        <v>355</v>
      </c>
      <c r="G26" s="166" t="s">
        <v>14</v>
      </c>
      <c r="H26" s="168" t="s">
        <v>14</v>
      </c>
      <c r="I26" s="343" t="s">
        <v>354</v>
      </c>
      <c r="J26" s="357" t="s">
        <v>355</v>
      </c>
    </row>
    <row r="27" spans="1:10" ht="15.75" thickBot="1" x14ac:dyDescent="0.3">
      <c r="B27" s="342"/>
      <c r="C27" s="167" t="s">
        <v>290</v>
      </c>
      <c r="D27" s="169" t="s">
        <v>291</v>
      </c>
      <c r="E27" s="344"/>
      <c r="F27" s="358"/>
      <c r="G27" s="167" t="s">
        <v>290</v>
      </c>
      <c r="H27" s="169" t="s">
        <v>291</v>
      </c>
      <c r="I27" s="344"/>
      <c r="J27" s="358"/>
    </row>
    <row r="28" spans="1:10" ht="15.75" thickBot="1" x14ac:dyDescent="0.3">
      <c r="B28" s="346" t="s">
        <v>516</v>
      </c>
      <c r="C28" s="363" t="s">
        <v>514</v>
      </c>
      <c r="D28" s="177" t="s">
        <v>514</v>
      </c>
      <c r="E28" s="344"/>
      <c r="F28" s="358"/>
      <c r="G28" s="363" t="s">
        <v>515</v>
      </c>
      <c r="H28" s="177" t="s">
        <v>515</v>
      </c>
      <c r="I28" s="344"/>
      <c r="J28" s="358"/>
    </row>
    <row r="29" spans="1:10" ht="30.75" thickBot="1" x14ac:dyDescent="0.3">
      <c r="B29" s="362"/>
      <c r="C29" s="364"/>
      <c r="D29" s="179" t="s">
        <v>521</v>
      </c>
      <c r="E29" s="345"/>
      <c r="F29" s="359"/>
      <c r="G29" s="364"/>
      <c r="H29" s="179" t="s">
        <v>520</v>
      </c>
      <c r="I29" s="345"/>
      <c r="J29" s="359"/>
    </row>
    <row r="30" spans="1:10" x14ac:dyDescent="0.25">
      <c r="B30" s="44">
        <v>1</v>
      </c>
      <c r="C30" s="154">
        <v>1E-3</v>
      </c>
      <c r="D30" s="123">
        <f>H30*1000</f>
        <v>1E-3</v>
      </c>
      <c r="E30" s="54">
        <f>C30-D30</f>
        <v>0</v>
      </c>
      <c r="F30" s="162">
        <f>(100*E30)/D30</f>
        <v>0</v>
      </c>
      <c r="G30" s="154">
        <v>9.9999999999999995E-7</v>
      </c>
      <c r="H30" s="123">
        <f>B30/1000000</f>
        <v>9.9999999999999995E-7</v>
      </c>
      <c r="I30" s="54">
        <f>G30-H30</f>
        <v>0</v>
      </c>
      <c r="J30" s="162">
        <f>(100*I30)/H30</f>
        <v>0</v>
      </c>
    </row>
    <row r="31" spans="1:10" x14ac:dyDescent="0.25">
      <c r="B31" s="47">
        <v>987</v>
      </c>
      <c r="C31" s="159">
        <v>0.98699999999999999</v>
      </c>
      <c r="D31" s="123">
        <f t="shared" ref="D31:D35" si="12">H31*1000</f>
        <v>0.98699999999999999</v>
      </c>
      <c r="E31" s="52">
        <f t="shared" ref="E31:E35" si="13">C31-D31</f>
        <v>0</v>
      </c>
      <c r="F31" s="153">
        <f t="shared" ref="F31:F35" si="14">(100*E31)/D31</f>
        <v>0</v>
      </c>
      <c r="G31" s="159">
        <v>9.8700000000000003E-4</v>
      </c>
      <c r="H31" s="123">
        <f t="shared" ref="H31:H35" si="15">B31/1000000</f>
        <v>9.8700000000000003E-4</v>
      </c>
      <c r="I31" s="52">
        <f t="shared" ref="I31:I35" si="16">G31-H31</f>
        <v>0</v>
      </c>
      <c r="J31" s="153">
        <f t="shared" ref="J31:J35" si="17">(100*I31)/H31</f>
        <v>0</v>
      </c>
    </row>
    <row r="32" spans="1:10" x14ac:dyDescent="0.25">
      <c r="B32" s="47">
        <v>5987</v>
      </c>
      <c r="C32" s="159">
        <v>5.9870000000000001</v>
      </c>
      <c r="D32" s="123">
        <f t="shared" si="12"/>
        <v>5.9870000000000001</v>
      </c>
      <c r="E32" s="52">
        <f t="shared" si="13"/>
        <v>0</v>
      </c>
      <c r="F32" s="153">
        <f t="shared" si="14"/>
        <v>0</v>
      </c>
      <c r="G32" s="159">
        <v>5.9870000000000001E-3</v>
      </c>
      <c r="H32" s="123">
        <f t="shared" si="15"/>
        <v>5.9870000000000001E-3</v>
      </c>
      <c r="I32" s="52">
        <f t="shared" si="16"/>
        <v>0</v>
      </c>
      <c r="J32" s="153">
        <f t="shared" si="17"/>
        <v>0</v>
      </c>
    </row>
    <row r="33" spans="2:10" x14ac:dyDescent="0.25">
      <c r="B33" s="47">
        <v>4455667788</v>
      </c>
      <c r="C33" s="159">
        <v>4455668</v>
      </c>
      <c r="D33" s="123">
        <f t="shared" si="12"/>
        <v>4455667.7879999997</v>
      </c>
      <c r="E33" s="52">
        <f t="shared" si="13"/>
        <v>0.21200000029057264</v>
      </c>
      <c r="F33" s="153">
        <f t="shared" si="14"/>
        <v>4.7579848942403393E-6</v>
      </c>
      <c r="G33" s="159">
        <v>4455.67</v>
      </c>
      <c r="H33" s="123">
        <f t="shared" si="15"/>
        <v>4455.6677879999997</v>
      </c>
      <c r="I33" s="52">
        <f t="shared" si="16"/>
        <v>2.2120000003269524E-3</v>
      </c>
      <c r="J33" s="153">
        <f t="shared" si="17"/>
        <v>4.9644634779197604E-5</v>
      </c>
    </row>
    <row r="34" spans="2:10" x14ac:dyDescent="0.25">
      <c r="B34" s="47">
        <v>-654</v>
      </c>
      <c r="C34" s="159">
        <v>-0.65400000000000003</v>
      </c>
      <c r="D34" s="123">
        <f t="shared" si="12"/>
        <v>-0.65399999999999991</v>
      </c>
      <c r="E34" s="52">
        <f t="shared" si="13"/>
        <v>0</v>
      </c>
      <c r="F34" s="153">
        <f t="shared" si="14"/>
        <v>0</v>
      </c>
      <c r="G34" s="159">
        <v>-6.5399999999999996E-4</v>
      </c>
      <c r="H34" s="123">
        <f t="shared" si="15"/>
        <v>-6.5399999999999996E-4</v>
      </c>
      <c r="I34" s="52">
        <f t="shared" si="16"/>
        <v>0</v>
      </c>
      <c r="J34" s="153">
        <f t="shared" si="17"/>
        <v>0</v>
      </c>
    </row>
    <row r="35" spans="2:10" ht="15.75" thickBot="1" x14ac:dyDescent="0.3">
      <c r="B35" s="74">
        <v>0.65469999999999995</v>
      </c>
      <c r="C35" s="156">
        <v>6.5470000000000003E-4</v>
      </c>
      <c r="D35" s="59">
        <f t="shared" si="12"/>
        <v>6.5469999999999992E-4</v>
      </c>
      <c r="E35" s="57">
        <f t="shared" si="13"/>
        <v>0</v>
      </c>
      <c r="F35" s="163">
        <f t="shared" si="14"/>
        <v>0</v>
      </c>
      <c r="G35" s="156">
        <v>6.5469999999999995E-7</v>
      </c>
      <c r="H35" s="59">
        <f t="shared" si="15"/>
        <v>6.5469999999999995E-7</v>
      </c>
      <c r="I35" s="57">
        <f t="shared" si="16"/>
        <v>0</v>
      </c>
      <c r="J35" s="163">
        <f t="shared" si="17"/>
        <v>0</v>
      </c>
    </row>
  </sheetData>
  <mergeCells count="25">
    <mergeCell ref="B1:K1"/>
    <mergeCell ref="B4:B5"/>
    <mergeCell ref="E4:E7"/>
    <mergeCell ref="F4:F7"/>
    <mergeCell ref="B6:B7"/>
    <mergeCell ref="C6:C7"/>
    <mergeCell ref="J4:J7"/>
    <mergeCell ref="B15:B16"/>
    <mergeCell ref="E15:E18"/>
    <mergeCell ref="F15:F18"/>
    <mergeCell ref="B17:B18"/>
    <mergeCell ref="C17:C18"/>
    <mergeCell ref="B26:B27"/>
    <mergeCell ref="E26:E29"/>
    <mergeCell ref="F26:F29"/>
    <mergeCell ref="I26:I29"/>
    <mergeCell ref="B28:B29"/>
    <mergeCell ref="C28:C29"/>
    <mergeCell ref="J15:J18"/>
    <mergeCell ref="J26:J29"/>
    <mergeCell ref="G28:G29"/>
    <mergeCell ref="I4:I7"/>
    <mergeCell ref="I15:I18"/>
    <mergeCell ref="G17:G18"/>
    <mergeCell ref="G6:G7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9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2" sqref="B2:D2"/>
    </sheetView>
  </sheetViews>
  <sheetFormatPr defaultRowHeight="15" x14ac:dyDescent="0.25"/>
  <cols>
    <col min="1" max="1" width="4" customWidth="1"/>
    <col min="2" max="2" width="17" bestFit="1" customWidth="1"/>
    <col min="3" max="3" width="30.28515625" bestFit="1" customWidth="1"/>
    <col min="4" max="4" width="48.140625" customWidth="1"/>
    <col min="5" max="5" width="23.140625" bestFit="1" customWidth="1"/>
    <col min="6" max="6" width="23" bestFit="1" customWidth="1"/>
    <col min="7" max="7" width="15.7109375" customWidth="1"/>
    <col min="11" max="11" width="30.85546875" customWidth="1"/>
  </cols>
  <sheetData>
    <row r="1" spans="2:11" ht="31.5" x14ac:dyDescent="0.5">
      <c r="B1" s="340" t="s">
        <v>289</v>
      </c>
      <c r="C1" s="340"/>
      <c r="D1" s="340"/>
      <c r="E1" s="340"/>
      <c r="F1" s="340"/>
      <c r="G1" s="340"/>
      <c r="H1" s="340"/>
      <c r="I1" s="340"/>
      <c r="J1" s="340"/>
      <c r="K1" s="340"/>
    </row>
    <row r="2" spans="2:11" x14ac:dyDescent="0.25">
      <c r="B2" s="70" t="s">
        <v>340</v>
      </c>
      <c r="C2" t="s">
        <v>341</v>
      </c>
      <c r="D2" t="s">
        <v>523</v>
      </c>
    </row>
    <row r="3" spans="2:11" ht="15.75" thickBot="1" x14ac:dyDescent="0.3">
      <c r="G3" s="131"/>
      <c r="H3" s="131"/>
      <c r="I3" s="131"/>
      <c r="J3" s="131"/>
      <c r="K3" s="131"/>
    </row>
    <row r="4" spans="2:11" x14ac:dyDescent="0.25">
      <c r="B4" s="341" t="s">
        <v>10</v>
      </c>
      <c r="C4" s="62" t="s">
        <v>14</v>
      </c>
      <c r="D4" s="65" t="s">
        <v>14</v>
      </c>
      <c r="E4" s="330" t="s">
        <v>354</v>
      </c>
      <c r="F4" s="321" t="s">
        <v>355</v>
      </c>
      <c r="G4" s="132"/>
      <c r="H4" s="133"/>
      <c r="I4" s="367"/>
      <c r="J4" s="367"/>
      <c r="K4" s="132"/>
    </row>
    <row r="5" spans="2:11" ht="15.75" thickBot="1" x14ac:dyDescent="0.3">
      <c r="B5" s="342"/>
      <c r="C5" s="63" t="s">
        <v>290</v>
      </c>
      <c r="D5" s="27" t="s">
        <v>291</v>
      </c>
      <c r="E5" s="331"/>
      <c r="F5" s="322"/>
      <c r="G5" s="132"/>
      <c r="H5" s="133"/>
      <c r="I5" s="368"/>
      <c r="J5" s="368"/>
      <c r="K5" s="132"/>
    </row>
    <row r="6" spans="2:11" ht="15.75" thickBot="1" x14ac:dyDescent="0.3">
      <c r="B6" s="346" t="s">
        <v>524</v>
      </c>
      <c r="C6" s="346" t="s">
        <v>525</v>
      </c>
      <c r="D6" s="16" t="s">
        <v>525</v>
      </c>
      <c r="E6" s="331"/>
      <c r="F6" s="322"/>
      <c r="G6" s="370"/>
      <c r="H6" s="133"/>
      <c r="I6" s="368"/>
      <c r="J6" s="368"/>
      <c r="K6" s="370"/>
    </row>
    <row r="7" spans="2:11" ht="15.75" thickBot="1" x14ac:dyDescent="0.3">
      <c r="B7" s="347"/>
      <c r="C7" s="347"/>
      <c r="D7" s="121" t="s">
        <v>526</v>
      </c>
      <c r="E7" s="327"/>
      <c r="F7" s="323"/>
      <c r="G7" s="368"/>
      <c r="H7" s="134"/>
      <c r="I7" s="368"/>
      <c r="J7" s="368"/>
      <c r="K7" s="368"/>
    </row>
    <row r="8" spans="2:11" x14ac:dyDescent="0.25">
      <c r="B8" s="44">
        <v>1</v>
      </c>
      <c r="C8" s="154">
        <v>1E-3</v>
      </c>
      <c r="D8" s="123">
        <f>B8/1000</f>
        <v>1E-3</v>
      </c>
      <c r="E8" s="54">
        <f>C8-D8</f>
        <v>0</v>
      </c>
      <c r="F8" s="162">
        <f>(100*E8)/D8</f>
        <v>0</v>
      </c>
      <c r="G8" s="136"/>
      <c r="H8" s="126"/>
      <c r="I8" s="127"/>
      <c r="J8" s="128"/>
      <c r="K8" s="136"/>
    </row>
    <row r="9" spans="2:11" x14ac:dyDescent="0.25">
      <c r="B9" s="47">
        <v>987</v>
      </c>
      <c r="C9" s="159">
        <v>0.98699999999999999</v>
      </c>
      <c r="D9" s="123">
        <f t="shared" ref="D9:D13" si="0">B9/1000</f>
        <v>0.98699999999999999</v>
      </c>
      <c r="E9" s="52">
        <f t="shared" ref="E9:E13" si="1">C9-D9</f>
        <v>0</v>
      </c>
      <c r="F9" s="153">
        <f t="shared" ref="F9:F13" si="2">(100*E9)/D9</f>
        <v>0</v>
      </c>
      <c r="G9" s="136"/>
      <c r="H9" s="126"/>
      <c r="I9" s="127"/>
      <c r="J9" s="128"/>
      <c r="K9" s="136"/>
    </row>
    <row r="10" spans="2:11" x14ac:dyDescent="0.25">
      <c r="B10" s="47">
        <v>5987</v>
      </c>
      <c r="C10" s="159">
        <v>5.9870000000000001</v>
      </c>
      <c r="D10" s="123">
        <f t="shared" si="0"/>
        <v>5.9870000000000001</v>
      </c>
      <c r="E10" s="52">
        <f t="shared" si="1"/>
        <v>0</v>
      </c>
      <c r="F10" s="153">
        <f t="shared" si="2"/>
        <v>0</v>
      </c>
      <c r="G10" s="136"/>
      <c r="H10" s="126"/>
      <c r="I10" s="127"/>
      <c r="J10" s="128"/>
      <c r="K10" s="136"/>
    </row>
    <row r="11" spans="2:11" x14ac:dyDescent="0.25">
      <c r="B11" s="47">
        <v>4455667788</v>
      </c>
      <c r="C11" s="159">
        <v>4455668</v>
      </c>
      <c r="D11" s="123">
        <f t="shared" si="0"/>
        <v>4455667.7879999997</v>
      </c>
      <c r="E11" s="52">
        <f t="shared" si="1"/>
        <v>0.21200000029057264</v>
      </c>
      <c r="F11" s="153">
        <f t="shared" si="2"/>
        <v>4.7579848942403393E-6</v>
      </c>
      <c r="G11" s="136"/>
      <c r="H11" s="126"/>
      <c r="I11" s="127"/>
      <c r="J11" s="128"/>
      <c r="K11" s="136"/>
    </row>
    <row r="12" spans="2:11" x14ac:dyDescent="0.25">
      <c r="B12" s="47">
        <v>-654</v>
      </c>
      <c r="C12" s="159">
        <v>-0.65400000000000003</v>
      </c>
      <c r="D12" s="123">
        <f t="shared" si="0"/>
        <v>-0.65400000000000003</v>
      </c>
      <c r="E12" s="52">
        <f t="shared" si="1"/>
        <v>0</v>
      </c>
      <c r="F12" s="153">
        <f t="shared" si="2"/>
        <v>0</v>
      </c>
      <c r="G12" s="136"/>
      <c r="H12" s="126"/>
      <c r="I12" s="127"/>
      <c r="J12" s="128"/>
      <c r="K12" s="136"/>
    </row>
    <row r="13" spans="2:11" ht="15.75" thickBot="1" x14ac:dyDescent="0.3">
      <c r="B13" s="74">
        <v>0.65469999999999995</v>
      </c>
      <c r="C13" s="156">
        <v>6.5470000000000003E-4</v>
      </c>
      <c r="D13" s="59">
        <f t="shared" si="0"/>
        <v>6.5469999999999992E-4</v>
      </c>
      <c r="E13" s="57">
        <f t="shared" si="1"/>
        <v>0</v>
      </c>
      <c r="F13" s="163">
        <f t="shared" si="2"/>
        <v>0</v>
      </c>
      <c r="G13" s="136"/>
      <c r="H13" s="126"/>
      <c r="I13" s="127"/>
      <c r="J13" s="128"/>
      <c r="K13" s="136"/>
    </row>
    <row r="14" spans="2:11" ht="15.75" thickBot="1" x14ac:dyDescent="0.3">
      <c r="C14" s="165"/>
      <c r="D14" s="165"/>
      <c r="E14" s="164"/>
      <c r="F14" s="164"/>
      <c r="G14" s="131"/>
      <c r="H14" s="131"/>
      <c r="I14" s="131"/>
      <c r="J14" s="131"/>
      <c r="K14" s="131"/>
    </row>
    <row r="15" spans="2:11" x14ac:dyDescent="0.25">
      <c r="B15" s="341" t="s">
        <v>10</v>
      </c>
      <c r="C15" s="166" t="s">
        <v>14</v>
      </c>
      <c r="D15" s="168" t="s">
        <v>14</v>
      </c>
      <c r="E15" s="343" t="s">
        <v>354</v>
      </c>
      <c r="F15" s="357" t="s">
        <v>355</v>
      </c>
      <c r="G15" s="132"/>
      <c r="H15" s="133"/>
      <c r="I15" s="367"/>
      <c r="J15" s="367"/>
      <c r="K15" s="132"/>
    </row>
    <row r="16" spans="2:11" ht="15.75" thickBot="1" x14ac:dyDescent="0.3">
      <c r="B16" s="342"/>
      <c r="C16" s="167" t="s">
        <v>290</v>
      </c>
      <c r="D16" s="169" t="s">
        <v>291</v>
      </c>
      <c r="E16" s="344"/>
      <c r="F16" s="358"/>
      <c r="G16" s="132"/>
      <c r="H16" s="133"/>
      <c r="I16" s="368"/>
      <c r="J16" s="368"/>
      <c r="K16" s="132"/>
    </row>
    <row r="17" spans="1:11" ht="15.75" thickBot="1" x14ac:dyDescent="0.3">
      <c r="B17" s="346" t="s">
        <v>525</v>
      </c>
      <c r="C17" s="363" t="s">
        <v>524</v>
      </c>
      <c r="D17" s="177" t="s">
        <v>524</v>
      </c>
      <c r="E17" s="344"/>
      <c r="F17" s="358"/>
      <c r="G17" s="370"/>
      <c r="H17" s="133"/>
      <c r="I17" s="368"/>
      <c r="J17" s="368"/>
      <c r="K17" s="370"/>
    </row>
    <row r="18" spans="1:11" ht="15.75" thickBot="1" x14ac:dyDescent="0.3">
      <c r="B18" s="362"/>
      <c r="C18" s="364"/>
      <c r="D18" s="179" t="s">
        <v>527</v>
      </c>
      <c r="E18" s="345"/>
      <c r="F18" s="359"/>
      <c r="G18" s="368"/>
      <c r="H18" s="134"/>
      <c r="I18" s="368"/>
      <c r="J18" s="368"/>
      <c r="K18" s="368"/>
    </row>
    <row r="19" spans="1:11" x14ac:dyDescent="0.25">
      <c r="B19" s="44">
        <v>1</v>
      </c>
      <c r="C19" s="154">
        <v>1000</v>
      </c>
      <c r="D19" s="123">
        <f>B19*1000</f>
        <v>1000</v>
      </c>
      <c r="E19" s="54">
        <f>C19-D19</f>
        <v>0</v>
      </c>
      <c r="F19" s="162">
        <f>(100*E19)/D19</f>
        <v>0</v>
      </c>
      <c r="G19" s="136"/>
      <c r="H19" s="126"/>
      <c r="I19" s="127"/>
      <c r="J19" s="128"/>
      <c r="K19" s="136"/>
    </row>
    <row r="20" spans="1:11" x14ac:dyDescent="0.25">
      <c r="B20" s="47">
        <v>987</v>
      </c>
      <c r="C20" s="159">
        <v>987000</v>
      </c>
      <c r="D20" s="123">
        <f t="shared" ref="D20:D24" si="3">B20*1000</f>
        <v>987000</v>
      </c>
      <c r="E20" s="52">
        <f t="shared" ref="E20:E24" si="4">C20-D20</f>
        <v>0</v>
      </c>
      <c r="F20" s="153">
        <f t="shared" ref="F20:F24" si="5">(100*E20)/D20</f>
        <v>0</v>
      </c>
      <c r="G20" s="136"/>
      <c r="H20" s="126"/>
      <c r="I20" s="127"/>
      <c r="J20" s="128"/>
      <c r="K20" s="136"/>
    </row>
    <row r="21" spans="1:11" x14ac:dyDescent="0.25">
      <c r="B21" s="47">
        <v>5987</v>
      </c>
      <c r="C21" s="159">
        <v>5987000</v>
      </c>
      <c r="D21" s="123">
        <f t="shared" si="3"/>
        <v>5987000</v>
      </c>
      <c r="E21" s="52">
        <f t="shared" si="4"/>
        <v>0</v>
      </c>
      <c r="F21" s="153">
        <f t="shared" si="5"/>
        <v>0</v>
      </c>
      <c r="G21" s="136"/>
      <c r="H21" s="126"/>
      <c r="I21" s="127"/>
      <c r="J21" s="128"/>
      <c r="K21" s="137"/>
    </row>
    <row r="22" spans="1:11" x14ac:dyDescent="0.25">
      <c r="B22" s="47">
        <v>4455667788</v>
      </c>
      <c r="C22" s="159">
        <v>4455667788000</v>
      </c>
      <c r="D22" s="123">
        <f t="shared" si="3"/>
        <v>4455667788000</v>
      </c>
      <c r="E22" s="52">
        <f t="shared" si="4"/>
        <v>0</v>
      </c>
      <c r="F22" s="153">
        <f t="shared" si="5"/>
        <v>0</v>
      </c>
      <c r="G22" s="136"/>
      <c r="H22" s="126"/>
      <c r="I22" s="127"/>
      <c r="J22" s="128"/>
      <c r="K22" s="136"/>
    </row>
    <row r="23" spans="1:11" x14ac:dyDescent="0.25">
      <c r="B23" s="47">
        <v>-654</v>
      </c>
      <c r="C23" s="159">
        <v>-654000</v>
      </c>
      <c r="D23" s="123">
        <f t="shared" si="3"/>
        <v>-654000</v>
      </c>
      <c r="E23" s="52">
        <f t="shared" si="4"/>
        <v>0</v>
      </c>
      <c r="F23" s="153">
        <f t="shared" si="5"/>
        <v>0</v>
      </c>
      <c r="G23" s="136"/>
      <c r="H23" s="126"/>
      <c r="I23" s="127"/>
      <c r="J23" s="128"/>
      <c r="K23" s="136"/>
    </row>
    <row r="24" spans="1:11" ht="15.75" thickBot="1" x14ac:dyDescent="0.3">
      <c r="B24" s="74">
        <v>0.65469999999999995</v>
      </c>
      <c r="C24" s="156">
        <v>654.70000000000005</v>
      </c>
      <c r="D24" s="59">
        <f t="shared" si="3"/>
        <v>654.69999999999993</v>
      </c>
      <c r="E24" s="57">
        <f t="shared" si="4"/>
        <v>0</v>
      </c>
      <c r="F24" s="163">
        <f t="shared" si="5"/>
        <v>0</v>
      </c>
      <c r="G24" s="136"/>
      <c r="H24" s="126"/>
      <c r="I24" s="127"/>
      <c r="J24" s="128"/>
      <c r="K24" s="136"/>
    </row>
    <row r="25" spans="1:11" x14ac:dyDescent="0.25">
      <c r="A25" s="131"/>
      <c r="B25" s="131"/>
      <c r="C25" s="131"/>
      <c r="D25" s="131"/>
      <c r="E25" s="131"/>
      <c r="F25" s="131"/>
      <c r="G25" s="131"/>
      <c r="H25" s="131"/>
      <c r="I25" s="131"/>
      <c r="J25" s="131"/>
      <c r="K25" s="131"/>
    </row>
    <row r="26" spans="1:11" x14ac:dyDescent="0.25">
      <c r="A26" s="131"/>
      <c r="B26" s="370"/>
      <c r="C26" s="132"/>
      <c r="D26" s="133"/>
      <c r="E26" s="367"/>
      <c r="F26" s="367"/>
      <c r="G26" s="132"/>
      <c r="H26" s="133"/>
      <c r="I26" s="367"/>
      <c r="J26" s="367"/>
      <c r="K26" s="132"/>
    </row>
    <row r="27" spans="1:11" x14ac:dyDescent="0.25">
      <c r="A27" s="131"/>
      <c r="B27" s="368"/>
      <c r="C27" s="132"/>
      <c r="D27" s="133"/>
      <c r="E27" s="368"/>
      <c r="F27" s="368"/>
      <c r="G27" s="132"/>
      <c r="H27" s="133"/>
      <c r="I27" s="368"/>
      <c r="J27" s="368"/>
      <c r="K27" s="132"/>
    </row>
    <row r="28" spans="1:11" x14ac:dyDescent="0.25">
      <c r="A28" s="131"/>
      <c r="B28" s="370"/>
      <c r="C28" s="370"/>
      <c r="D28" s="133"/>
      <c r="E28" s="368"/>
      <c r="F28" s="368"/>
      <c r="G28" s="370"/>
      <c r="H28" s="133"/>
      <c r="I28" s="368"/>
      <c r="J28" s="368"/>
      <c r="K28" s="370"/>
    </row>
    <row r="29" spans="1:11" x14ac:dyDescent="0.25">
      <c r="A29" s="131"/>
      <c r="B29" s="368"/>
      <c r="C29" s="368"/>
      <c r="D29" s="134"/>
      <c r="E29" s="368"/>
      <c r="F29" s="368"/>
      <c r="G29" s="368"/>
      <c r="H29" s="134"/>
      <c r="I29" s="368"/>
      <c r="J29" s="368"/>
      <c r="K29" s="368"/>
    </row>
  </sheetData>
  <mergeCells count="28">
    <mergeCell ref="B1:K1"/>
    <mergeCell ref="B4:B5"/>
    <mergeCell ref="E4:E7"/>
    <mergeCell ref="F4:F7"/>
    <mergeCell ref="I4:I7"/>
    <mergeCell ref="J4:J7"/>
    <mergeCell ref="B6:B7"/>
    <mergeCell ref="C6:C7"/>
    <mergeCell ref="G6:G7"/>
    <mergeCell ref="K6:K7"/>
    <mergeCell ref="B15:B16"/>
    <mergeCell ref="E15:E18"/>
    <mergeCell ref="F15:F18"/>
    <mergeCell ref="I15:I18"/>
    <mergeCell ref="J15:J18"/>
    <mergeCell ref="B17:B18"/>
    <mergeCell ref="C17:C18"/>
    <mergeCell ref="G17:G18"/>
    <mergeCell ref="K17:K18"/>
    <mergeCell ref="B26:B27"/>
    <mergeCell ref="E26:E29"/>
    <mergeCell ref="F26:F29"/>
    <mergeCell ref="I26:I29"/>
    <mergeCell ref="J26:J29"/>
    <mergeCell ref="B28:B29"/>
    <mergeCell ref="C28:C29"/>
    <mergeCell ref="G28:G29"/>
    <mergeCell ref="K28:K29"/>
  </mergeCells>
  <pageMargins left="0.7" right="0.7" top="0.78740157499999996" bottom="0.78740157499999996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V68"/>
  <sheetViews>
    <sheetView zoomScaleNormal="100" workbookViewId="0">
      <pane xSplit="2" ySplit="1" topLeftCell="O38" activePane="bottomRight" state="frozen"/>
      <selection pane="topRight" activeCell="C1" sqref="C1"/>
      <selection pane="bottomLeft" activeCell="A2" sqref="A2"/>
      <selection pane="bottomRight" activeCell="R25" sqref="R25"/>
    </sheetView>
  </sheetViews>
  <sheetFormatPr defaultRowHeight="15" x14ac:dyDescent="0.25"/>
  <cols>
    <col min="1" max="1" width="3.140625" customWidth="1"/>
    <col min="2" max="2" width="19.42578125" customWidth="1"/>
    <col min="3" max="3" width="32.28515625" bestFit="1" customWidth="1"/>
    <col min="4" max="4" width="37.42578125" bestFit="1" customWidth="1"/>
    <col min="5" max="5" width="24.85546875" bestFit="1" customWidth="1"/>
    <col min="6" max="6" width="24.85546875" customWidth="1"/>
    <col min="7" max="7" width="31.28515625" bestFit="1" customWidth="1"/>
    <col min="8" max="8" width="37.42578125" bestFit="1" customWidth="1"/>
    <col min="9" max="9" width="24.85546875" bestFit="1" customWidth="1"/>
    <col min="10" max="10" width="24.85546875" customWidth="1"/>
    <col min="11" max="11" width="29.140625" bestFit="1" customWidth="1"/>
    <col min="12" max="12" width="37.42578125" bestFit="1" customWidth="1"/>
    <col min="13" max="13" width="24.85546875" bestFit="1" customWidth="1"/>
    <col min="14" max="14" width="24.85546875" customWidth="1"/>
    <col min="15" max="15" width="30.28515625" bestFit="1" customWidth="1"/>
    <col min="16" max="16" width="37.42578125" bestFit="1" customWidth="1"/>
    <col min="17" max="17" width="24.85546875" bestFit="1" customWidth="1"/>
    <col min="18" max="18" width="24.85546875" customWidth="1"/>
    <col min="19" max="19" width="33.28515625" bestFit="1" customWidth="1"/>
    <col min="20" max="20" width="37.5703125" bestFit="1" customWidth="1"/>
    <col min="21" max="21" width="24.85546875" bestFit="1" customWidth="1"/>
    <col min="22" max="22" width="24.5703125" customWidth="1"/>
  </cols>
  <sheetData>
    <row r="1" spans="2:22" ht="31.5" x14ac:dyDescent="0.5">
      <c r="B1" s="340" t="s">
        <v>289</v>
      </c>
      <c r="C1" s="340"/>
      <c r="D1" s="340"/>
      <c r="E1" s="340"/>
      <c r="F1" s="340"/>
      <c r="G1" s="340"/>
      <c r="H1" s="340"/>
      <c r="I1" s="340"/>
      <c r="J1" s="340"/>
      <c r="K1" s="340"/>
    </row>
    <row r="2" spans="2:22" x14ac:dyDescent="0.25">
      <c r="B2" s="70" t="s">
        <v>340</v>
      </c>
      <c r="C2" t="s">
        <v>341</v>
      </c>
      <c r="D2" t="s">
        <v>346</v>
      </c>
    </row>
    <row r="3" spans="2:22" ht="15.75" thickBot="1" x14ac:dyDescent="0.3"/>
    <row r="4" spans="2:22" x14ac:dyDescent="0.25">
      <c r="B4" s="341" t="s">
        <v>10</v>
      </c>
      <c r="C4" s="62" t="s">
        <v>14</v>
      </c>
      <c r="D4" s="65" t="s">
        <v>14</v>
      </c>
      <c r="E4" s="330" t="s">
        <v>354</v>
      </c>
      <c r="F4" s="324" t="s">
        <v>355</v>
      </c>
      <c r="G4" s="62" t="s">
        <v>14</v>
      </c>
      <c r="H4" s="65" t="s">
        <v>14</v>
      </c>
      <c r="I4" s="330" t="s">
        <v>354</v>
      </c>
      <c r="J4" s="324" t="s">
        <v>355</v>
      </c>
      <c r="K4" s="62" t="s">
        <v>14</v>
      </c>
      <c r="L4" s="65" t="s">
        <v>14</v>
      </c>
      <c r="M4" s="330" t="s">
        <v>354</v>
      </c>
      <c r="N4" s="324" t="s">
        <v>355</v>
      </c>
      <c r="O4" s="62" t="s">
        <v>14</v>
      </c>
      <c r="P4" s="65" t="s">
        <v>14</v>
      </c>
      <c r="Q4" s="330" t="s">
        <v>354</v>
      </c>
      <c r="R4" s="324" t="s">
        <v>355</v>
      </c>
      <c r="S4" s="62" t="s">
        <v>14</v>
      </c>
      <c r="T4" s="65" t="s">
        <v>14</v>
      </c>
      <c r="U4" s="330" t="s">
        <v>354</v>
      </c>
      <c r="V4" s="321" t="s">
        <v>355</v>
      </c>
    </row>
    <row r="5" spans="2:22" ht="15.75" thickBot="1" x14ac:dyDescent="0.3">
      <c r="B5" s="342"/>
      <c r="C5" s="63" t="s">
        <v>290</v>
      </c>
      <c r="D5" s="27" t="s">
        <v>291</v>
      </c>
      <c r="E5" s="331"/>
      <c r="F5" s="325"/>
      <c r="G5" s="63" t="s">
        <v>290</v>
      </c>
      <c r="H5" s="27" t="s">
        <v>291</v>
      </c>
      <c r="I5" s="331"/>
      <c r="J5" s="325"/>
      <c r="K5" s="63" t="s">
        <v>290</v>
      </c>
      <c r="L5" s="27" t="s">
        <v>291</v>
      </c>
      <c r="M5" s="331"/>
      <c r="N5" s="325"/>
      <c r="O5" s="63" t="s">
        <v>290</v>
      </c>
      <c r="P5" s="27" t="s">
        <v>291</v>
      </c>
      <c r="Q5" s="331"/>
      <c r="R5" s="325"/>
      <c r="S5" s="63" t="s">
        <v>290</v>
      </c>
      <c r="T5" s="27" t="s">
        <v>291</v>
      </c>
      <c r="U5" s="331"/>
      <c r="V5" s="322"/>
    </row>
    <row r="6" spans="2:22" ht="15.75" thickBot="1" x14ac:dyDescent="0.3">
      <c r="B6" s="346" t="s">
        <v>56</v>
      </c>
      <c r="C6" s="346" t="s">
        <v>57</v>
      </c>
      <c r="D6" s="16" t="s">
        <v>57</v>
      </c>
      <c r="E6" s="331"/>
      <c r="F6" s="326"/>
      <c r="G6" s="346" t="s">
        <v>58</v>
      </c>
      <c r="H6" s="16" t="s">
        <v>58</v>
      </c>
      <c r="I6" s="331"/>
      <c r="J6" s="326"/>
      <c r="K6" s="346" t="s">
        <v>59</v>
      </c>
      <c r="L6" s="16" t="s">
        <v>59</v>
      </c>
      <c r="M6" s="331"/>
      <c r="N6" s="326"/>
      <c r="O6" s="346" t="s">
        <v>60</v>
      </c>
      <c r="P6" s="16" t="s">
        <v>60</v>
      </c>
      <c r="Q6" s="331"/>
      <c r="R6" s="326"/>
      <c r="S6" s="346" t="s">
        <v>61</v>
      </c>
      <c r="T6" s="16" t="s">
        <v>61</v>
      </c>
      <c r="U6" s="331"/>
      <c r="V6" s="322"/>
    </row>
    <row r="7" spans="2:22" ht="30" customHeight="1" thickBot="1" x14ac:dyDescent="0.3">
      <c r="B7" s="347"/>
      <c r="C7" s="347"/>
      <c r="D7" s="22" t="s">
        <v>157</v>
      </c>
      <c r="E7" s="327"/>
      <c r="F7" s="327"/>
      <c r="G7" s="347"/>
      <c r="H7" s="22" t="s">
        <v>158</v>
      </c>
      <c r="I7" s="327"/>
      <c r="J7" s="327"/>
      <c r="K7" s="347"/>
      <c r="L7" s="22" t="s">
        <v>159</v>
      </c>
      <c r="M7" s="327"/>
      <c r="N7" s="327"/>
      <c r="O7" s="347"/>
      <c r="P7" s="89" t="s">
        <v>156</v>
      </c>
      <c r="Q7" s="327"/>
      <c r="R7" s="327"/>
      <c r="S7" s="347"/>
      <c r="T7" s="22" t="s">
        <v>160</v>
      </c>
      <c r="U7" s="327"/>
      <c r="V7" s="323"/>
    </row>
    <row r="8" spans="2:22" x14ac:dyDescent="0.25">
      <c r="B8" s="44">
        <v>1</v>
      </c>
      <c r="C8" s="154">
        <v>0.1</v>
      </c>
      <c r="D8" s="58">
        <f>P8*10000</f>
        <v>0.1</v>
      </c>
      <c r="E8" s="54">
        <f>C8-D8</f>
        <v>0</v>
      </c>
      <c r="F8" s="54">
        <f>(100*E8)/D8</f>
        <v>0</v>
      </c>
      <c r="G8" s="157">
        <v>1E-4</v>
      </c>
      <c r="H8" s="58">
        <f>P8*10</f>
        <v>1E-4</v>
      </c>
      <c r="I8" s="54">
        <f>G8-H8</f>
        <v>0</v>
      </c>
      <c r="J8" s="54">
        <f>(100*I8)/H8</f>
        <v>0</v>
      </c>
      <c r="K8" s="157">
        <v>0.01</v>
      </c>
      <c r="L8" s="58">
        <f>P8*1000</f>
        <v>0.01</v>
      </c>
      <c r="M8" s="54">
        <f>K8-L8</f>
        <v>0</v>
      </c>
      <c r="N8" s="54">
        <f>(100*M8)/L8</f>
        <v>0</v>
      </c>
      <c r="O8" s="157">
        <v>1.0000000000000001E-5</v>
      </c>
      <c r="P8" s="58">
        <f>B8/100000</f>
        <v>1.0000000000000001E-5</v>
      </c>
      <c r="Q8" s="54">
        <f>O8-P8</f>
        <v>0</v>
      </c>
      <c r="R8" s="54">
        <f>(100*Q8)/P8</f>
        <v>0</v>
      </c>
      <c r="S8" s="154">
        <v>10</v>
      </c>
      <c r="T8" s="58">
        <f>P8*1000000</f>
        <v>10</v>
      </c>
      <c r="U8" s="54">
        <f>S8-T8</f>
        <v>0</v>
      </c>
      <c r="V8" s="162">
        <f>(100*U8)/T8</f>
        <v>0</v>
      </c>
    </row>
    <row r="9" spans="2:22" x14ac:dyDescent="0.25">
      <c r="B9" s="47">
        <v>987</v>
      </c>
      <c r="C9" s="155">
        <v>98.7</v>
      </c>
      <c r="D9" s="26">
        <f t="shared" ref="D9:D13" si="0">P9*10000</f>
        <v>98.7</v>
      </c>
      <c r="E9" s="52">
        <f t="shared" ref="E9:E13" si="1">C9-D9</f>
        <v>0</v>
      </c>
      <c r="F9" s="52">
        <f t="shared" ref="F9:F13" si="2">(100*E9)/D9</f>
        <v>0</v>
      </c>
      <c r="G9" s="155">
        <v>9.8699999999999996E-2</v>
      </c>
      <c r="H9" s="26">
        <f t="shared" ref="H9:H13" si="3">P9*10</f>
        <v>9.870000000000001E-2</v>
      </c>
      <c r="I9" s="52">
        <f t="shared" ref="I9:I13" si="4">G9-H9</f>
        <v>0</v>
      </c>
      <c r="J9" s="52">
        <f t="shared" ref="J9:J13" si="5">(100*I9)/H9</f>
        <v>0</v>
      </c>
      <c r="K9" s="155">
        <v>9.8699999999999992</v>
      </c>
      <c r="L9" s="26">
        <f t="shared" ref="L9:L13" si="6">P9*1000</f>
        <v>9.870000000000001</v>
      </c>
      <c r="M9" s="52">
        <f t="shared" ref="M9:M13" si="7">K9-L9</f>
        <v>0</v>
      </c>
      <c r="N9" s="52">
        <f t="shared" ref="N9:N13" si="8">(100*M9)/L9</f>
        <v>0</v>
      </c>
      <c r="O9" s="155">
        <v>9.8700000000000003E-3</v>
      </c>
      <c r="P9" s="26">
        <f t="shared" ref="P9:P13" si="9">B9/100000</f>
        <v>9.8700000000000003E-3</v>
      </c>
      <c r="Q9" s="52">
        <f t="shared" ref="Q9:Q13" si="10">O9-P9</f>
        <v>0</v>
      </c>
      <c r="R9" s="52">
        <f t="shared" ref="R9:R13" si="11">(100*Q9)/P9</f>
        <v>0</v>
      </c>
      <c r="S9" s="155">
        <v>9870</v>
      </c>
      <c r="T9" s="26">
        <f t="shared" ref="T9:T13" si="12">P9*1000000</f>
        <v>9870</v>
      </c>
      <c r="U9" s="52">
        <f t="shared" ref="U9:U13" si="13">S9-T9</f>
        <v>0</v>
      </c>
      <c r="V9" s="153">
        <f t="shared" ref="V9:V13" si="14">(100*U9)/T9</f>
        <v>0</v>
      </c>
    </row>
    <row r="10" spans="2:22" x14ac:dyDescent="0.25">
      <c r="B10" s="47">
        <v>5987</v>
      </c>
      <c r="C10" s="155">
        <v>598.70000000000005</v>
      </c>
      <c r="D10" s="26">
        <f t="shared" si="0"/>
        <v>598.70000000000005</v>
      </c>
      <c r="E10" s="52">
        <f t="shared" si="1"/>
        <v>0</v>
      </c>
      <c r="F10" s="52">
        <f t="shared" si="2"/>
        <v>0</v>
      </c>
      <c r="G10" s="155">
        <v>0.59870000000000001</v>
      </c>
      <c r="H10" s="26">
        <f t="shared" si="3"/>
        <v>0.59870000000000001</v>
      </c>
      <c r="I10" s="52">
        <f t="shared" si="4"/>
        <v>0</v>
      </c>
      <c r="J10" s="52">
        <f t="shared" si="5"/>
        <v>0</v>
      </c>
      <c r="K10" s="159">
        <v>59.87</v>
      </c>
      <c r="L10" s="26">
        <f t="shared" si="6"/>
        <v>59.87</v>
      </c>
      <c r="M10" s="52">
        <f t="shared" si="7"/>
        <v>0</v>
      </c>
      <c r="N10" s="52">
        <f t="shared" si="8"/>
        <v>0</v>
      </c>
      <c r="O10" s="155">
        <v>5.987E-2</v>
      </c>
      <c r="P10" s="26">
        <f t="shared" si="9"/>
        <v>5.987E-2</v>
      </c>
      <c r="Q10" s="52">
        <f t="shared" si="10"/>
        <v>0</v>
      </c>
      <c r="R10" s="52">
        <f t="shared" si="11"/>
        <v>0</v>
      </c>
      <c r="S10" s="155">
        <v>59870</v>
      </c>
      <c r="T10" s="26">
        <f t="shared" si="12"/>
        <v>59870</v>
      </c>
      <c r="U10" s="52">
        <f t="shared" si="13"/>
        <v>0</v>
      </c>
      <c r="V10" s="153">
        <f t="shared" si="14"/>
        <v>0</v>
      </c>
    </row>
    <row r="11" spans="2:22" x14ac:dyDescent="0.25">
      <c r="B11" s="47">
        <v>4455667788</v>
      </c>
      <c r="C11" s="155">
        <v>445566779</v>
      </c>
      <c r="D11" s="26">
        <f t="shared" si="0"/>
        <v>445566778.80000001</v>
      </c>
      <c r="E11" s="52">
        <f t="shared" si="1"/>
        <v>0.19999998807907104</v>
      </c>
      <c r="F11" s="52">
        <f t="shared" si="2"/>
        <v>4.4886647208687954E-8</v>
      </c>
      <c r="G11" s="155">
        <v>445567</v>
      </c>
      <c r="H11" s="26">
        <f t="shared" si="3"/>
        <v>445566.77880000003</v>
      </c>
      <c r="I11" s="52">
        <f t="shared" si="4"/>
        <v>0.2211999999708496</v>
      </c>
      <c r="J11" s="52">
        <f t="shared" si="5"/>
        <v>4.9644634765317377E-5</v>
      </c>
      <c r="K11" s="155">
        <v>44556678</v>
      </c>
      <c r="L11" s="26">
        <f t="shared" si="6"/>
        <v>44556677.880000003</v>
      </c>
      <c r="M11" s="52">
        <f t="shared" si="7"/>
        <v>0.11999999731779099</v>
      </c>
      <c r="N11" s="52">
        <f t="shared" si="8"/>
        <v>2.6931989328507578E-7</v>
      </c>
      <c r="O11" s="155">
        <v>44556.7</v>
      </c>
      <c r="P11" s="26">
        <f t="shared" si="9"/>
        <v>44556.677880000003</v>
      </c>
      <c r="Q11" s="52">
        <f t="shared" si="10"/>
        <v>2.2119999994174577E-2</v>
      </c>
      <c r="R11" s="52">
        <f t="shared" si="11"/>
        <v>4.9644634758785513E-5</v>
      </c>
      <c r="S11" s="155">
        <v>44556677880</v>
      </c>
      <c r="T11" s="26">
        <f t="shared" si="12"/>
        <v>44556677880</v>
      </c>
      <c r="U11" s="52">
        <f t="shared" si="13"/>
        <v>0</v>
      </c>
      <c r="V11" s="153">
        <f t="shared" si="14"/>
        <v>0</v>
      </c>
    </row>
    <row r="12" spans="2:22" x14ac:dyDescent="0.25">
      <c r="B12" s="47">
        <v>-654</v>
      </c>
      <c r="C12" s="155">
        <v>-65.400000000000006</v>
      </c>
      <c r="D12" s="26">
        <f t="shared" si="0"/>
        <v>-65.399999999999991</v>
      </c>
      <c r="E12" s="52">
        <f t="shared" si="1"/>
        <v>0</v>
      </c>
      <c r="F12" s="52">
        <f t="shared" si="2"/>
        <v>0</v>
      </c>
      <c r="G12" s="155">
        <v>-6.54E-2</v>
      </c>
      <c r="H12" s="26">
        <f t="shared" si="3"/>
        <v>-6.54E-2</v>
      </c>
      <c r="I12" s="52">
        <f t="shared" si="4"/>
        <v>0</v>
      </c>
      <c r="J12" s="52">
        <f t="shared" si="5"/>
        <v>0</v>
      </c>
      <c r="K12" s="155">
        <v>-6.54</v>
      </c>
      <c r="L12" s="26">
        <f t="shared" si="6"/>
        <v>-6.54</v>
      </c>
      <c r="M12" s="52">
        <f t="shared" si="7"/>
        <v>0</v>
      </c>
      <c r="N12" s="52">
        <f t="shared" si="8"/>
        <v>0</v>
      </c>
      <c r="O12" s="155">
        <v>-6.5399999999999998E-3</v>
      </c>
      <c r="P12" s="26">
        <f t="shared" si="9"/>
        <v>-6.5399999999999998E-3</v>
      </c>
      <c r="Q12" s="52">
        <f t="shared" si="10"/>
        <v>0</v>
      </c>
      <c r="R12" s="52">
        <f t="shared" si="11"/>
        <v>0</v>
      </c>
      <c r="S12" s="155">
        <v>-6540</v>
      </c>
      <c r="T12" s="26">
        <f t="shared" si="12"/>
        <v>-6540</v>
      </c>
      <c r="U12" s="52">
        <f t="shared" si="13"/>
        <v>0</v>
      </c>
      <c r="V12" s="153">
        <f t="shared" si="14"/>
        <v>0</v>
      </c>
    </row>
    <row r="13" spans="2:22" ht="15.75" thickBot="1" x14ac:dyDescent="0.3">
      <c r="B13" s="74">
        <v>0.65469999999999995</v>
      </c>
      <c r="C13" s="158">
        <v>6.547E-2</v>
      </c>
      <c r="D13" s="59">
        <f t="shared" si="0"/>
        <v>6.5469999999999987E-2</v>
      </c>
      <c r="E13" s="57">
        <f t="shared" si="1"/>
        <v>0</v>
      </c>
      <c r="F13" s="57">
        <f t="shared" si="2"/>
        <v>0</v>
      </c>
      <c r="G13" s="158">
        <v>6.5469999999999995E-5</v>
      </c>
      <c r="H13" s="59">
        <f t="shared" si="3"/>
        <v>6.5469999999999995E-5</v>
      </c>
      <c r="I13" s="57">
        <f t="shared" si="4"/>
        <v>0</v>
      </c>
      <c r="J13" s="57">
        <f t="shared" si="5"/>
        <v>0</v>
      </c>
      <c r="K13" s="158">
        <v>6.5469999999999999E-3</v>
      </c>
      <c r="L13" s="59">
        <f t="shared" si="6"/>
        <v>6.546999999999999E-3</v>
      </c>
      <c r="M13" s="57">
        <f t="shared" si="7"/>
        <v>0</v>
      </c>
      <c r="N13" s="57">
        <f t="shared" si="8"/>
        <v>0</v>
      </c>
      <c r="O13" s="156">
        <v>6.5470000000000002E-6</v>
      </c>
      <c r="P13" s="59">
        <f t="shared" si="9"/>
        <v>6.5469999999999993E-6</v>
      </c>
      <c r="Q13" s="57">
        <f t="shared" si="10"/>
        <v>0</v>
      </c>
      <c r="R13" s="57">
        <f t="shared" si="11"/>
        <v>0</v>
      </c>
      <c r="S13" s="156">
        <v>6.5469999999999997</v>
      </c>
      <c r="T13" s="59">
        <f t="shared" si="12"/>
        <v>6.5469999999999997</v>
      </c>
      <c r="U13" s="57">
        <f t="shared" si="13"/>
        <v>0</v>
      </c>
      <c r="V13" s="163">
        <f t="shared" si="14"/>
        <v>0</v>
      </c>
    </row>
    <row r="14" spans="2:22" ht="15.75" thickBot="1" x14ac:dyDescent="0.3">
      <c r="C14" s="165"/>
      <c r="D14" s="165"/>
      <c r="E14" s="164"/>
      <c r="F14" s="164"/>
      <c r="G14" s="165"/>
      <c r="H14" s="165"/>
      <c r="I14" s="164"/>
      <c r="J14" s="164"/>
      <c r="K14" s="165"/>
      <c r="L14" s="165"/>
      <c r="M14" s="164"/>
      <c r="N14" s="164"/>
      <c r="O14" s="165"/>
      <c r="P14" s="165"/>
      <c r="Q14" s="164"/>
      <c r="R14" s="164"/>
      <c r="S14" s="165"/>
      <c r="T14" s="165"/>
      <c r="U14" s="164"/>
      <c r="V14" s="164"/>
    </row>
    <row r="15" spans="2:22" x14ac:dyDescent="0.25">
      <c r="B15" s="341" t="s">
        <v>10</v>
      </c>
      <c r="C15" s="166" t="s">
        <v>14</v>
      </c>
      <c r="D15" s="168" t="s">
        <v>14</v>
      </c>
      <c r="E15" s="343" t="s">
        <v>354</v>
      </c>
      <c r="F15" s="352" t="s">
        <v>355</v>
      </c>
      <c r="G15" s="166" t="s">
        <v>14</v>
      </c>
      <c r="H15" s="168" t="s">
        <v>14</v>
      </c>
      <c r="I15" s="343" t="s">
        <v>354</v>
      </c>
      <c r="J15" s="352" t="s">
        <v>355</v>
      </c>
      <c r="K15" s="166" t="s">
        <v>14</v>
      </c>
      <c r="L15" s="168" t="s">
        <v>14</v>
      </c>
      <c r="M15" s="343" t="s">
        <v>354</v>
      </c>
      <c r="N15" s="352" t="s">
        <v>355</v>
      </c>
      <c r="O15" s="166" t="s">
        <v>14</v>
      </c>
      <c r="P15" s="168" t="s">
        <v>14</v>
      </c>
      <c r="Q15" s="343" t="s">
        <v>354</v>
      </c>
      <c r="R15" s="352" t="s">
        <v>355</v>
      </c>
      <c r="S15" s="168" t="s">
        <v>14</v>
      </c>
      <c r="T15" s="168" t="s">
        <v>14</v>
      </c>
      <c r="U15" s="343" t="s">
        <v>354</v>
      </c>
      <c r="V15" s="357" t="s">
        <v>355</v>
      </c>
    </row>
    <row r="16" spans="2:22" ht="15.75" thickBot="1" x14ac:dyDescent="0.3">
      <c r="B16" s="342"/>
      <c r="C16" s="167" t="s">
        <v>290</v>
      </c>
      <c r="D16" s="169" t="s">
        <v>291</v>
      </c>
      <c r="E16" s="344"/>
      <c r="F16" s="353"/>
      <c r="G16" s="167" t="s">
        <v>290</v>
      </c>
      <c r="H16" s="169" t="s">
        <v>291</v>
      </c>
      <c r="I16" s="344"/>
      <c r="J16" s="353"/>
      <c r="K16" s="167" t="s">
        <v>290</v>
      </c>
      <c r="L16" s="169" t="s">
        <v>291</v>
      </c>
      <c r="M16" s="344"/>
      <c r="N16" s="353"/>
      <c r="O16" s="167" t="s">
        <v>290</v>
      </c>
      <c r="P16" s="169" t="s">
        <v>291</v>
      </c>
      <c r="Q16" s="344"/>
      <c r="R16" s="353"/>
      <c r="S16" s="169" t="s">
        <v>291</v>
      </c>
      <c r="T16" s="169" t="s">
        <v>291</v>
      </c>
      <c r="U16" s="344"/>
      <c r="V16" s="358"/>
    </row>
    <row r="17" spans="2:22" ht="15.75" thickBot="1" x14ac:dyDescent="0.3">
      <c r="B17" s="346" t="s">
        <v>57</v>
      </c>
      <c r="C17" s="363" t="s">
        <v>56</v>
      </c>
      <c r="D17" s="177" t="s">
        <v>56</v>
      </c>
      <c r="E17" s="344"/>
      <c r="F17" s="354"/>
      <c r="G17" s="363" t="s">
        <v>58</v>
      </c>
      <c r="H17" s="177" t="s">
        <v>58</v>
      </c>
      <c r="I17" s="344"/>
      <c r="J17" s="354"/>
      <c r="K17" s="363" t="s">
        <v>59</v>
      </c>
      <c r="L17" s="177" t="s">
        <v>59</v>
      </c>
      <c r="M17" s="344"/>
      <c r="N17" s="354"/>
      <c r="O17" s="363" t="s">
        <v>60</v>
      </c>
      <c r="P17" s="177" t="s">
        <v>60</v>
      </c>
      <c r="Q17" s="344"/>
      <c r="R17" s="354"/>
      <c r="S17" s="363" t="s">
        <v>61</v>
      </c>
      <c r="T17" s="177" t="s">
        <v>61</v>
      </c>
      <c r="U17" s="344"/>
      <c r="V17" s="358"/>
    </row>
    <row r="18" spans="2:22" ht="30.75" thickBot="1" x14ac:dyDescent="0.3">
      <c r="B18" s="347"/>
      <c r="C18" s="364"/>
      <c r="D18" s="208" t="s">
        <v>162</v>
      </c>
      <c r="E18" s="345"/>
      <c r="F18" s="345"/>
      <c r="G18" s="364"/>
      <c r="H18" s="208" t="s">
        <v>163</v>
      </c>
      <c r="I18" s="345"/>
      <c r="J18" s="345"/>
      <c r="K18" s="364"/>
      <c r="L18" s="208" t="s">
        <v>164</v>
      </c>
      <c r="M18" s="345"/>
      <c r="N18" s="345"/>
      <c r="O18" s="364"/>
      <c r="P18" s="210" t="s">
        <v>161</v>
      </c>
      <c r="Q18" s="345"/>
      <c r="R18" s="345"/>
      <c r="S18" s="364"/>
      <c r="T18" s="208" t="s">
        <v>165</v>
      </c>
      <c r="U18" s="345"/>
      <c r="V18" s="359"/>
    </row>
    <row r="19" spans="2:22" x14ac:dyDescent="0.25">
      <c r="B19" s="44">
        <v>1</v>
      </c>
      <c r="C19" s="154">
        <v>10</v>
      </c>
      <c r="D19" s="58">
        <f>P19*100000</f>
        <v>10</v>
      </c>
      <c r="E19" s="54">
        <f>C19-D19</f>
        <v>0</v>
      </c>
      <c r="F19" s="54">
        <f>(100*E19)/D19</f>
        <v>0</v>
      </c>
      <c r="G19" s="157">
        <v>1E-3</v>
      </c>
      <c r="H19" s="58">
        <f>P19*10</f>
        <v>1E-3</v>
      </c>
      <c r="I19" s="54">
        <f>G19-H19</f>
        <v>0</v>
      </c>
      <c r="J19" s="54">
        <f>(100*I19)/H19</f>
        <v>0</v>
      </c>
      <c r="K19" s="157">
        <v>0.1</v>
      </c>
      <c r="L19" s="58">
        <f>P19*1000</f>
        <v>0.1</v>
      </c>
      <c r="M19" s="54">
        <f>K19-L19</f>
        <v>0</v>
      </c>
      <c r="N19" s="54">
        <f>(100*M19)/L19</f>
        <v>0</v>
      </c>
      <c r="O19" s="157">
        <v>1E-4</v>
      </c>
      <c r="P19" s="58">
        <f>B19/10000</f>
        <v>1E-4</v>
      </c>
      <c r="Q19" s="54">
        <f>O19-P19</f>
        <v>0</v>
      </c>
      <c r="R19" s="54">
        <f>(100*Q19)/P19</f>
        <v>0</v>
      </c>
      <c r="S19" s="154">
        <v>100</v>
      </c>
      <c r="T19" s="58">
        <f>P19*1000000</f>
        <v>100</v>
      </c>
      <c r="U19" s="54">
        <f>S19-T19</f>
        <v>0</v>
      </c>
      <c r="V19" s="162">
        <f>(100*U19)/T19</f>
        <v>0</v>
      </c>
    </row>
    <row r="20" spans="2:22" x14ac:dyDescent="0.25">
      <c r="B20" s="47">
        <v>987</v>
      </c>
      <c r="C20" s="155">
        <v>9870</v>
      </c>
      <c r="D20" s="26">
        <f t="shared" ref="D20:D24" si="15">P20*100000</f>
        <v>9870</v>
      </c>
      <c r="E20" s="52">
        <f t="shared" ref="E20:E24" si="16">C20-D20</f>
        <v>0</v>
      </c>
      <c r="F20" s="52">
        <f t="shared" ref="F20:F24" si="17">(100*E20)/D20</f>
        <v>0</v>
      </c>
      <c r="G20" s="155">
        <v>0.98699999999999999</v>
      </c>
      <c r="H20" s="26">
        <f t="shared" ref="H20:H24" si="18">P20*10</f>
        <v>0.98699999999999999</v>
      </c>
      <c r="I20" s="52">
        <f t="shared" ref="I20:I24" si="19">G20-H20</f>
        <v>0</v>
      </c>
      <c r="J20" s="52">
        <f t="shared" ref="J20:J24" si="20">(100*I20)/H20</f>
        <v>0</v>
      </c>
      <c r="K20" s="155">
        <v>98.7</v>
      </c>
      <c r="L20" s="26">
        <f t="shared" ref="L20:L24" si="21">P20*1000</f>
        <v>98.7</v>
      </c>
      <c r="M20" s="52">
        <f t="shared" ref="M20:M24" si="22">K20-L20</f>
        <v>0</v>
      </c>
      <c r="N20" s="52">
        <f t="shared" ref="N20:N24" si="23">(100*M20)/L20</f>
        <v>0</v>
      </c>
      <c r="O20" s="155">
        <v>9.8699999999999996E-2</v>
      </c>
      <c r="P20" s="26">
        <f t="shared" ref="P20:P24" si="24">B20/10000</f>
        <v>9.8699999999999996E-2</v>
      </c>
      <c r="Q20" s="52">
        <f t="shared" ref="Q20:Q24" si="25">O20-P20</f>
        <v>0</v>
      </c>
      <c r="R20" s="52">
        <f t="shared" ref="R20:R24" si="26">(100*Q20)/P20</f>
        <v>0</v>
      </c>
      <c r="S20" s="155">
        <v>98700</v>
      </c>
      <c r="T20" s="26">
        <f t="shared" ref="T20:T24" si="27">P20*1000000</f>
        <v>98700</v>
      </c>
      <c r="U20" s="52">
        <f t="shared" ref="U20:U24" si="28">S20-T20</f>
        <v>0</v>
      </c>
      <c r="V20" s="153">
        <f t="shared" ref="V20:V24" si="29">(100*U20)/T20</f>
        <v>0</v>
      </c>
    </row>
    <row r="21" spans="2:22" x14ac:dyDescent="0.25">
      <c r="B21" s="47">
        <v>5987</v>
      </c>
      <c r="C21" s="155">
        <v>59870</v>
      </c>
      <c r="D21" s="26">
        <f t="shared" si="15"/>
        <v>59870</v>
      </c>
      <c r="E21" s="52">
        <f t="shared" si="16"/>
        <v>0</v>
      </c>
      <c r="F21" s="52">
        <f t="shared" si="17"/>
        <v>0</v>
      </c>
      <c r="G21" s="155">
        <v>5.9870000000000001</v>
      </c>
      <c r="H21" s="26">
        <f t="shared" si="18"/>
        <v>5.9870000000000001</v>
      </c>
      <c r="I21" s="52">
        <f t="shared" si="19"/>
        <v>0</v>
      </c>
      <c r="J21" s="52">
        <f t="shared" si="20"/>
        <v>0</v>
      </c>
      <c r="K21" s="159">
        <v>598.70000000000005</v>
      </c>
      <c r="L21" s="26">
        <f t="shared" si="21"/>
        <v>598.70000000000005</v>
      </c>
      <c r="M21" s="52">
        <f t="shared" si="22"/>
        <v>0</v>
      </c>
      <c r="N21" s="52">
        <f t="shared" si="23"/>
        <v>0</v>
      </c>
      <c r="O21" s="155">
        <v>0.59870000000000001</v>
      </c>
      <c r="P21" s="26">
        <f t="shared" si="24"/>
        <v>0.59870000000000001</v>
      </c>
      <c r="Q21" s="52">
        <f t="shared" si="25"/>
        <v>0</v>
      </c>
      <c r="R21" s="52">
        <f t="shared" si="26"/>
        <v>0</v>
      </c>
      <c r="S21" s="155">
        <v>598700</v>
      </c>
      <c r="T21" s="26">
        <f t="shared" si="27"/>
        <v>598700</v>
      </c>
      <c r="U21" s="52">
        <f t="shared" si="28"/>
        <v>0</v>
      </c>
      <c r="V21" s="153">
        <f t="shared" si="29"/>
        <v>0</v>
      </c>
    </row>
    <row r="22" spans="2:22" x14ac:dyDescent="0.25">
      <c r="B22" s="47">
        <v>4455667788</v>
      </c>
      <c r="C22" s="155">
        <v>44556677880</v>
      </c>
      <c r="D22" s="26">
        <f t="shared" si="15"/>
        <v>44556677880</v>
      </c>
      <c r="E22" s="52">
        <f t="shared" si="16"/>
        <v>0</v>
      </c>
      <c r="F22" s="52">
        <f t="shared" si="17"/>
        <v>0</v>
      </c>
      <c r="G22" s="155">
        <v>4455668</v>
      </c>
      <c r="H22" s="26">
        <f t="shared" si="18"/>
        <v>4455667.7879999997</v>
      </c>
      <c r="I22" s="52">
        <f t="shared" si="19"/>
        <v>0.21200000029057264</v>
      </c>
      <c r="J22" s="52">
        <f t="shared" si="20"/>
        <v>4.7579848942403393E-6</v>
      </c>
      <c r="K22" s="155">
        <v>445566779</v>
      </c>
      <c r="L22" s="26">
        <f t="shared" si="21"/>
        <v>445566778.79999995</v>
      </c>
      <c r="M22" s="52">
        <f t="shared" si="22"/>
        <v>0.20000004768371582</v>
      </c>
      <c r="N22" s="52">
        <f t="shared" si="23"/>
        <v>4.4886660585952069E-8</v>
      </c>
      <c r="O22" s="155">
        <v>445567</v>
      </c>
      <c r="P22" s="26">
        <f t="shared" si="24"/>
        <v>445566.77879999997</v>
      </c>
      <c r="Q22" s="52">
        <f t="shared" si="25"/>
        <v>0.22120000002905726</v>
      </c>
      <c r="R22" s="52">
        <f t="shared" si="26"/>
        <v>4.9644634778381119E-5</v>
      </c>
      <c r="S22" s="155">
        <v>445566778800</v>
      </c>
      <c r="T22" s="26">
        <f t="shared" si="27"/>
        <v>445566778800</v>
      </c>
      <c r="U22" s="52">
        <f t="shared" si="28"/>
        <v>0</v>
      </c>
      <c r="V22" s="153">
        <f t="shared" si="29"/>
        <v>0</v>
      </c>
    </row>
    <row r="23" spans="2:22" x14ac:dyDescent="0.25">
      <c r="B23" s="47">
        <v>-654</v>
      </c>
      <c r="C23" s="155">
        <v>-6540</v>
      </c>
      <c r="D23" s="26">
        <f t="shared" si="15"/>
        <v>-6540</v>
      </c>
      <c r="E23" s="52">
        <f t="shared" si="16"/>
        <v>0</v>
      </c>
      <c r="F23" s="52">
        <f t="shared" si="17"/>
        <v>0</v>
      </c>
      <c r="G23" s="155">
        <v>-0.65400000000000003</v>
      </c>
      <c r="H23" s="26">
        <f t="shared" si="18"/>
        <v>-0.65400000000000003</v>
      </c>
      <c r="I23" s="52">
        <f t="shared" si="19"/>
        <v>0</v>
      </c>
      <c r="J23" s="52">
        <f t="shared" si="20"/>
        <v>0</v>
      </c>
      <c r="K23" s="155">
        <v>-65.400000000000006</v>
      </c>
      <c r="L23" s="26">
        <f t="shared" si="21"/>
        <v>-65.400000000000006</v>
      </c>
      <c r="M23" s="52">
        <f t="shared" si="22"/>
        <v>0</v>
      </c>
      <c r="N23" s="52">
        <f t="shared" si="23"/>
        <v>0</v>
      </c>
      <c r="O23" s="155">
        <v>-6.54E-2</v>
      </c>
      <c r="P23" s="26">
        <f t="shared" si="24"/>
        <v>-6.54E-2</v>
      </c>
      <c r="Q23" s="52">
        <f t="shared" si="25"/>
        <v>0</v>
      </c>
      <c r="R23" s="52">
        <f t="shared" si="26"/>
        <v>0</v>
      </c>
      <c r="S23" s="155">
        <v>-65400</v>
      </c>
      <c r="T23" s="26">
        <f t="shared" si="27"/>
        <v>-65400</v>
      </c>
      <c r="U23" s="52">
        <f t="shared" si="28"/>
        <v>0</v>
      </c>
      <c r="V23" s="153">
        <f t="shared" si="29"/>
        <v>0</v>
      </c>
    </row>
    <row r="24" spans="2:22" ht="15.75" thickBot="1" x14ac:dyDescent="0.3">
      <c r="B24" s="74">
        <v>0.65469999999999995</v>
      </c>
      <c r="C24" s="158">
        <v>6.5469999999999997</v>
      </c>
      <c r="D24" s="59">
        <f t="shared" si="15"/>
        <v>6.5469999999999997</v>
      </c>
      <c r="E24" s="57">
        <f t="shared" si="16"/>
        <v>0</v>
      </c>
      <c r="F24" s="57">
        <f t="shared" si="17"/>
        <v>0</v>
      </c>
      <c r="G24" s="156">
        <v>6.5470000000000003E-4</v>
      </c>
      <c r="H24" s="59">
        <f t="shared" si="18"/>
        <v>6.5469999999999992E-4</v>
      </c>
      <c r="I24" s="57">
        <f t="shared" si="19"/>
        <v>0</v>
      </c>
      <c r="J24" s="57">
        <f t="shared" si="20"/>
        <v>0</v>
      </c>
      <c r="K24" s="156">
        <v>6.547E-2</v>
      </c>
      <c r="L24" s="59">
        <f t="shared" si="21"/>
        <v>6.547E-2</v>
      </c>
      <c r="M24" s="57">
        <f t="shared" si="22"/>
        <v>0</v>
      </c>
      <c r="N24" s="57">
        <f t="shared" si="23"/>
        <v>0</v>
      </c>
      <c r="O24" s="156">
        <v>6.5469999999999995E-5</v>
      </c>
      <c r="P24" s="59">
        <f t="shared" si="24"/>
        <v>6.5469999999999995E-5</v>
      </c>
      <c r="Q24" s="57">
        <f t="shared" si="25"/>
        <v>0</v>
      </c>
      <c r="R24" s="57">
        <f t="shared" si="26"/>
        <v>0</v>
      </c>
      <c r="S24" s="156">
        <v>65.47</v>
      </c>
      <c r="T24" s="59">
        <f t="shared" si="27"/>
        <v>65.47</v>
      </c>
      <c r="U24" s="57">
        <f t="shared" si="28"/>
        <v>0</v>
      </c>
      <c r="V24" s="163">
        <f t="shared" si="29"/>
        <v>0</v>
      </c>
    </row>
    <row r="25" spans="2:22" ht="15.75" thickBot="1" x14ac:dyDescent="0.3">
      <c r="C25" s="165"/>
      <c r="D25" s="165"/>
      <c r="E25" s="164"/>
      <c r="F25" s="164"/>
      <c r="G25" s="165"/>
      <c r="H25" s="165"/>
      <c r="I25" s="164"/>
      <c r="J25" s="164"/>
      <c r="K25" s="165"/>
      <c r="L25" s="165"/>
      <c r="M25" s="164"/>
      <c r="N25" s="164"/>
      <c r="O25" s="165"/>
      <c r="P25" s="165"/>
      <c r="Q25" s="164"/>
      <c r="R25" s="164"/>
      <c r="S25" s="165"/>
      <c r="T25" s="165"/>
      <c r="U25" s="164"/>
      <c r="V25" s="164"/>
    </row>
    <row r="26" spans="2:22" x14ac:dyDescent="0.25">
      <c r="B26" s="341" t="s">
        <v>10</v>
      </c>
      <c r="C26" s="166" t="s">
        <v>14</v>
      </c>
      <c r="D26" s="168" t="s">
        <v>14</v>
      </c>
      <c r="E26" s="343" t="s">
        <v>354</v>
      </c>
      <c r="F26" s="352" t="s">
        <v>355</v>
      </c>
      <c r="G26" s="166" t="s">
        <v>14</v>
      </c>
      <c r="H26" s="168" t="s">
        <v>14</v>
      </c>
      <c r="I26" s="343" t="s">
        <v>354</v>
      </c>
      <c r="J26" s="352" t="s">
        <v>355</v>
      </c>
      <c r="K26" s="166" t="s">
        <v>14</v>
      </c>
      <c r="L26" s="168" t="s">
        <v>14</v>
      </c>
      <c r="M26" s="343" t="s">
        <v>354</v>
      </c>
      <c r="N26" s="352" t="s">
        <v>355</v>
      </c>
      <c r="O26" s="166" t="s">
        <v>14</v>
      </c>
      <c r="P26" s="168" t="s">
        <v>14</v>
      </c>
      <c r="Q26" s="343" t="s">
        <v>354</v>
      </c>
      <c r="R26" s="352" t="s">
        <v>355</v>
      </c>
      <c r="S26" s="166" t="s">
        <v>14</v>
      </c>
      <c r="T26" s="168" t="s">
        <v>14</v>
      </c>
      <c r="U26" s="343" t="s">
        <v>354</v>
      </c>
      <c r="V26" s="357" t="s">
        <v>355</v>
      </c>
    </row>
    <row r="27" spans="2:22" ht="15.75" thickBot="1" x14ac:dyDescent="0.3">
      <c r="B27" s="342"/>
      <c r="C27" s="167" t="s">
        <v>290</v>
      </c>
      <c r="D27" s="169" t="s">
        <v>291</v>
      </c>
      <c r="E27" s="344"/>
      <c r="F27" s="353"/>
      <c r="G27" s="167" t="s">
        <v>290</v>
      </c>
      <c r="H27" s="169" t="s">
        <v>291</v>
      </c>
      <c r="I27" s="344"/>
      <c r="J27" s="353"/>
      <c r="K27" s="167" t="s">
        <v>290</v>
      </c>
      <c r="L27" s="169" t="s">
        <v>291</v>
      </c>
      <c r="M27" s="344"/>
      <c r="N27" s="353"/>
      <c r="O27" s="167" t="s">
        <v>290</v>
      </c>
      <c r="P27" s="169" t="s">
        <v>291</v>
      </c>
      <c r="Q27" s="344"/>
      <c r="R27" s="353"/>
      <c r="S27" s="167" t="s">
        <v>290</v>
      </c>
      <c r="T27" s="169" t="s">
        <v>291</v>
      </c>
      <c r="U27" s="344"/>
      <c r="V27" s="358"/>
    </row>
    <row r="28" spans="2:22" ht="15.75" thickBot="1" x14ac:dyDescent="0.3">
      <c r="B28" s="346" t="s">
        <v>58</v>
      </c>
      <c r="C28" s="363" t="s">
        <v>56</v>
      </c>
      <c r="D28" s="177" t="s">
        <v>56</v>
      </c>
      <c r="E28" s="344"/>
      <c r="F28" s="354"/>
      <c r="G28" s="363" t="s">
        <v>57</v>
      </c>
      <c r="H28" s="177" t="s">
        <v>57</v>
      </c>
      <c r="I28" s="344"/>
      <c r="J28" s="354"/>
      <c r="K28" s="363" t="s">
        <v>59</v>
      </c>
      <c r="L28" s="177" t="s">
        <v>59</v>
      </c>
      <c r="M28" s="344"/>
      <c r="N28" s="354"/>
      <c r="O28" s="363" t="s">
        <v>60</v>
      </c>
      <c r="P28" s="177" t="s">
        <v>60</v>
      </c>
      <c r="Q28" s="344"/>
      <c r="R28" s="354"/>
      <c r="S28" s="363" t="s">
        <v>61</v>
      </c>
      <c r="T28" s="177" t="s">
        <v>61</v>
      </c>
      <c r="U28" s="344"/>
      <c r="V28" s="358"/>
    </row>
    <row r="29" spans="2:22" ht="30.75" thickBot="1" x14ac:dyDescent="0.3">
      <c r="B29" s="347"/>
      <c r="C29" s="364"/>
      <c r="D29" s="208" t="s">
        <v>167</v>
      </c>
      <c r="E29" s="345"/>
      <c r="F29" s="345"/>
      <c r="G29" s="364"/>
      <c r="H29" s="208" t="s">
        <v>168</v>
      </c>
      <c r="I29" s="345"/>
      <c r="J29" s="345"/>
      <c r="K29" s="364"/>
      <c r="L29" s="208" t="s">
        <v>169</v>
      </c>
      <c r="M29" s="345"/>
      <c r="N29" s="345"/>
      <c r="O29" s="364"/>
      <c r="P29" s="210" t="s">
        <v>166</v>
      </c>
      <c r="Q29" s="345"/>
      <c r="R29" s="345"/>
      <c r="S29" s="364"/>
      <c r="T29" s="208" t="s">
        <v>170</v>
      </c>
      <c r="U29" s="345"/>
      <c r="V29" s="359"/>
    </row>
    <row r="30" spans="2:22" x14ac:dyDescent="0.25">
      <c r="B30" s="44">
        <v>1</v>
      </c>
      <c r="C30" s="154">
        <v>10000</v>
      </c>
      <c r="D30" s="58">
        <f>P30*100000</f>
        <v>10000</v>
      </c>
      <c r="E30" s="54">
        <f>C30-D30</f>
        <v>0</v>
      </c>
      <c r="F30" s="54">
        <f>(100*E30)/D30</f>
        <v>0</v>
      </c>
      <c r="G30" s="157">
        <v>1000</v>
      </c>
      <c r="H30" s="58">
        <f>P30*10000</f>
        <v>1000</v>
      </c>
      <c r="I30" s="54">
        <f>G30-H30</f>
        <v>0</v>
      </c>
      <c r="J30" s="54">
        <f>(100*I30)/H30</f>
        <v>0</v>
      </c>
      <c r="K30" s="157">
        <v>100</v>
      </c>
      <c r="L30" s="58">
        <f>P30*1000</f>
        <v>100</v>
      </c>
      <c r="M30" s="54">
        <f>K30-L30</f>
        <v>0</v>
      </c>
      <c r="N30" s="54">
        <f>(100*M30)/L30</f>
        <v>0</v>
      </c>
      <c r="O30" s="157">
        <v>0.1</v>
      </c>
      <c r="P30" s="58">
        <f>B30/10</f>
        <v>0.1</v>
      </c>
      <c r="Q30" s="54">
        <f>O30-P30</f>
        <v>0</v>
      </c>
      <c r="R30" s="54">
        <f>(100*Q30)/P30</f>
        <v>0</v>
      </c>
      <c r="S30" s="154">
        <v>100000</v>
      </c>
      <c r="T30" s="58">
        <f>P30*1000000</f>
        <v>100000</v>
      </c>
      <c r="U30" s="54">
        <f>S30-T30</f>
        <v>0</v>
      </c>
      <c r="V30" s="162">
        <f>(100*U30)/T30</f>
        <v>0</v>
      </c>
    </row>
    <row r="31" spans="2:22" x14ac:dyDescent="0.25">
      <c r="B31" s="47">
        <v>987</v>
      </c>
      <c r="C31" s="155">
        <v>9870000</v>
      </c>
      <c r="D31" s="26">
        <f t="shared" ref="D31:D35" si="30">P31*100000</f>
        <v>9870000</v>
      </c>
      <c r="E31" s="52">
        <f t="shared" ref="E31:E35" si="31">C31-D31</f>
        <v>0</v>
      </c>
      <c r="F31" s="52">
        <f t="shared" ref="F31:F35" si="32">(100*E31)/D31</f>
        <v>0</v>
      </c>
      <c r="G31" s="155">
        <v>987000</v>
      </c>
      <c r="H31" s="26">
        <f t="shared" ref="H31:H35" si="33">P31*10000</f>
        <v>987000</v>
      </c>
      <c r="I31" s="52">
        <f t="shared" ref="I31:I35" si="34">G31-H31</f>
        <v>0</v>
      </c>
      <c r="J31" s="52">
        <f t="shared" ref="J31:J35" si="35">(100*I31)/H31</f>
        <v>0</v>
      </c>
      <c r="K31" s="155">
        <v>98700</v>
      </c>
      <c r="L31" s="26">
        <f t="shared" ref="L31:L35" si="36">P31*1000</f>
        <v>98700</v>
      </c>
      <c r="M31" s="52">
        <f t="shared" ref="M31:M35" si="37">K31-L31</f>
        <v>0</v>
      </c>
      <c r="N31" s="52">
        <f t="shared" ref="N31:N35" si="38">(100*M31)/L31</f>
        <v>0</v>
      </c>
      <c r="O31" s="155">
        <v>98.7</v>
      </c>
      <c r="P31" s="26">
        <f t="shared" ref="P31:P35" si="39">B31/10</f>
        <v>98.7</v>
      </c>
      <c r="Q31" s="52">
        <f t="shared" ref="Q31:Q35" si="40">O31-P31</f>
        <v>0</v>
      </c>
      <c r="R31" s="52">
        <f t="shared" ref="R31:R35" si="41">(100*Q31)/P31</f>
        <v>0</v>
      </c>
      <c r="S31" s="159">
        <v>98700000</v>
      </c>
      <c r="T31" s="26">
        <f t="shared" ref="T31:T35" si="42">P31*1000000</f>
        <v>98700000</v>
      </c>
      <c r="U31" s="52">
        <f t="shared" ref="U31:U35" si="43">S31-T31</f>
        <v>0</v>
      </c>
      <c r="V31" s="153">
        <f t="shared" ref="V31:V35" si="44">(100*U31)/T31</f>
        <v>0</v>
      </c>
    </row>
    <row r="32" spans="2:22" x14ac:dyDescent="0.25">
      <c r="B32" s="47">
        <v>5987</v>
      </c>
      <c r="C32" s="155">
        <v>59870000</v>
      </c>
      <c r="D32" s="26">
        <f t="shared" si="30"/>
        <v>59870000.000000007</v>
      </c>
      <c r="E32" s="52">
        <f t="shared" si="31"/>
        <v>0</v>
      </c>
      <c r="F32" s="52">
        <f t="shared" si="32"/>
        <v>0</v>
      </c>
      <c r="G32" s="155">
        <v>5987000</v>
      </c>
      <c r="H32" s="26">
        <f t="shared" si="33"/>
        <v>5987000</v>
      </c>
      <c r="I32" s="52">
        <f t="shared" si="34"/>
        <v>0</v>
      </c>
      <c r="J32" s="52">
        <f t="shared" si="35"/>
        <v>0</v>
      </c>
      <c r="K32" s="159">
        <v>598700</v>
      </c>
      <c r="L32" s="26">
        <f t="shared" si="36"/>
        <v>598700</v>
      </c>
      <c r="M32" s="52">
        <f t="shared" si="37"/>
        <v>0</v>
      </c>
      <c r="N32" s="52">
        <f t="shared" si="38"/>
        <v>0</v>
      </c>
      <c r="O32" s="155">
        <v>598.70000000000005</v>
      </c>
      <c r="P32" s="26">
        <f t="shared" si="39"/>
        <v>598.70000000000005</v>
      </c>
      <c r="Q32" s="52">
        <f t="shared" si="40"/>
        <v>0</v>
      </c>
      <c r="R32" s="52">
        <f t="shared" si="41"/>
        <v>0</v>
      </c>
      <c r="S32" s="155">
        <v>598700000</v>
      </c>
      <c r="T32" s="26">
        <f t="shared" si="42"/>
        <v>598700000</v>
      </c>
      <c r="U32" s="52">
        <f t="shared" si="43"/>
        <v>0</v>
      </c>
      <c r="V32" s="153">
        <f t="shared" si="44"/>
        <v>0</v>
      </c>
    </row>
    <row r="33" spans="2:22" x14ac:dyDescent="0.25">
      <c r="B33" s="47">
        <v>4455667788</v>
      </c>
      <c r="C33" s="155">
        <v>44556677880000</v>
      </c>
      <c r="D33" s="26">
        <f t="shared" si="30"/>
        <v>44556677880000</v>
      </c>
      <c r="E33" s="52">
        <f t="shared" si="31"/>
        <v>0</v>
      </c>
      <c r="F33" s="52">
        <f t="shared" si="32"/>
        <v>0</v>
      </c>
      <c r="G33" s="155">
        <v>4455667788000</v>
      </c>
      <c r="H33" s="26">
        <f t="shared" si="33"/>
        <v>4455667788000</v>
      </c>
      <c r="I33" s="52">
        <f t="shared" si="34"/>
        <v>0</v>
      </c>
      <c r="J33" s="52">
        <f t="shared" si="35"/>
        <v>0</v>
      </c>
      <c r="K33" s="155">
        <v>445566778800</v>
      </c>
      <c r="L33" s="26">
        <f t="shared" si="36"/>
        <v>445566778800</v>
      </c>
      <c r="M33" s="52">
        <f t="shared" si="37"/>
        <v>0</v>
      </c>
      <c r="N33" s="52">
        <f t="shared" si="38"/>
        <v>0</v>
      </c>
      <c r="O33" s="155">
        <v>445566779</v>
      </c>
      <c r="P33" s="26">
        <f t="shared" si="39"/>
        <v>445566778.80000001</v>
      </c>
      <c r="Q33" s="52">
        <f t="shared" si="40"/>
        <v>0.19999998807907104</v>
      </c>
      <c r="R33" s="52">
        <f t="shared" si="41"/>
        <v>4.4886647208687954E-8</v>
      </c>
      <c r="S33" s="155">
        <v>445566778800000</v>
      </c>
      <c r="T33" s="26">
        <f t="shared" si="42"/>
        <v>445566778800000</v>
      </c>
      <c r="U33" s="52">
        <f t="shared" si="43"/>
        <v>0</v>
      </c>
      <c r="V33" s="153">
        <f t="shared" si="44"/>
        <v>0</v>
      </c>
    </row>
    <row r="34" spans="2:22" x14ac:dyDescent="0.25">
      <c r="B34" s="47">
        <v>-654</v>
      </c>
      <c r="C34" s="155">
        <v>-6540000</v>
      </c>
      <c r="D34" s="26">
        <f t="shared" si="30"/>
        <v>-6540000.0000000009</v>
      </c>
      <c r="E34" s="52">
        <f t="shared" si="31"/>
        <v>0</v>
      </c>
      <c r="F34" s="52">
        <f t="shared" si="32"/>
        <v>0</v>
      </c>
      <c r="G34" s="155">
        <v>-654000</v>
      </c>
      <c r="H34" s="26">
        <f t="shared" si="33"/>
        <v>-654000</v>
      </c>
      <c r="I34" s="52">
        <f t="shared" si="34"/>
        <v>0</v>
      </c>
      <c r="J34" s="52">
        <f t="shared" si="35"/>
        <v>0</v>
      </c>
      <c r="K34" s="155">
        <v>-65400</v>
      </c>
      <c r="L34" s="26">
        <f t="shared" si="36"/>
        <v>-65400.000000000007</v>
      </c>
      <c r="M34" s="52">
        <f t="shared" si="37"/>
        <v>0</v>
      </c>
      <c r="N34" s="52">
        <f t="shared" si="38"/>
        <v>0</v>
      </c>
      <c r="O34" s="155">
        <v>-65.400000000000006</v>
      </c>
      <c r="P34" s="26">
        <f t="shared" si="39"/>
        <v>-65.400000000000006</v>
      </c>
      <c r="Q34" s="52">
        <f t="shared" si="40"/>
        <v>0</v>
      </c>
      <c r="R34" s="52">
        <f t="shared" si="41"/>
        <v>0</v>
      </c>
      <c r="S34" s="155">
        <v>-65400000</v>
      </c>
      <c r="T34" s="26">
        <f t="shared" si="42"/>
        <v>-65400000.000000007</v>
      </c>
      <c r="U34" s="52">
        <f t="shared" si="43"/>
        <v>0</v>
      </c>
      <c r="V34" s="153">
        <f t="shared" si="44"/>
        <v>0</v>
      </c>
    </row>
    <row r="35" spans="2:22" ht="15.75" thickBot="1" x14ac:dyDescent="0.3">
      <c r="B35" s="74">
        <v>0.65469999999999995</v>
      </c>
      <c r="C35" s="158">
        <v>6547</v>
      </c>
      <c r="D35" s="59">
        <f t="shared" si="30"/>
        <v>6547</v>
      </c>
      <c r="E35" s="57">
        <f t="shared" si="31"/>
        <v>0</v>
      </c>
      <c r="F35" s="57">
        <f t="shared" si="32"/>
        <v>0</v>
      </c>
      <c r="G35" s="158">
        <v>654.70000000000005</v>
      </c>
      <c r="H35" s="59">
        <f t="shared" si="33"/>
        <v>654.70000000000005</v>
      </c>
      <c r="I35" s="57">
        <f t="shared" si="34"/>
        <v>0</v>
      </c>
      <c r="J35" s="57">
        <f t="shared" si="35"/>
        <v>0</v>
      </c>
      <c r="K35" s="158">
        <v>65.47</v>
      </c>
      <c r="L35" s="59">
        <f t="shared" si="36"/>
        <v>65.47</v>
      </c>
      <c r="M35" s="57">
        <f t="shared" si="37"/>
        <v>0</v>
      </c>
      <c r="N35" s="57">
        <f t="shared" si="38"/>
        <v>0</v>
      </c>
      <c r="O35" s="156">
        <v>6.547E-2</v>
      </c>
      <c r="P35" s="59">
        <f t="shared" si="39"/>
        <v>6.547E-2</v>
      </c>
      <c r="Q35" s="57">
        <f t="shared" si="40"/>
        <v>0</v>
      </c>
      <c r="R35" s="57">
        <f t="shared" si="41"/>
        <v>0</v>
      </c>
      <c r="S35" s="156">
        <v>65470</v>
      </c>
      <c r="T35" s="59">
        <f t="shared" si="42"/>
        <v>65470</v>
      </c>
      <c r="U35" s="57">
        <f t="shared" si="43"/>
        <v>0</v>
      </c>
      <c r="V35" s="163">
        <f t="shared" si="44"/>
        <v>0</v>
      </c>
    </row>
    <row r="36" spans="2:22" ht="15.75" thickBot="1" x14ac:dyDescent="0.3">
      <c r="C36" s="165"/>
      <c r="D36" s="165"/>
      <c r="E36" s="164"/>
      <c r="F36" s="164"/>
      <c r="G36" s="165"/>
      <c r="H36" s="165"/>
      <c r="I36" s="164"/>
      <c r="J36" s="164"/>
      <c r="K36" s="165"/>
      <c r="L36" s="165"/>
      <c r="M36" s="164"/>
      <c r="N36" s="164"/>
      <c r="O36" s="165"/>
      <c r="P36" s="165"/>
      <c r="Q36" s="164"/>
      <c r="R36" s="164"/>
      <c r="S36" s="165"/>
      <c r="T36" s="165"/>
      <c r="U36" s="164"/>
      <c r="V36" s="164"/>
    </row>
    <row r="37" spans="2:22" x14ac:dyDescent="0.25">
      <c r="B37" s="341" t="s">
        <v>10</v>
      </c>
      <c r="C37" s="166" t="s">
        <v>14</v>
      </c>
      <c r="D37" s="168" t="s">
        <v>14</v>
      </c>
      <c r="E37" s="343" t="s">
        <v>354</v>
      </c>
      <c r="F37" s="352" t="s">
        <v>355</v>
      </c>
      <c r="G37" s="166" t="s">
        <v>14</v>
      </c>
      <c r="H37" s="168" t="s">
        <v>14</v>
      </c>
      <c r="I37" s="343" t="s">
        <v>354</v>
      </c>
      <c r="J37" s="352" t="s">
        <v>355</v>
      </c>
      <c r="K37" s="166" t="s">
        <v>14</v>
      </c>
      <c r="L37" s="168" t="s">
        <v>14</v>
      </c>
      <c r="M37" s="343" t="s">
        <v>354</v>
      </c>
      <c r="N37" s="352" t="s">
        <v>355</v>
      </c>
      <c r="O37" s="166" t="s">
        <v>14</v>
      </c>
      <c r="P37" s="168" t="s">
        <v>14</v>
      </c>
      <c r="Q37" s="343" t="s">
        <v>354</v>
      </c>
      <c r="R37" s="352" t="s">
        <v>355</v>
      </c>
      <c r="S37" s="166" t="s">
        <v>14</v>
      </c>
      <c r="T37" s="168" t="s">
        <v>14</v>
      </c>
      <c r="U37" s="343" t="s">
        <v>354</v>
      </c>
      <c r="V37" s="357" t="s">
        <v>355</v>
      </c>
    </row>
    <row r="38" spans="2:22" ht="15.75" thickBot="1" x14ac:dyDescent="0.3">
      <c r="B38" s="342"/>
      <c r="C38" s="167" t="s">
        <v>290</v>
      </c>
      <c r="D38" s="169" t="s">
        <v>291</v>
      </c>
      <c r="E38" s="344"/>
      <c r="F38" s="353"/>
      <c r="G38" s="167" t="s">
        <v>290</v>
      </c>
      <c r="H38" s="169" t="s">
        <v>291</v>
      </c>
      <c r="I38" s="344"/>
      <c r="J38" s="353"/>
      <c r="K38" s="167" t="s">
        <v>290</v>
      </c>
      <c r="L38" s="169" t="s">
        <v>291</v>
      </c>
      <c r="M38" s="344"/>
      <c r="N38" s="353"/>
      <c r="O38" s="167" t="s">
        <v>290</v>
      </c>
      <c r="P38" s="169" t="s">
        <v>291</v>
      </c>
      <c r="Q38" s="344"/>
      <c r="R38" s="353"/>
      <c r="S38" s="167" t="s">
        <v>290</v>
      </c>
      <c r="T38" s="169" t="s">
        <v>291</v>
      </c>
      <c r="U38" s="344"/>
      <c r="V38" s="358"/>
    </row>
    <row r="39" spans="2:22" ht="15.75" thickBot="1" x14ac:dyDescent="0.3">
      <c r="B39" s="346" t="s">
        <v>59</v>
      </c>
      <c r="C39" s="363" t="s">
        <v>56</v>
      </c>
      <c r="D39" s="177" t="s">
        <v>56</v>
      </c>
      <c r="E39" s="344"/>
      <c r="F39" s="354"/>
      <c r="G39" s="363" t="s">
        <v>57</v>
      </c>
      <c r="H39" s="177" t="s">
        <v>57</v>
      </c>
      <c r="I39" s="344"/>
      <c r="J39" s="354"/>
      <c r="K39" s="363" t="s">
        <v>58</v>
      </c>
      <c r="L39" s="177" t="s">
        <v>58</v>
      </c>
      <c r="M39" s="344"/>
      <c r="N39" s="354"/>
      <c r="O39" s="363" t="s">
        <v>60</v>
      </c>
      <c r="P39" s="177" t="s">
        <v>60</v>
      </c>
      <c r="Q39" s="344"/>
      <c r="R39" s="354"/>
      <c r="S39" s="363" t="s">
        <v>61</v>
      </c>
      <c r="T39" s="177" t="s">
        <v>61</v>
      </c>
      <c r="U39" s="344"/>
      <c r="V39" s="358"/>
    </row>
    <row r="40" spans="2:22" ht="30.75" thickBot="1" x14ac:dyDescent="0.3">
      <c r="B40" s="347"/>
      <c r="C40" s="364"/>
      <c r="D40" s="208" t="s">
        <v>172</v>
      </c>
      <c r="E40" s="345"/>
      <c r="F40" s="345"/>
      <c r="G40" s="364"/>
      <c r="H40" s="208" t="s">
        <v>173</v>
      </c>
      <c r="I40" s="345"/>
      <c r="J40" s="345"/>
      <c r="K40" s="364"/>
      <c r="L40" s="208" t="s">
        <v>174</v>
      </c>
      <c r="M40" s="345"/>
      <c r="N40" s="345"/>
      <c r="O40" s="364"/>
      <c r="P40" s="210" t="s">
        <v>171</v>
      </c>
      <c r="Q40" s="345"/>
      <c r="R40" s="345"/>
      <c r="S40" s="364"/>
      <c r="T40" s="208" t="s">
        <v>175</v>
      </c>
      <c r="U40" s="345"/>
      <c r="V40" s="359"/>
    </row>
    <row r="41" spans="2:22" x14ac:dyDescent="0.25">
      <c r="B41" s="44">
        <v>1</v>
      </c>
      <c r="C41" s="154">
        <v>100</v>
      </c>
      <c r="D41" s="58">
        <f>P41*100000</f>
        <v>100</v>
      </c>
      <c r="E41" s="54">
        <f>C41-D41</f>
        <v>0</v>
      </c>
      <c r="F41" s="54">
        <f>(100*E41)/D41</f>
        <v>0</v>
      </c>
      <c r="G41" s="154">
        <v>10</v>
      </c>
      <c r="H41" s="58">
        <f>P41*10000</f>
        <v>10</v>
      </c>
      <c r="I41" s="54">
        <f>G41-H41</f>
        <v>0</v>
      </c>
      <c r="J41" s="54">
        <f>(100*I41)/H41</f>
        <v>0</v>
      </c>
      <c r="K41" s="154">
        <v>0.01</v>
      </c>
      <c r="L41" s="58">
        <f>P41*10</f>
        <v>0.01</v>
      </c>
      <c r="M41" s="54">
        <f>K41-L41</f>
        <v>0</v>
      </c>
      <c r="N41" s="54">
        <f>(100*M41)/L41</f>
        <v>0</v>
      </c>
      <c r="O41" s="157">
        <v>1E-3</v>
      </c>
      <c r="P41" s="58">
        <f>B41/1000</f>
        <v>1E-3</v>
      </c>
      <c r="Q41" s="54">
        <f>O41-P41</f>
        <v>0</v>
      </c>
      <c r="R41" s="54">
        <f>(100*Q41)/P41</f>
        <v>0</v>
      </c>
      <c r="S41" s="154">
        <v>1000</v>
      </c>
      <c r="T41" s="58">
        <f>P41*1000000</f>
        <v>1000</v>
      </c>
      <c r="U41" s="54">
        <f>S41-T41</f>
        <v>0</v>
      </c>
      <c r="V41" s="162">
        <f>(100*U41)/T41</f>
        <v>0</v>
      </c>
    </row>
    <row r="42" spans="2:22" x14ac:dyDescent="0.25">
      <c r="B42" s="47">
        <v>987</v>
      </c>
      <c r="C42" s="155">
        <v>98700</v>
      </c>
      <c r="D42" s="26">
        <f t="shared" ref="D42:D46" si="45">P42*100000</f>
        <v>98700</v>
      </c>
      <c r="E42" s="52">
        <f t="shared" ref="E42:E46" si="46">C42-D42</f>
        <v>0</v>
      </c>
      <c r="F42" s="52">
        <f t="shared" ref="F42:F46" si="47">(100*E42)/D42</f>
        <v>0</v>
      </c>
      <c r="G42" s="155">
        <v>9870</v>
      </c>
      <c r="H42" s="26">
        <f t="shared" ref="H42:H46" si="48">P42*10000</f>
        <v>9870</v>
      </c>
      <c r="I42" s="52">
        <f t="shared" ref="I42:I46" si="49">G42-H42</f>
        <v>0</v>
      </c>
      <c r="J42" s="52">
        <f t="shared" ref="J42:J46" si="50">(100*I42)/H42</f>
        <v>0</v>
      </c>
      <c r="K42" s="155">
        <v>9.8699999999999992</v>
      </c>
      <c r="L42" s="26">
        <f t="shared" ref="L42:L46" si="51">P42*10</f>
        <v>9.8699999999999992</v>
      </c>
      <c r="M42" s="52">
        <f t="shared" ref="M42:M46" si="52">K42-L42</f>
        <v>0</v>
      </c>
      <c r="N42" s="52">
        <f t="shared" ref="N42:N46" si="53">(100*M42)/L42</f>
        <v>0</v>
      </c>
      <c r="O42" s="155">
        <v>0.98699999999999999</v>
      </c>
      <c r="P42" s="26">
        <f t="shared" ref="P42:P46" si="54">B42/1000</f>
        <v>0.98699999999999999</v>
      </c>
      <c r="Q42" s="52">
        <f t="shared" ref="Q42:Q46" si="55">O42-P42</f>
        <v>0</v>
      </c>
      <c r="R42" s="52">
        <f t="shared" ref="R42:R46" si="56">(100*Q42)/P42</f>
        <v>0</v>
      </c>
      <c r="S42" s="159">
        <v>987000</v>
      </c>
      <c r="T42" s="26">
        <f t="shared" ref="T42:T46" si="57">P42*1000000</f>
        <v>987000</v>
      </c>
      <c r="U42" s="52">
        <f t="shared" ref="U42:U46" si="58">S42-T42</f>
        <v>0</v>
      </c>
      <c r="V42" s="153">
        <f t="shared" ref="V42:V46" si="59">(100*U42)/T42</f>
        <v>0</v>
      </c>
    </row>
    <row r="43" spans="2:22" x14ac:dyDescent="0.25">
      <c r="B43" s="47">
        <v>5987</v>
      </c>
      <c r="C43" s="155">
        <v>598700</v>
      </c>
      <c r="D43" s="26">
        <f t="shared" si="45"/>
        <v>598700</v>
      </c>
      <c r="E43" s="52">
        <f t="shared" si="46"/>
        <v>0</v>
      </c>
      <c r="F43" s="52">
        <f t="shared" si="47"/>
        <v>0</v>
      </c>
      <c r="G43" s="155">
        <v>59870</v>
      </c>
      <c r="H43" s="26">
        <f t="shared" si="48"/>
        <v>59870</v>
      </c>
      <c r="I43" s="52">
        <f t="shared" si="49"/>
        <v>0</v>
      </c>
      <c r="J43" s="52">
        <f t="shared" si="50"/>
        <v>0</v>
      </c>
      <c r="K43" s="159">
        <v>59.87</v>
      </c>
      <c r="L43" s="26">
        <f t="shared" si="51"/>
        <v>59.870000000000005</v>
      </c>
      <c r="M43" s="52">
        <f t="shared" si="52"/>
        <v>0</v>
      </c>
      <c r="N43" s="52">
        <f t="shared" si="53"/>
        <v>0</v>
      </c>
      <c r="O43" s="155">
        <v>5.9870000000000001</v>
      </c>
      <c r="P43" s="26">
        <f t="shared" si="54"/>
        <v>5.9870000000000001</v>
      </c>
      <c r="Q43" s="52">
        <f t="shared" si="55"/>
        <v>0</v>
      </c>
      <c r="R43" s="52">
        <f t="shared" si="56"/>
        <v>0</v>
      </c>
      <c r="S43" s="155">
        <v>5987000</v>
      </c>
      <c r="T43" s="26">
        <f t="shared" si="57"/>
        <v>5987000</v>
      </c>
      <c r="U43" s="52">
        <f t="shared" si="58"/>
        <v>0</v>
      </c>
      <c r="V43" s="153">
        <f t="shared" si="59"/>
        <v>0</v>
      </c>
    </row>
    <row r="44" spans="2:22" x14ac:dyDescent="0.25">
      <c r="B44" s="47">
        <v>4455667788</v>
      </c>
      <c r="C44" s="155">
        <v>445566778800</v>
      </c>
      <c r="D44" s="26">
        <f t="shared" si="45"/>
        <v>445566778800</v>
      </c>
      <c r="E44" s="52">
        <f t="shared" si="46"/>
        <v>0</v>
      </c>
      <c r="F44" s="52">
        <f t="shared" si="47"/>
        <v>0</v>
      </c>
      <c r="G44" s="155">
        <v>44556677880</v>
      </c>
      <c r="H44" s="26">
        <f t="shared" si="48"/>
        <v>44556677880</v>
      </c>
      <c r="I44" s="52">
        <f t="shared" si="49"/>
        <v>0</v>
      </c>
      <c r="J44" s="52">
        <f t="shared" si="50"/>
        <v>0</v>
      </c>
      <c r="K44" s="155">
        <v>44556678</v>
      </c>
      <c r="L44" s="26">
        <f t="shared" si="51"/>
        <v>44556677.879999995</v>
      </c>
      <c r="M44" s="52">
        <f t="shared" si="52"/>
        <v>0.12000000476837158</v>
      </c>
      <c r="N44" s="52">
        <f t="shared" si="53"/>
        <v>2.6931991000665601E-7</v>
      </c>
      <c r="O44" s="155">
        <v>4455668</v>
      </c>
      <c r="P44" s="26">
        <f t="shared" si="54"/>
        <v>4455667.7879999997</v>
      </c>
      <c r="Q44" s="52">
        <f t="shared" si="55"/>
        <v>0.21200000029057264</v>
      </c>
      <c r="R44" s="52">
        <f t="shared" si="56"/>
        <v>4.7579848942403393E-6</v>
      </c>
      <c r="S44" s="155">
        <v>4455667788000</v>
      </c>
      <c r="T44" s="26">
        <f t="shared" si="57"/>
        <v>4455667788000</v>
      </c>
      <c r="U44" s="52">
        <f t="shared" si="58"/>
        <v>0</v>
      </c>
      <c r="V44" s="153">
        <f t="shared" si="59"/>
        <v>0</v>
      </c>
    </row>
    <row r="45" spans="2:22" x14ac:dyDescent="0.25">
      <c r="B45" s="47">
        <v>-654</v>
      </c>
      <c r="C45" s="155">
        <v>-65400</v>
      </c>
      <c r="D45" s="26">
        <f t="shared" si="45"/>
        <v>-65400</v>
      </c>
      <c r="E45" s="52">
        <f t="shared" si="46"/>
        <v>0</v>
      </c>
      <c r="F45" s="52">
        <f t="shared" si="47"/>
        <v>0</v>
      </c>
      <c r="G45" s="155">
        <v>-6540</v>
      </c>
      <c r="H45" s="26">
        <f t="shared" si="48"/>
        <v>-6540</v>
      </c>
      <c r="I45" s="52">
        <f t="shared" si="49"/>
        <v>0</v>
      </c>
      <c r="J45" s="52">
        <f t="shared" si="50"/>
        <v>0</v>
      </c>
      <c r="K45" s="155">
        <v>-6.54</v>
      </c>
      <c r="L45" s="26">
        <f t="shared" si="51"/>
        <v>-6.54</v>
      </c>
      <c r="M45" s="52">
        <f t="shared" si="52"/>
        <v>0</v>
      </c>
      <c r="N45" s="52">
        <f t="shared" si="53"/>
        <v>0</v>
      </c>
      <c r="O45" s="155">
        <v>-0.65400000000000003</v>
      </c>
      <c r="P45" s="26">
        <f t="shared" si="54"/>
        <v>-0.65400000000000003</v>
      </c>
      <c r="Q45" s="52">
        <f t="shared" si="55"/>
        <v>0</v>
      </c>
      <c r="R45" s="52">
        <f t="shared" si="56"/>
        <v>0</v>
      </c>
      <c r="S45" s="155">
        <v>-654000</v>
      </c>
      <c r="T45" s="26">
        <f t="shared" si="57"/>
        <v>-654000</v>
      </c>
      <c r="U45" s="52">
        <f t="shared" si="58"/>
        <v>0</v>
      </c>
      <c r="V45" s="153">
        <f t="shared" si="59"/>
        <v>0</v>
      </c>
    </row>
    <row r="46" spans="2:22" ht="15.75" thickBot="1" x14ac:dyDescent="0.3">
      <c r="B46" s="74">
        <v>0.65469999999999995</v>
      </c>
      <c r="C46" s="158">
        <v>65.47</v>
      </c>
      <c r="D46" s="59">
        <f t="shared" si="45"/>
        <v>65.47</v>
      </c>
      <c r="E46" s="57">
        <f t="shared" si="46"/>
        <v>0</v>
      </c>
      <c r="F46" s="57">
        <f t="shared" si="47"/>
        <v>0</v>
      </c>
      <c r="G46" s="158">
        <v>6.5469999999999997</v>
      </c>
      <c r="H46" s="59">
        <f t="shared" si="48"/>
        <v>6.5469999999999988</v>
      </c>
      <c r="I46" s="57">
        <f t="shared" si="49"/>
        <v>0</v>
      </c>
      <c r="J46" s="57">
        <f t="shared" si="50"/>
        <v>0</v>
      </c>
      <c r="K46" s="158">
        <v>6.5469999999999999E-3</v>
      </c>
      <c r="L46" s="59">
        <f t="shared" si="51"/>
        <v>6.546999999999999E-3</v>
      </c>
      <c r="M46" s="57">
        <f t="shared" si="52"/>
        <v>0</v>
      </c>
      <c r="N46" s="57">
        <f t="shared" si="53"/>
        <v>0</v>
      </c>
      <c r="O46" s="156">
        <v>6.5470000000000003E-4</v>
      </c>
      <c r="P46" s="59">
        <f t="shared" si="54"/>
        <v>6.5469999999999992E-4</v>
      </c>
      <c r="Q46" s="57">
        <f t="shared" si="55"/>
        <v>0</v>
      </c>
      <c r="R46" s="57">
        <f t="shared" si="56"/>
        <v>0</v>
      </c>
      <c r="S46" s="156">
        <v>654.70000000000005</v>
      </c>
      <c r="T46" s="59">
        <f t="shared" si="57"/>
        <v>654.69999999999993</v>
      </c>
      <c r="U46" s="57">
        <f t="shared" si="58"/>
        <v>0</v>
      </c>
      <c r="V46" s="163">
        <f t="shared" si="59"/>
        <v>0</v>
      </c>
    </row>
    <row r="47" spans="2:22" ht="15.75" thickBot="1" x14ac:dyDescent="0.3">
      <c r="C47" s="165"/>
      <c r="D47" s="165"/>
      <c r="E47" s="164"/>
      <c r="F47" s="164"/>
      <c r="G47" s="165"/>
      <c r="H47" s="165"/>
      <c r="I47" s="164"/>
      <c r="J47" s="164"/>
      <c r="K47" s="165"/>
      <c r="L47" s="165"/>
      <c r="M47" s="164"/>
      <c r="N47" s="164"/>
      <c r="O47" s="165"/>
      <c r="P47" s="165"/>
      <c r="Q47" s="164"/>
      <c r="R47" s="164"/>
      <c r="S47" s="165"/>
      <c r="T47" s="165"/>
      <c r="U47" s="164"/>
      <c r="V47" s="164"/>
    </row>
    <row r="48" spans="2:22" x14ac:dyDescent="0.25">
      <c r="B48" s="341" t="s">
        <v>10</v>
      </c>
      <c r="C48" s="166" t="s">
        <v>14</v>
      </c>
      <c r="D48" s="168" t="s">
        <v>14</v>
      </c>
      <c r="E48" s="343" t="s">
        <v>354</v>
      </c>
      <c r="F48" s="352" t="s">
        <v>355</v>
      </c>
      <c r="G48" s="166" t="s">
        <v>14</v>
      </c>
      <c r="H48" s="168" t="s">
        <v>14</v>
      </c>
      <c r="I48" s="343" t="s">
        <v>354</v>
      </c>
      <c r="J48" s="352" t="s">
        <v>355</v>
      </c>
      <c r="K48" s="166" t="s">
        <v>14</v>
      </c>
      <c r="L48" s="168" t="s">
        <v>14</v>
      </c>
      <c r="M48" s="343" t="s">
        <v>354</v>
      </c>
      <c r="N48" s="352" t="s">
        <v>355</v>
      </c>
      <c r="O48" s="166" t="s">
        <v>14</v>
      </c>
      <c r="P48" s="168" t="s">
        <v>14</v>
      </c>
      <c r="Q48" s="343" t="s">
        <v>354</v>
      </c>
      <c r="R48" s="352" t="s">
        <v>355</v>
      </c>
      <c r="S48" s="166" t="s">
        <v>14</v>
      </c>
      <c r="T48" s="168" t="s">
        <v>14</v>
      </c>
      <c r="U48" s="343" t="s">
        <v>354</v>
      </c>
      <c r="V48" s="357" t="s">
        <v>355</v>
      </c>
    </row>
    <row r="49" spans="2:22" ht="15.75" thickBot="1" x14ac:dyDescent="0.3">
      <c r="B49" s="342"/>
      <c r="C49" s="167" t="s">
        <v>290</v>
      </c>
      <c r="D49" s="169" t="s">
        <v>291</v>
      </c>
      <c r="E49" s="344"/>
      <c r="F49" s="353"/>
      <c r="G49" s="167" t="s">
        <v>290</v>
      </c>
      <c r="H49" s="169" t="s">
        <v>291</v>
      </c>
      <c r="I49" s="344"/>
      <c r="J49" s="353"/>
      <c r="K49" s="167" t="s">
        <v>290</v>
      </c>
      <c r="L49" s="169" t="s">
        <v>291</v>
      </c>
      <c r="M49" s="344"/>
      <c r="N49" s="353"/>
      <c r="O49" s="167" t="s">
        <v>290</v>
      </c>
      <c r="P49" s="169" t="s">
        <v>291</v>
      </c>
      <c r="Q49" s="344"/>
      <c r="R49" s="353"/>
      <c r="S49" s="167" t="s">
        <v>290</v>
      </c>
      <c r="T49" s="169" t="s">
        <v>291</v>
      </c>
      <c r="U49" s="344"/>
      <c r="V49" s="358"/>
    </row>
    <row r="50" spans="2:22" ht="15.75" thickBot="1" x14ac:dyDescent="0.3">
      <c r="B50" s="346" t="s">
        <v>60</v>
      </c>
      <c r="C50" s="363" t="s">
        <v>56</v>
      </c>
      <c r="D50" s="177" t="s">
        <v>56</v>
      </c>
      <c r="E50" s="344"/>
      <c r="F50" s="354"/>
      <c r="G50" s="363" t="s">
        <v>57</v>
      </c>
      <c r="H50" s="177" t="s">
        <v>57</v>
      </c>
      <c r="I50" s="344"/>
      <c r="J50" s="354"/>
      <c r="K50" s="363" t="s">
        <v>58</v>
      </c>
      <c r="L50" s="177" t="s">
        <v>58</v>
      </c>
      <c r="M50" s="344"/>
      <c r="N50" s="354"/>
      <c r="O50" s="363" t="s">
        <v>59</v>
      </c>
      <c r="P50" s="177" t="s">
        <v>59</v>
      </c>
      <c r="Q50" s="344"/>
      <c r="R50" s="354"/>
      <c r="S50" s="363" t="s">
        <v>61</v>
      </c>
      <c r="T50" s="177" t="s">
        <v>61</v>
      </c>
      <c r="U50" s="344"/>
      <c r="V50" s="358"/>
    </row>
    <row r="51" spans="2:22" ht="15.75" thickBot="1" x14ac:dyDescent="0.3">
      <c r="B51" s="347"/>
      <c r="C51" s="364"/>
      <c r="D51" s="209" t="s">
        <v>176</v>
      </c>
      <c r="E51" s="345"/>
      <c r="F51" s="345"/>
      <c r="G51" s="364"/>
      <c r="H51" s="209" t="s">
        <v>177</v>
      </c>
      <c r="I51" s="345"/>
      <c r="J51" s="345"/>
      <c r="K51" s="364"/>
      <c r="L51" s="209" t="s">
        <v>178</v>
      </c>
      <c r="M51" s="345"/>
      <c r="N51" s="345"/>
      <c r="O51" s="364"/>
      <c r="P51" s="209" t="s">
        <v>179</v>
      </c>
      <c r="Q51" s="345"/>
      <c r="R51" s="345"/>
      <c r="S51" s="364"/>
      <c r="T51" s="209" t="s">
        <v>180</v>
      </c>
      <c r="U51" s="345"/>
      <c r="V51" s="359"/>
    </row>
    <row r="52" spans="2:22" x14ac:dyDescent="0.25">
      <c r="B52" s="44">
        <v>1</v>
      </c>
      <c r="C52" s="154">
        <v>100000</v>
      </c>
      <c r="D52" s="58">
        <f>B52*100000</f>
        <v>100000</v>
      </c>
      <c r="E52" s="54">
        <f>C52-D52</f>
        <v>0</v>
      </c>
      <c r="F52" s="54">
        <f>(100*E52)/D52</f>
        <v>0</v>
      </c>
      <c r="G52" s="154">
        <v>10000</v>
      </c>
      <c r="H52" s="58">
        <f>B52*10000</f>
        <v>10000</v>
      </c>
      <c r="I52" s="54">
        <f>G52-H52</f>
        <v>0</v>
      </c>
      <c r="J52" s="54">
        <f>(100*I52)/H52</f>
        <v>0</v>
      </c>
      <c r="K52" s="154">
        <v>10</v>
      </c>
      <c r="L52" s="58">
        <f>B52*10</f>
        <v>10</v>
      </c>
      <c r="M52" s="54">
        <f>K52-L52</f>
        <v>0</v>
      </c>
      <c r="N52" s="54">
        <f>(100*M52)/L52</f>
        <v>0</v>
      </c>
      <c r="O52" s="157">
        <v>1000</v>
      </c>
      <c r="P52" s="58">
        <f>B52*1000</f>
        <v>1000</v>
      </c>
      <c r="Q52" s="54">
        <f>O52-P52</f>
        <v>0</v>
      </c>
      <c r="R52" s="54">
        <f>(100*Q52)/P52</f>
        <v>0</v>
      </c>
      <c r="S52" s="154">
        <v>1000000</v>
      </c>
      <c r="T52" s="58">
        <f>B52*1000000</f>
        <v>1000000</v>
      </c>
      <c r="U52" s="54">
        <f>S52-T52</f>
        <v>0</v>
      </c>
      <c r="V52" s="162">
        <f>(100*U52)/T52</f>
        <v>0</v>
      </c>
    </row>
    <row r="53" spans="2:22" x14ac:dyDescent="0.25">
      <c r="B53" s="47">
        <v>987</v>
      </c>
      <c r="C53" s="155">
        <v>98700000</v>
      </c>
      <c r="D53" s="26">
        <f t="shared" ref="D53:D57" si="60">B53*100000</f>
        <v>98700000</v>
      </c>
      <c r="E53" s="52">
        <f t="shared" ref="E53:E57" si="61">C53-D53</f>
        <v>0</v>
      </c>
      <c r="F53" s="52">
        <f t="shared" ref="F53:F57" si="62">(100*E53)/D53</f>
        <v>0</v>
      </c>
      <c r="G53" s="155">
        <v>9870000</v>
      </c>
      <c r="H53" s="26">
        <f t="shared" ref="H53:H57" si="63">B53*10000</f>
        <v>9870000</v>
      </c>
      <c r="I53" s="52">
        <f t="shared" ref="I53:I57" si="64">G53-H53</f>
        <v>0</v>
      </c>
      <c r="J53" s="52">
        <f t="shared" ref="J53:J57" si="65">(100*I53)/H53</f>
        <v>0</v>
      </c>
      <c r="K53" s="155">
        <v>9870</v>
      </c>
      <c r="L53" s="26">
        <f t="shared" ref="L53:L57" si="66">B53*10</f>
        <v>9870</v>
      </c>
      <c r="M53" s="52">
        <f t="shared" ref="M53:M57" si="67">K53-L53</f>
        <v>0</v>
      </c>
      <c r="N53" s="52">
        <f t="shared" ref="N53:N57" si="68">(100*M53)/L53</f>
        <v>0</v>
      </c>
      <c r="O53" s="155">
        <v>987000</v>
      </c>
      <c r="P53" s="26">
        <f t="shared" ref="P53:P57" si="69">B53*1000</f>
        <v>987000</v>
      </c>
      <c r="Q53" s="52">
        <f t="shared" ref="Q53:Q57" si="70">O53-P53</f>
        <v>0</v>
      </c>
      <c r="R53" s="52">
        <f t="shared" ref="R53:R57" si="71">(100*Q53)/P53</f>
        <v>0</v>
      </c>
      <c r="S53" s="159">
        <v>987000000</v>
      </c>
      <c r="T53" s="26">
        <f t="shared" ref="T53:T57" si="72">B53*1000000</f>
        <v>987000000</v>
      </c>
      <c r="U53" s="52">
        <f t="shared" ref="U53:U57" si="73">S53-T53</f>
        <v>0</v>
      </c>
      <c r="V53" s="153">
        <f t="shared" ref="V53:V57" si="74">(100*U53)/T53</f>
        <v>0</v>
      </c>
    </row>
    <row r="54" spans="2:22" x14ac:dyDescent="0.25">
      <c r="B54" s="47">
        <v>5987</v>
      </c>
      <c r="C54" s="155">
        <v>598700000</v>
      </c>
      <c r="D54" s="26">
        <f t="shared" si="60"/>
        <v>598700000</v>
      </c>
      <c r="E54" s="52">
        <f t="shared" si="61"/>
        <v>0</v>
      </c>
      <c r="F54" s="52">
        <f t="shared" si="62"/>
        <v>0</v>
      </c>
      <c r="G54" s="155">
        <v>59870000</v>
      </c>
      <c r="H54" s="26">
        <f t="shared" si="63"/>
        <v>59870000</v>
      </c>
      <c r="I54" s="52">
        <f t="shared" si="64"/>
        <v>0</v>
      </c>
      <c r="J54" s="52">
        <f t="shared" si="65"/>
        <v>0</v>
      </c>
      <c r="K54" s="159">
        <v>59870</v>
      </c>
      <c r="L54" s="26">
        <f t="shared" si="66"/>
        <v>59870</v>
      </c>
      <c r="M54" s="52">
        <f t="shared" si="67"/>
        <v>0</v>
      </c>
      <c r="N54" s="52">
        <f t="shared" si="68"/>
        <v>0</v>
      </c>
      <c r="O54" s="155">
        <v>5987000</v>
      </c>
      <c r="P54" s="26">
        <f t="shared" si="69"/>
        <v>5987000</v>
      </c>
      <c r="Q54" s="52">
        <f t="shared" si="70"/>
        <v>0</v>
      </c>
      <c r="R54" s="52">
        <f t="shared" si="71"/>
        <v>0</v>
      </c>
      <c r="S54" s="155">
        <v>5987000000</v>
      </c>
      <c r="T54" s="26">
        <f t="shared" si="72"/>
        <v>5987000000</v>
      </c>
      <c r="U54" s="52">
        <f t="shared" si="73"/>
        <v>0</v>
      </c>
      <c r="V54" s="153">
        <f t="shared" si="74"/>
        <v>0</v>
      </c>
    </row>
    <row r="55" spans="2:22" x14ac:dyDescent="0.25">
      <c r="B55" s="47">
        <v>4455667788</v>
      </c>
      <c r="C55" s="155">
        <v>445566778800000</v>
      </c>
      <c r="D55" s="26">
        <f t="shared" si="60"/>
        <v>445566778800000</v>
      </c>
      <c r="E55" s="52">
        <f t="shared" si="61"/>
        <v>0</v>
      </c>
      <c r="F55" s="52">
        <f t="shared" si="62"/>
        <v>0</v>
      </c>
      <c r="G55" s="155">
        <v>44556677880000</v>
      </c>
      <c r="H55" s="26">
        <f t="shared" si="63"/>
        <v>44556677880000</v>
      </c>
      <c r="I55" s="52">
        <f t="shared" si="64"/>
        <v>0</v>
      </c>
      <c r="J55" s="52">
        <f t="shared" si="65"/>
        <v>0</v>
      </c>
      <c r="K55" s="155">
        <v>44556677880</v>
      </c>
      <c r="L55" s="26">
        <f t="shared" si="66"/>
        <v>44556677880</v>
      </c>
      <c r="M55" s="52">
        <f t="shared" si="67"/>
        <v>0</v>
      </c>
      <c r="N55" s="52">
        <f t="shared" si="68"/>
        <v>0</v>
      </c>
      <c r="O55" s="155">
        <v>4455667788000</v>
      </c>
      <c r="P55" s="26">
        <f t="shared" si="69"/>
        <v>4455667788000</v>
      </c>
      <c r="Q55" s="52">
        <f t="shared" si="70"/>
        <v>0</v>
      </c>
      <c r="R55" s="52">
        <f t="shared" si="71"/>
        <v>0</v>
      </c>
      <c r="S55" s="159">
        <v>4455667788000000</v>
      </c>
      <c r="T55" s="26">
        <f t="shared" si="72"/>
        <v>4455667788000000</v>
      </c>
      <c r="U55" s="52">
        <f t="shared" si="73"/>
        <v>0</v>
      </c>
      <c r="V55" s="153">
        <f t="shared" si="74"/>
        <v>0</v>
      </c>
    </row>
    <row r="56" spans="2:22" x14ac:dyDescent="0.25">
      <c r="B56" s="47">
        <v>-654</v>
      </c>
      <c r="C56" s="155">
        <v>-65400000</v>
      </c>
      <c r="D56" s="26">
        <f t="shared" si="60"/>
        <v>-65400000</v>
      </c>
      <c r="E56" s="52">
        <f t="shared" si="61"/>
        <v>0</v>
      </c>
      <c r="F56" s="52">
        <f t="shared" si="62"/>
        <v>0</v>
      </c>
      <c r="G56" s="155">
        <v>-6540000</v>
      </c>
      <c r="H56" s="26">
        <f t="shared" si="63"/>
        <v>-6540000</v>
      </c>
      <c r="I56" s="52">
        <f t="shared" si="64"/>
        <v>0</v>
      </c>
      <c r="J56" s="52">
        <f t="shared" si="65"/>
        <v>0</v>
      </c>
      <c r="K56" s="155">
        <v>-6540</v>
      </c>
      <c r="L56" s="26">
        <f t="shared" si="66"/>
        <v>-6540</v>
      </c>
      <c r="M56" s="52">
        <f t="shared" si="67"/>
        <v>0</v>
      </c>
      <c r="N56" s="52">
        <f t="shared" si="68"/>
        <v>0</v>
      </c>
      <c r="O56" s="155">
        <v>-654000</v>
      </c>
      <c r="P56" s="26">
        <f t="shared" si="69"/>
        <v>-654000</v>
      </c>
      <c r="Q56" s="52">
        <f t="shared" si="70"/>
        <v>0</v>
      </c>
      <c r="R56" s="52">
        <f t="shared" si="71"/>
        <v>0</v>
      </c>
      <c r="S56" s="155">
        <v>-654000000</v>
      </c>
      <c r="T56" s="26">
        <f t="shared" si="72"/>
        <v>-654000000</v>
      </c>
      <c r="U56" s="52">
        <f t="shared" si="73"/>
        <v>0</v>
      </c>
      <c r="V56" s="153">
        <f t="shared" si="74"/>
        <v>0</v>
      </c>
    </row>
    <row r="57" spans="2:22" ht="15.75" thickBot="1" x14ac:dyDescent="0.3">
      <c r="B57" s="74">
        <v>0.65469999999999995</v>
      </c>
      <c r="C57" s="158">
        <v>65470</v>
      </c>
      <c r="D57" s="59">
        <f t="shared" si="60"/>
        <v>65469.999999999993</v>
      </c>
      <c r="E57" s="57">
        <f t="shared" si="61"/>
        <v>0</v>
      </c>
      <c r="F57" s="57">
        <f t="shared" si="62"/>
        <v>0</v>
      </c>
      <c r="G57" s="158">
        <v>6547</v>
      </c>
      <c r="H57" s="59">
        <f t="shared" si="63"/>
        <v>6546.9999999999991</v>
      </c>
      <c r="I57" s="57">
        <f t="shared" si="64"/>
        <v>0</v>
      </c>
      <c r="J57" s="57">
        <f t="shared" si="65"/>
        <v>0</v>
      </c>
      <c r="K57" s="158">
        <v>6.5469999999999997</v>
      </c>
      <c r="L57" s="59">
        <f t="shared" si="66"/>
        <v>6.5469999999999997</v>
      </c>
      <c r="M57" s="57">
        <f t="shared" si="67"/>
        <v>0</v>
      </c>
      <c r="N57" s="57">
        <f t="shared" si="68"/>
        <v>0</v>
      </c>
      <c r="O57" s="156">
        <v>654.70000000000005</v>
      </c>
      <c r="P57" s="59">
        <f t="shared" si="69"/>
        <v>654.69999999999993</v>
      </c>
      <c r="Q57" s="57">
        <f t="shared" si="70"/>
        <v>0</v>
      </c>
      <c r="R57" s="57">
        <f t="shared" si="71"/>
        <v>0</v>
      </c>
      <c r="S57" s="156">
        <v>654700</v>
      </c>
      <c r="T57" s="59">
        <f t="shared" si="72"/>
        <v>654700</v>
      </c>
      <c r="U57" s="57">
        <f t="shared" si="73"/>
        <v>0</v>
      </c>
      <c r="V57" s="163">
        <f t="shared" si="74"/>
        <v>0</v>
      </c>
    </row>
    <row r="58" spans="2:22" ht="15.75" thickBot="1" x14ac:dyDescent="0.3">
      <c r="C58" s="165"/>
      <c r="D58" s="165"/>
      <c r="E58" s="164"/>
      <c r="F58" s="164"/>
      <c r="G58" s="165"/>
      <c r="H58" s="165"/>
      <c r="I58" s="164"/>
      <c r="J58" s="164"/>
      <c r="K58" s="165"/>
      <c r="L58" s="165"/>
      <c r="M58" s="164"/>
      <c r="N58" s="164"/>
      <c r="O58" s="165"/>
      <c r="P58" s="165"/>
      <c r="Q58" s="164"/>
      <c r="R58" s="164"/>
      <c r="S58" s="165"/>
      <c r="T58" s="165"/>
      <c r="U58" s="164"/>
      <c r="V58" s="164"/>
    </row>
    <row r="59" spans="2:22" x14ac:dyDescent="0.25">
      <c r="B59" s="341" t="s">
        <v>10</v>
      </c>
      <c r="C59" s="166" t="s">
        <v>14</v>
      </c>
      <c r="D59" s="168" t="s">
        <v>14</v>
      </c>
      <c r="E59" s="343" t="s">
        <v>354</v>
      </c>
      <c r="F59" s="352" t="s">
        <v>355</v>
      </c>
      <c r="G59" s="166" t="s">
        <v>14</v>
      </c>
      <c r="H59" s="168" t="s">
        <v>14</v>
      </c>
      <c r="I59" s="343" t="s">
        <v>354</v>
      </c>
      <c r="J59" s="352" t="s">
        <v>355</v>
      </c>
      <c r="K59" s="166" t="s">
        <v>14</v>
      </c>
      <c r="L59" s="168" t="s">
        <v>14</v>
      </c>
      <c r="M59" s="343" t="s">
        <v>354</v>
      </c>
      <c r="N59" s="352" t="s">
        <v>355</v>
      </c>
      <c r="O59" s="166" t="s">
        <v>14</v>
      </c>
      <c r="P59" s="168" t="s">
        <v>14</v>
      </c>
      <c r="Q59" s="343" t="s">
        <v>354</v>
      </c>
      <c r="R59" s="352" t="s">
        <v>355</v>
      </c>
      <c r="S59" s="166" t="s">
        <v>14</v>
      </c>
      <c r="T59" s="168" t="s">
        <v>14</v>
      </c>
      <c r="U59" s="343" t="s">
        <v>354</v>
      </c>
      <c r="V59" s="357" t="s">
        <v>355</v>
      </c>
    </row>
    <row r="60" spans="2:22" ht="15.75" thickBot="1" x14ac:dyDescent="0.3">
      <c r="B60" s="342"/>
      <c r="C60" s="167" t="s">
        <v>290</v>
      </c>
      <c r="D60" s="169" t="s">
        <v>291</v>
      </c>
      <c r="E60" s="344"/>
      <c r="F60" s="353"/>
      <c r="G60" s="167" t="s">
        <v>290</v>
      </c>
      <c r="H60" s="169" t="s">
        <v>291</v>
      </c>
      <c r="I60" s="344"/>
      <c r="J60" s="353"/>
      <c r="K60" s="167" t="s">
        <v>290</v>
      </c>
      <c r="L60" s="169" t="s">
        <v>291</v>
      </c>
      <c r="M60" s="344"/>
      <c r="N60" s="353"/>
      <c r="O60" s="167" t="s">
        <v>290</v>
      </c>
      <c r="P60" s="169" t="s">
        <v>291</v>
      </c>
      <c r="Q60" s="344"/>
      <c r="R60" s="353"/>
      <c r="S60" s="167" t="s">
        <v>290</v>
      </c>
      <c r="T60" s="169" t="s">
        <v>291</v>
      </c>
      <c r="U60" s="344"/>
      <c r="V60" s="358"/>
    </row>
    <row r="61" spans="2:22" ht="15.75" thickBot="1" x14ac:dyDescent="0.3">
      <c r="B61" s="346" t="s">
        <v>61</v>
      </c>
      <c r="C61" s="363" t="s">
        <v>56</v>
      </c>
      <c r="D61" s="177" t="s">
        <v>56</v>
      </c>
      <c r="E61" s="344"/>
      <c r="F61" s="354"/>
      <c r="G61" s="363" t="s">
        <v>57</v>
      </c>
      <c r="H61" s="177" t="s">
        <v>57</v>
      </c>
      <c r="I61" s="344"/>
      <c r="J61" s="354"/>
      <c r="K61" s="363" t="s">
        <v>58</v>
      </c>
      <c r="L61" s="177" t="s">
        <v>58</v>
      </c>
      <c r="M61" s="344"/>
      <c r="N61" s="354"/>
      <c r="O61" s="363" t="s">
        <v>59</v>
      </c>
      <c r="P61" s="177" t="s">
        <v>59</v>
      </c>
      <c r="Q61" s="344"/>
      <c r="R61" s="354"/>
      <c r="S61" s="363" t="s">
        <v>60</v>
      </c>
      <c r="T61" s="177" t="s">
        <v>60</v>
      </c>
      <c r="U61" s="344"/>
      <c r="V61" s="358"/>
    </row>
    <row r="62" spans="2:22" ht="30.75" thickBot="1" x14ac:dyDescent="0.3">
      <c r="B62" s="347"/>
      <c r="C62" s="364"/>
      <c r="D62" s="208" t="s">
        <v>182</v>
      </c>
      <c r="E62" s="345"/>
      <c r="F62" s="345"/>
      <c r="G62" s="364"/>
      <c r="H62" s="208" t="s">
        <v>183</v>
      </c>
      <c r="I62" s="345"/>
      <c r="J62" s="345"/>
      <c r="K62" s="364"/>
      <c r="L62" s="208" t="s">
        <v>184</v>
      </c>
      <c r="M62" s="345"/>
      <c r="N62" s="345"/>
      <c r="O62" s="364"/>
      <c r="P62" s="208" t="s">
        <v>185</v>
      </c>
      <c r="Q62" s="345"/>
      <c r="R62" s="345"/>
      <c r="S62" s="364"/>
      <c r="T62" s="210" t="s">
        <v>181</v>
      </c>
      <c r="U62" s="345"/>
      <c r="V62" s="359"/>
    </row>
    <row r="63" spans="2:22" x14ac:dyDescent="0.25">
      <c r="B63" s="44">
        <v>1</v>
      </c>
      <c r="C63" s="154">
        <v>0.1</v>
      </c>
      <c r="D63" s="58">
        <f>T63*100000</f>
        <v>9.9999999999999992E-2</v>
      </c>
      <c r="E63" s="54">
        <f>C63-D63</f>
        <v>0</v>
      </c>
      <c r="F63" s="54">
        <f>(100*E63)/D63</f>
        <v>0</v>
      </c>
      <c r="G63" s="154">
        <v>0.01</v>
      </c>
      <c r="H63" s="58">
        <f>T63*10000</f>
        <v>0.01</v>
      </c>
      <c r="I63" s="54">
        <f>G63-H63</f>
        <v>0</v>
      </c>
      <c r="J63" s="54">
        <f>(100*I63)/H63</f>
        <v>0</v>
      </c>
      <c r="K63" s="154">
        <v>1.0000000000000001E-5</v>
      </c>
      <c r="L63" s="58">
        <f>T63*10</f>
        <v>9.9999999999999991E-6</v>
      </c>
      <c r="M63" s="54">
        <f>K63-L63</f>
        <v>0</v>
      </c>
      <c r="N63" s="54">
        <f>(100*M63)/L63</f>
        <v>0</v>
      </c>
      <c r="O63" s="157">
        <v>1E-3</v>
      </c>
      <c r="P63" s="58">
        <f>T63*1000</f>
        <v>1E-3</v>
      </c>
      <c r="Q63" s="54">
        <f>O63-P63</f>
        <v>0</v>
      </c>
      <c r="R63" s="54">
        <f>(100*Q63)/P63</f>
        <v>0</v>
      </c>
      <c r="S63" s="154">
        <v>9.9999999999999995E-7</v>
      </c>
      <c r="T63" s="58">
        <f>B63/1000000</f>
        <v>9.9999999999999995E-7</v>
      </c>
      <c r="U63" s="54">
        <f>S63-T63</f>
        <v>0</v>
      </c>
      <c r="V63" s="162">
        <f>(100*U63)/T63</f>
        <v>0</v>
      </c>
    </row>
    <row r="64" spans="2:22" x14ac:dyDescent="0.25">
      <c r="B64" s="47">
        <v>987</v>
      </c>
      <c r="C64" s="155">
        <v>98.7</v>
      </c>
      <c r="D64" s="26">
        <f t="shared" ref="D64:D68" si="75">T64*100000</f>
        <v>98.7</v>
      </c>
      <c r="E64" s="52">
        <f t="shared" ref="E64:E68" si="76">C64-D64</f>
        <v>0</v>
      </c>
      <c r="F64" s="52">
        <f t="shared" ref="F64:F68" si="77">(100*E64)/D64</f>
        <v>0</v>
      </c>
      <c r="G64" s="155">
        <v>9.8699999999999992</v>
      </c>
      <c r="H64" s="26">
        <f t="shared" ref="H64:H68" si="78">T64*10000</f>
        <v>9.870000000000001</v>
      </c>
      <c r="I64" s="52">
        <f t="shared" ref="I64:I68" si="79">G64-H64</f>
        <v>0</v>
      </c>
      <c r="J64" s="52">
        <f t="shared" ref="J64:J68" si="80">(100*I64)/H64</f>
        <v>0</v>
      </c>
      <c r="K64" s="155">
        <v>9.8700000000000003E-3</v>
      </c>
      <c r="L64" s="26">
        <f t="shared" ref="L64:L68" si="81">T64*10</f>
        <v>9.8700000000000003E-3</v>
      </c>
      <c r="M64" s="52">
        <f t="shared" ref="M64:M68" si="82">K64-L64</f>
        <v>0</v>
      </c>
      <c r="N64" s="52">
        <f t="shared" ref="N64:N68" si="83">(100*M64)/L64</f>
        <v>0</v>
      </c>
      <c r="O64" s="155">
        <v>0.98699999999999999</v>
      </c>
      <c r="P64" s="26">
        <f t="shared" ref="P64:P68" si="84">T64*1000</f>
        <v>0.98699999999999999</v>
      </c>
      <c r="Q64" s="52">
        <f t="shared" ref="Q64:Q68" si="85">O64-P64</f>
        <v>0</v>
      </c>
      <c r="R64" s="52">
        <f t="shared" ref="R64:R68" si="86">(100*Q64)/P64</f>
        <v>0</v>
      </c>
      <c r="S64" s="159">
        <v>9.8700000000000003E-4</v>
      </c>
      <c r="T64" s="26">
        <f t="shared" ref="T64:T68" si="87">B64/1000000</f>
        <v>9.8700000000000003E-4</v>
      </c>
      <c r="U64" s="52">
        <f t="shared" ref="U64:U68" si="88">S64-T64</f>
        <v>0</v>
      </c>
      <c r="V64" s="153">
        <f t="shared" ref="V64:V68" si="89">(100*U64)/T64</f>
        <v>0</v>
      </c>
    </row>
    <row r="65" spans="2:22" x14ac:dyDescent="0.25">
      <c r="B65" s="47">
        <v>5987</v>
      </c>
      <c r="C65" s="155">
        <v>598.70000000000005</v>
      </c>
      <c r="D65" s="26">
        <f t="shared" si="75"/>
        <v>598.70000000000005</v>
      </c>
      <c r="E65" s="52">
        <f t="shared" si="76"/>
        <v>0</v>
      </c>
      <c r="F65" s="52">
        <f t="shared" si="77"/>
        <v>0</v>
      </c>
      <c r="G65" s="155">
        <v>59.87</v>
      </c>
      <c r="H65" s="26">
        <f t="shared" si="78"/>
        <v>59.870000000000005</v>
      </c>
      <c r="I65" s="52">
        <f t="shared" si="79"/>
        <v>0</v>
      </c>
      <c r="J65" s="52">
        <f t="shared" si="80"/>
        <v>0</v>
      </c>
      <c r="K65" s="159">
        <v>5.987E-2</v>
      </c>
      <c r="L65" s="26">
        <f t="shared" si="81"/>
        <v>5.987E-2</v>
      </c>
      <c r="M65" s="52">
        <f t="shared" si="82"/>
        <v>0</v>
      </c>
      <c r="N65" s="52">
        <f t="shared" si="83"/>
        <v>0</v>
      </c>
      <c r="O65" s="155">
        <v>5.9870000000000001</v>
      </c>
      <c r="P65" s="26">
        <f t="shared" si="84"/>
        <v>5.9870000000000001</v>
      </c>
      <c r="Q65" s="52">
        <f t="shared" si="85"/>
        <v>0</v>
      </c>
      <c r="R65" s="52">
        <f t="shared" si="86"/>
        <v>0</v>
      </c>
      <c r="S65" s="155">
        <v>5.9870000000000001E-3</v>
      </c>
      <c r="T65" s="26">
        <f t="shared" si="87"/>
        <v>5.9870000000000001E-3</v>
      </c>
      <c r="U65" s="52">
        <f t="shared" si="88"/>
        <v>0</v>
      </c>
      <c r="V65" s="153">
        <f t="shared" si="89"/>
        <v>0</v>
      </c>
    </row>
    <row r="66" spans="2:22" x14ac:dyDescent="0.25">
      <c r="B66" s="47">
        <v>4455667788</v>
      </c>
      <c r="C66" s="155">
        <v>445566779</v>
      </c>
      <c r="D66" s="26">
        <f t="shared" si="75"/>
        <v>445566778.79999995</v>
      </c>
      <c r="E66" s="52">
        <f t="shared" si="76"/>
        <v>0.20000004768371582</v>
      </c>
      <c r="F66" s="52">
        <f t="shared" si="77"/>
        <v>4.4886660585952069E-8</v>
      </c>
      <c r="G66" s="155">
        <v>44556678</v>
      </c>
      <c r="H66" s="26">
        <f t="shared" si="78"/>
        <v>44556677.879999995</v>
      </c>
      <c r="I66" s="52">
        <f t="shared" si="79"/>
        <v>0.12000000476837158</v>
      </c>
      <c r="J66" s="52">
        <f t="shared" si="80"/>
        <v>2.6931991000665601E-7</v>
      </c>
      <c r="K66" s="155">
        <v>44556.7</v>
      </c>
      <c r="L66" s="26">
        <f t="shared" si="81"/>
        <v>44556.677879999996</v>
      </c>
      <c r="M66" s="52">
        <f t="shared" si="82"/>
        <v>2.2120000001450535E-2</v>
      </c>
      <c r="N66" s="52">
        <f t="shared" si="83"/>
        <v>4.964463477511519E-5</v>
      </c>
      <c r="O66" s="155">
        <v>4455668</v>
      </c>
      <c r="P66" s="26">
        <f t="shared" si="84"/>
        <v>4455667.7879999997</v>
      </c>
      <c r="Q66" s="52">
        <f t="shared" si="85"/>
        <v>0.21200000029057264</v>
      </c>
      <c r="R66" s="52">
        <f t="shared" si="86"/>
        <v>4.7579848942403393E-6</v>
      </c>
      <c r="S66" s="155">
        <v>4455.67</v>
      </c>
      <c r="T66" s="26">
        <f t="shared" si="87"/>
        <v>4455.6677879999997</v>
      </c>
      <c r="U66" s="52">
        <f t="shared" si="88"/>
        <v>2.2120000003269524E-3</v>
      </c>
      <c r="V66" s="153">
        <f t="shared" si="89"/>
        <v>4.9644634779197604E-5</v>
      </c>
    </row>
    <row r="67" spans="2:22" x14ac:dyDescent="0.25">
      <c r="B67" s="47">
        <v>-654</v>
      </c>
      <c r="C67" s="155">
        <v>-65.400000000000006</v>
      </c>
      <c r="D67" s="26">
        <f t="shared" si="75"/>
        <v>-65.399999999999991</v>
      </c>
      <c r="E67" s="52">
        <f t="shared" si="76"/>
        <v>0</v>
      </c>
      <c r="F67" s="52">
        <f t="shared" si="77"/>
        <v>0</v>
      </c>
      <c r="G67" s="155">
        <v>-6.54</v>
      </c>
      <c r="H67" s="26">
        <f t="shared" si="78"/>
        <v>-6.5399999999999991</v>
      </c>
      <c r="I67" s="52">
        <f t="shared" si="79"/>
        <v>0</v>
      </c>
      <c r="J67" s="52">
        <f t="shared" si="80"/>
        <v>0</v>
      </c>
      <c r="K67" s="155">
        <v>-6.5399999999999998E-3</v>
      </c>
      <c r="L67" s="26">
        <f t="shared" si="81"/>
        <v>-6.5399999999999998E-3</v>
      </c>
      <c r="M67" s="52">
        <f t="shared" si="82"/>
        <v>0</v>
      </c>
      <c r="N67" s="52">
        <f t="shared" si="83"/>
        <v>0</v>
      </c>
      <c r="O67" s="155">
        <v>-0.65400000000000003</v>
      </c>
      <c r="P67" s="26">
        <f t="shared" si="84"/>
        <v>-0.65399999999999991</v>
      </c>
      <c r="Q67" s="52">
        <f t="shared" si="85"/>
        <v>0</v>
      </c>
      <c r="R67" s="52">
        <f t="shared" si="86"/>
        <v>0</v>
      </c>
      <c r="S67" s="155">
        <v>-6.5399999999999996E-4</v>
      </c>
      <c r="T67" s="26">
        <f t="shared" si="87"/>
        <v>-6.5399999999999996E-4</v>
      </c>
      <c r="U67" s="52">
        <f t="shared" si="88"/>
        <v>0</v>
      </c>
      <c r="V67" s="153">
        <f t="shared" si="89"/>
        <v>0</v>
      </c>
    </row>
    <row r="68" spans="2:22" ht="15.75" thickBot="1" x14ac:dyDescent="0.3">
      <c r="B68" s="74">
        <v>0.65469999999999995</v>
      </c>
      <c r="C68" s="158">
        <v>6.547E-2</v>
      </c>
      <c r="D68" s="59">
        <f t="shared" si="75"/>
        <v>6.547E-2</v>
      </c>
      <c r="E68" s="57">
        <f t="shared" si="76"/>
        <v>0</v>
      </c>
      <c r="F68" s="57">
        <f t="shared" si="77"/>
        <v>0</v>
      </c>
      <c r="G68" s="158">
        <v>6.5469999999999999E-3</v>
      </c>
      <c r="H68" s="59">
        <f t="shared" si="78"/>
        <v>6.5469999999999999E-3</v>
      </c>
      <c r="I68" s="57">
        <f t="shared" si="79"/>
        <v>0</v>
      </c>
      <c r="J68" s="57">
        <f t="shared" si="80"/>
        <v>0</v>
      </c>
      <c r="K68" s="156">
        <v>6.5470000000000002E-6</v>
      </c>
      <c r="L68" s="59">
        <f t="shared" si="81"/>
        <v>6.5469999999999993E-6</v>
      </c>
      <c r="M68" s="57">
        <f t="shared" si="82"/>
        <v>0</v>
      </c>
      <c r="N68" s="57">
        <f t="shared" si="83"/>
        <v>0</v>
      </c>
      <c r="O68" s="156">
        <v>6.5470000000000003E-4</v>
      </c>
      <c r="P68" s="59">
        <f t="shared" si="84"/>
        <v>6.5469999999999992E-4</v>
      </c>
      <c r="Q68" s="57">
        <f t="shared" si="85"/>
        <v>0</v>
      </c>
      <c r="R68" s="57">
        <f t="shared" si="86"/>
        <v>0</v>
      </c>
      <c r="S68" s="156">
        <v>6.5469999999999995E-7</v>
      </c>
      <c r="T68" s="59">
        <f t="shared" si="87"/>
        <v>6.5469999999999995E-7</v>
      </c>
      <c r="U68" s="57">
        <f t="shared" si="88"/>
        <v>0</v>
      </c>
      <c r="V68" s="163">
        <f t="shared" si="89"/>
        <v>0</v>
      </c>
    </row>
  </sheetData>
  <mergeCells count="103">
    <mergeCell ref="F59:F62"/>
    <mergeCell ref="J59:J62"/>
    <mergeCell ref="N59:N62"/>
    <mergeCell ref="R59:R62"/>
    <mergeCell ref="R4:R7"/>
    <mergeCell ref="R15:R18"/>
    <mergeCell ref="R26:R29"/>
    <mergeCell ref="R37:R40"/>
    <mergeCell ref="R48:R51"/>
    <mergeCell ref="M15:M18"/>
    <mergeCell ref="Q15:Q18"/>
    <mergeCell ref="M26:M29"/>
    <mergeCell ref="Q26:Q29"/>
    <mergeCell ref="M48:M51"/>
    <mergeCell ref="Q48:Q51"/>
    <mergeCell ref="M37:M40"/>
    <mergeCell ref="Q37:Q40"/>
    <mergeCell ref="V59:V62"/>
    <mergeCell ref="F4:F7"/>
    <mergeCell ref="F15:F18"/>
    <mergeCell ref="F26:F29"/>
    <mergeCell ref="F37:F40"/>
    <mergeCell ref="F48:F51"/>
    <mergeCell ref="J4:J7"/>
    <mergeCell ref="J15:J18"/>
    <mergeCell ref="J26:J29"/>
    <mergeCell ref="J37:J40"/>
    <mergeCell ref="J48:J51"/>
    <mergeCell ref="N4:N7"/>
    <mergeCell ref="N15:N18"/>
    <mergeCell ref="N26:N29"/>
    <mergeCell ref="N37:N40"/>
    <mergeCell ref="N48:N51"/>
    <mergeCell ref="V4:V7"/>
    <mergeCell ref="V15:V18"/>
    <mergeCell ref="V26:V29"/>
    <mergeCell ref="V37:V40"/>
    <mergeCell ref="V48:V51"/>
    <mergeCell ref="M4:M7"/>
    <mergeCell ref="Q4:Q7"/>
    <mergeCell ref="U4:U7"/>
    <mergeCell ref="E48:E51"/>
    <mergeCell ref="I48:I51"/>
    <mergeCell ref="B6:B7"/>
    <mergeCell ref="C6:C7"/>
    <mergeCell ref="C17:C18"/>
    <mergeCell ref="B1:K1"/>
    <mergeCell ref="B4:B5"/>
    <mergeCell ref="B15:B16"/>
    <mergeCell ref="B26:B27"/>
    <mergeCell ref="B37:B38"/>
    <mergeCell ref="E4:E7"/>
    <mergeCell ref="I4:I7"/>
    <mergeCell ref="E26:E29"/>
    <mergeCell ref="I26:I29"/>
    <mergeCell ref="E15:E18"/>
    <mergeCell ref="I15:I18"/>
    <mergeCell ref="C28:C29"/>
    <mergeCell ref="C39:C40"/>
    <mergeCell ref="C50:C51"/>
    <mergeCell ref="I37:I40"/>
    <mergeCell ref="U15:U18"/>
    <mergeCell ref="G6:G7"/>
    <mergeCell ref="K6:K7"/>
    <mergeCell ref="O6:O7"/>
    <mergeCell ref="S6:S7"/>
    <mergeCell ref="G17:G18"/>
    <mergeCell ref="K17:K18"/>
    <mergeCell ref="O17:O18"/>
    <mergeCell ref="S17:S18"/>
    <mergeCell ref="U37:U40"/>
    <mergeCell ref="G28:G29"/>
    <mergeCell ref="G39:G40"/>
    <mergeCell ref="K39:K40"/>
    <mergeCell ref="K28:K29"/>
    <mergeCell ref="O28:O29"/>
    <mergeCell ref="O39:O40"/>
    <mergeCell ref="S28:S29"/>
    <mergeCell ref="S39:S40"/>
    <mergeCell ref="C61:C62"/>
    <mergeCell ref="B17:B18"/>
    <mergeCell ref="B28:B29"/>
    <mergeCell ref="B39:B40"/>
    <mergeCell ref="B50:B51"/>
    <mergeCell ref="B61:B62"/>
    <mergeCell ref="B48:B49"/>
    <mergeCell ref="B59:B60"/>
    <mergeCell ref="U48:U51"/>
    <mergeCell ref="E59:E62"/>
    <mergeCell ref="I59:I62"/>
    <mergeCell ref="M59:M62"/>
    <mergeCell ref="Q59:Q62"/>
    <mergeCell ref="U59:U62"/>
    <mergeCell ref="G50:G51"/>
    <mergeCell ref="G61:G62"/>
    <mergeCell ref="K50:K51"/>
    <mergeCell ref="K61:K62"/>
    <mergeCell ref="O50:O51"/>
    <mergeCell ref="O61:O62"/>
    <mergeCell ref="S61:S62"/>
    <mergeCell ref="S50:S51"/>
    <mergeCell ref="U26:U29"/>
    <mergeCell ref="E37:E40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V68"/>
  <sheetViews>
    <sheetView workbookViewId="0">
      <pane xSplit="2" ySplit="1" topLeftCell="R2" activePane="bottomRight" state="frozen"/>
      <selection pane="topRight" activeCell="C1" sqref="C1"/>
      <selection pane="bottomLeft" activeCell="A2" sqref="A2"/>
      <selection pane="bottomRight" activeCell="B2" sqref="B2"/>
    </sheetView>
  </sheetViews>
  <sheetFormatPr defaultRowHeight="15" x14ac:dyDescent="0.25"/>
  <cols>
    <col min="1" max="1" width="4.5703125" customWidth="1"/>
    <col min="2" max="2" width="24.5703125" bestFit="1" customWidth="1"/>
    <col min="3" max="3" width="31.28515625" bestFit="1" customWidth="1"/>
    <col min="4" max="4" width="60.5703125" customWidth="1"/>
    <col min="5" max="5" width="23.7109375" bestFit="1" customWidth="1"/>
    <col min="6" max="6" width="23.7109375" customWidth="1"/>
    <col min="7" max="7" width="29.140625" bestFit="1" customWidth="1"/>
    <col min="8" max="8" width="59.28515625" customWidth="1"/>
    <col min="9" max="9" width="28.140625" customWidth="1"/>
    <col min="10" max="10" width="26.7109375" customWidth="1"/>
    <col min="11" max="11" width="33.28515625" bestFit="1" customWidth="1"/>
    <col min="12" max="12" width="59.85546875" bestFit="1" customWidth="1"/>
    <col min="13" max="14" width="26.85546875" customWidth="1"/>
    <col min="15" max="15" width="32.28515625" bestFit="1" customWidth="1"/>
    <col min="16" max="16" width="61.140625" customWidth="1"/>
    <col min="17" max="18" width="28.5703125" customWidth="1"/>
    <col min="19" max="19" width="30.28515625" bestFit="1" customWidth="1"/>
    <col min="20" max="20" width="61.140625" customWidth="1"/>
    <col min="21" max="21" width="23.7109375" bestFit="1" customWidth="1"/>
    <col min="22" max="22" width="25" customWidth="1"/>
  </cols>
  <sheetData>
    <row r="1" spans="2:22" ht="31.5" x14ac:dyDescent="0.5">
      <c r="B1" s="340" t="s">
        <v>289</v>
      </c>
      <c r="C1" s="340"/>
      <c r="D1" s="340"/>
      <c r="E1" s="340"/>
      <c r="F1" s="340"/>
      <c r="G1" s="340"/>
      <c r="H1" s="340"/>
      <c r="I1" s="340"/>
      <c r="J1" s="340"/>
      <c r="K1" s="340"/>
    </row>
    <row r="2" spans="2:22" x14ac:dyDescent="0.25">
      <c r="B2" s="70" t="s">
        <v>340</v>
      </c>
      <c r="C2" t="s">
        <v>341</v>
      </c>
      <c r="D2" t="s">
        <v>347</v>
      </c>
    </row>
    <row r="3" spans="2:22" ht="15.75" thickBot="1" x14ac:dyDescent="0.3"/>
    <row r="4" spans="2:22" x14ac:dyDescent="0.25">
      <c r="B4" s="341" t="s">
        <v>10</v>
      </c>
      <c r="C4" s="62" t="s">
        <v>14</v>
      </c>
      <c r="D4" s="65" t="s">
        <v>14</v>
      </c>
      <c r="E4" s="330" t="s">
        <v>354</v>
      </c>
      <c r="F4" s="324" t="s">
        <v>355</v>
      </c>
      <c r="G4" s="62" t="s">
        <v>14</v>
      </c>
      <c r="H4" s="65" t="s">
        <v>14</v>
      </c>
      <c r="I4" s="330" t="s">
        <v>354</v>
      </c>
      <c r="J4" s="324" t="s">
        <v>355</v>
      </c>
      <c r="K4" s="62" t="s">
        <v>14</v>
      </c>
      <c r="L4" s="65" t="s">
        <v>14</v>
      </c>
      <c r="M4" s="330" t="s">
        <v>354</v>
      </c>
      <c r="N4" s="324" t="s">
        <v>355</v>
      </c>
      <c r="O4" s="62" t="s">
        <v>14</v>
      </c>
      <c r="P4" s="65" t="s">
        <v>14</v>
      </c>
      <c r="Q4" s="330" t="s">
        <v>354</v>
      </c>
      <c r="R4" s="324" t="s">
        <v>355</v>
      </c>
      <c r="S4" s="62" t="s">
        <v>14</v>
      </c>
      <c r="T4" s="65" t="s">
        <v>14</v>
      </c>
      <c r="U4" s="330" t="s">
        <v>354</v>
      </c>
      <c r="V4" s="321" t="s">
        <v>355</v>
      </c>
    </row>
    <row r="5" spans="2:22" ht="15.75" thickBot="1" x14ac:dyDescent="0.3">
      <c r="B5" s="342"/>
      <c r="C5" s="63" t="s">
        <v>290</v>
      </c>
      <c r="D5" s="27" t="s">
        <v>291</v>
      </c>
      <c r="E5" s="331"/>
      <c r="F5" s="325"/>
      <c r="G5" s="63" t="s">
        <v>290</v>
      </c>
      <c r="H5" s="27" t="s">
        <v>291</v>
      </c>
      <c r="I5" s="331"/>
      <c r="J5" s="325"/>
      <c r="K5" s="63" t="s">
        <v>290</v>
      </c>
      <c r="L5" s="27" t="s">
        <v>291</v>
      </c>
      <c r="M5" s="331"/>
      <c r="N5" s="325"/>
      <c r="O5" s="63" t="s">
        <v>290</v>
      </c>
      <c r="P5" s="27" t="s">
        <v>291</v>
      </c>
      <c r="Q5" s="331"/>
      <c r="R5" s="325"/>
      <c r="S5" s="63" t="s">
        <v>290</v>
      </c>
      <c r="T5" s="27" t="s">
        <v>291</v>
      </c>
      <c r="U5" s="331"/>
      <c r="V5" s="322"/>
    </row>
    <row r="6" spans="2:22" ht="15.75" thickBot="1" x14ac:dyDescent="0.3">
      <c r="B6" s="346" t="s">
        <v>62</v>
      </c>
      <c r="C6" s="346" t="s">
        <v>63</v>
      </c>
      <c r="D6" s="16" t="s">
        <v>63</v>
      </c>
      <c r="E6" s="331"/>
      <c r="F6" s="326"/>
      <c r="G6" s="346" t="s">
        <v>64</v>
      </c>
      <c r="H6" s="16" t="s">
        <v>64</v>
      </c>
      <c r="I6" s="331"/>
      <c r="J6" s="326"/>
      <c r="K6" s="346" t="s">
        <v>65</v>
      </c>
      <c r="L6" s="16" t="s">
        <v>65</v>
      </c>
      <c r="M6" s="331"/>
      <c r="N6" s="326"/>
      <c r="O6" s="346" t="s">
        <v>66</v>
      </c>
      <c r="P6" s="16" t="s">
        <v>66</v>
      </c>
      <c r="Q6" s="331"/>
      <c r="R6" s="326"/>
      <c r="S6" s="346" t="s">
        <v>67</v>
      </c>
      <c r="T6" s="16" t="s">
        <v>67</v>
      </c>
      <c r="U6" s="331"/>
      <c r="V6" s="322"/>
    </row>
    <row r="7" spans="2:22" ht="30.75" thickBot="1" x14ac:dyDescent="0.3">
      <c r="B7" s="347"/>
      <c r="C7" s="347"/>
      <c r="D7" s="22" t="s">
        <v>187</v>
      </c>
      <c r="E7" s="327"/>
      <c r="F7" s="327"/>
      <c r="G7" s="347"/>
      <c r="H7" s="89" t="s">
        <v>186</v>
      </c>
      <c r="I7" s="327"/>
      <c r="J7" s="327"/>
      <c r="K7" s="347"/>
      <c r="L7" s="22" t="s">
        <v>188</v>
      </c>
      <c r="M7" s="327"/>
      <c r="N7" s="327"/>
      <c r="O7" s="347"/>
      <c r="P7" s="22" t="s">
        <v>189</v>
      </c>
      <c r="Q7" s="327"/>
      <c r="R7" s="327"/>
      <c r="S7" s="347"/>
      <c r="T7" s="22" t="s">
        <v>190</v>
      </c>
      <c r="U7" s="327"/>
      <c r="V7" s="323"/>
    </row>
    <row r="8" spans="2:22" x14ac:dyDescent="0.25">
      <c r="B8" s="44">
        <v>1</v>
      </c>
      <c r="C8" s="154">
        <v>0.01</v>
      </c>
      <c r="D8" s="58">
        <f>H8*100</f>
        <v>0.01</v>
      </c>
      <c r="E8" s="54">
        <f>C8-D8</f>
        <v>0</v>
      </c>
      <c r="F8" s="54">
        <f>(100*E8)/D8</f>
        <v>0</v>
      </c>
      <c r="G8" s="154">
        <v>1E-4</v>
      </c>
      <c r="H8" s="58">
        <f>B8/10000</f>
        <v>1E-4</v>
      </c>
      <c r="I8" s="54">
        <f>G8-H8</f>
        <v>0</v>
      </c>
      <c r="J8" s="54">
        <f>(100*I8)/H8</f>
        <v>0</v>
      </c>
      <c r="K8" s="154">
        <v>100</v>
      </c>
      <c r="L8" s="58">
        <f>H8*1000000</f>
        <v>100</v>
      </c>
      <c r="M8" s="54">
        <f>K8-L8</f>
        <v>0</v>
      </c>
      <c r="N8" s="54">
        <f>(100*M8)/L8</f>
        <v>0</v>
      </c>
      <c r="O8" s="157">
        <v>1.07639E-3</v>
      </c>
      <c r="P8" s="58">
        <f>H8/144*10000/(2.54*2.54)</f>
        <v>1.0763910416709723E-3</v>
      </c>
      <c r="Q8" s="54">
        <f>O8-P8</f>
        <v>-1.041670972352568E-9</v>
      </c>
      <c r="R8" s="54">
        <f>(100*Q8)/P8</f>
        <v>-9.6774400011309509E-5</v>
      </c>
      <c r="S8" s="154">
        <v>0.155</v>
      </c>
      <c r="T8" s="58">
        <f>H8*10000/(2.54*2.54)</f>
        <v>0.15500031000062001</v>
      </c>
      <c r="U8" s="54">
        <f>S8-T8</f>
        <v>-3.1000062000741124E-7</v>
      </c>
      <c r="V8" s="162">
        <f>(100*U8)/T8</f>
        <v>-2.0000000000398144E-4</v>
      </c>
    </row>
    <row r="9" spans="2:22" x14ac:dyDescent="0.25">
      <c r="B9" s="47">
        <v>987</v>
      </c>
      <c r="C9" s="155">
        <v>9.8699999999999992</v>
      </c>
      <c r="D9" s="26">
        <f t="shared" ref="D9:D13" si="0">H9*100</f>
        <v>9.8699999999999992</v>
      </c>
      <c r="E9" s="52">
        <f t="shared" ref="E9:E13" si="1">C9-D9</f>
        <v>0</v>
      </c>
      <c r="F9" s="52">
        <f t="shared" ref="F9:F13" si="2">(100*E9)/D9</f>
        <v>0</v>
      </c>
      <c r="G9" s="159">
        <v>9.8699999999999996E-2</v>
      </c>
      <c r="H9" s="26">
        <f t="shared" ref="H9:H13" si="3">B9/10000</f>
        <v>9.8699999999999996E-2</v>
      </c>
      <c r="I9" s="52">
        <f t="shared" ref="I9:I13" si="4">G9-H9</f>
        <v>0</v>
      </c>
      <c r="J9" s="52">
        <f t="shared" ref="J9:J13" si="5">(100*I9)/H9</f>
        <v>0</v>
      </c>
      <c r="K9" s="155">
        <v>98700</v>
      </c>
      <c r="L9" s="26">
        <f t="shared" ref="L9:L13" si="6">H9*1000000</f>
        <v>98700</v>
      </c>
      <c r="M9" s="52">
        <f t="shared" ref="M9:M13" si="7">K9-L9</f>
        <v>0</v>
      </c>
      <c r="N9" s="52">
        <f t="shared" ref="N9:N13" si="8">(100*M9)/L9</f>
        <v>0</v>
      </c>
      <c r="O9" s="155">
        <v>1.0624</v>
      </c>
      <c r="P9" s="26">
        <f t="shared" ref="P9:P13" si="9">H9/144*10000/(2.54*2.54)</f>
        <v>1.0623979581292495</v>
      </c>
      <c r="Q9" s="52">
        <f t="shared" ref="Q9:Q13" si="10">O9-P9</f>
        <v>2.0418707504799016E-6</v>
      </c>
      <c r="R9" s="52">
        <f t="shared" ref="R9:R13" si="11">(100*Q9)/P9</f>
        <v>1.9219452888213204E-4</v>
      </c>
      <c r="S9" s="159">
        <v>152.98500000000001</v>
      </c>
      <c r="T9" s="26">
        <f t="shared" ref="T9:T13" si="12">H9*10000/(2.54*2.54)</f>
        <v>152.98530597061193</v>
      </c>
      <c r="U9" s="52">
        <f t="shared" ref="U9:U13" si="13">S9-T9</f>
        <v>-3.0597061191883768E-4</v>
      </c>
      <c r="V9" s="153">
        <f t="shared" ref="V9:V13" si="14">(100*U9)/T9</f>
        <v>-1.999999999853671E-4</v>
      </c>
    </row>
    <row r="10" spans="2:22" x14ac:dyDescent="0.25">
      <c r="B10" s="47">
        <v>5987</v>
      </c>
      <c r="C10" s="155">
        <v>59.87</v>
      </c>
      <c r="D10" s="26">
        <f t="shared" si="0"/>
        <v>59.870000000000005</v>
      </c>
      <c r="E10" s="52">
        <f t="shared" si="1"/>
        <v>0</v>
      </c>
      <c r="F10" s="52">
        <f t="shared" si="2"/>
        <v>0</v>
      </c>
      <c r="G10" s="155">
        <v>0.59870000000000001</v>
      </c>
      <c r="H10" s="26">
        <f t="shared" si="3"/>
        <v>0.59870000000000001</v>
      </c>
      <c r="I10" s="52">
        <f t="shared" si="4"/>
        <v>0</v>
      </c>
      <c r="J10" s="52">
        <f t="shared" si="5"/>
        <v>0</v>
      </c>
      <c r="K10" s="159">
        <v>598700</v>
      </c>
      <c r="L10" s="26">
        <f t="shared" si="6"/>
        <v>598700</v>
      </c>
      <c r="M10" s="52">
        <f t="shared" si="7"/>
        <v>0</v>
      </c>
      <c r="N10" s="52">
        <f t="shared" si="8"/>
        <v>0</v>
      </c>
      <c r="O10" s="155">
        <v>6.44435</v>
      </c>
      <c r="P10" s="26">
        <f t="shared" si="9"/>
        <v>6.4443531664841105</v>
      </c>
      <c r="Q10" s="52">
        <f t="shared" si="10"/>
        <v>-3.1664841104728225E-6</v>
      </c>
      <c r="R10" s="52">
        <f t="shared" si="11"/>
        <v>-4.9135794216572753E-5</v>
      </c>
      <c r="S10" s="155">
        <v>927.98699999999997</v>
      </c>
      <c r="T10" s="26">
        <f t="shared" si="12"/>
        <v>927.98685597371195</v>
      </c>
      <c r="U10" s="52">
        <f t="shared" si="13"/>
        <v>1.4402628801235551E-4</v>
      </c>
      <c r="V10" s="153">
        <f t="shared" si="14"/>
        <v>1.5520293965934738E-5</v>
      </c>
    </row>
    <row r="11" spans="2:22" x14ac:dyDescent="0.25">
      <c r="B11" s="47">
        <v>4455667788</v>
      </c>
      <c r="C11" s="155">
        <v>44556678</v>
      </c>
      <c r="D11" s="26">
        <f t="shared" si="0"/>
        <v>44556677.879999995</v>
      </c>
      <c r="E11" s="52">
        <f t="shared" si="1"/>
        <v>0.12000000476837158</v>
      </c>
      <c r="F11" s="52">
        <f t="shared" si="2"/>
        <v>2.6931991000665601E-7</v>
      </c>
      <c r="G11" s="155">
        <v>445567</v>
      </c>
      <c r="H11" s="26">
        <f t="shared" si="3"/>
        <v>445566.77879999997</v>
      </c>
      <c r="I11" s="52">
        <f t="shared" si="4"/>
        <v>0.22120000002905726</v>
      </c>
      <c r="J11" s="52">
        <f t="shared" si="5"/>
        <v>4.9644634778381119E-5</v>
      </c>
      <c r="K11" s="155">
        <v>445566778800</v>
      </c>
      <c r="L11" s="26">
        <f t="shared" si="6"/>
        <v>445566778800</v>
      </c>
      <c r="M11" s="52">
        <f t="shared" si="7"/>
        <v>0</v>
      </c>
      <c r="N11" s="52">
        <f t="shared" si="8"/>
        <v>0</v>
      </c>
      <c r="O11" s="155">
        <v>4796041</v>
      </c>
      <c r="P11" s="26">
        <f t="shared" si="9"/>
        <v>4796040.891665116</v>
      </c>
      <c r="Q11" s="52">
        <f t="shared" si="10"/>
        <v>0.10833488404750824</v>
      </c>
      <c r="R11" s="52">
        <f t="shared" si="11"/>
        <v>2.2588398742758827E-6</v>
      </c>
      <c r="S11" s="155">
        <v>690629888</v>
      </c>
      <c r="T11" s="26">
        <f t="shared" si="12"/>
        <v>690629888.39977682</v>
      </c>
      <c r="U11" s="52">
        <f t="shared" si="13"/>
        <v>-0.39977681636810303</v>
      </c>
      <c r="V11" s="153">
        <f t="shared" si="14"/>
        <v>-5.7885826125250011E-8</v>
      </c>
    </row>
    <row r="12" spans="2:22" x14ac:dyDescent="0.25">
      <c r="B12" s="47">
        <v>-654</v>
      </c>
      <c r="C12" s="155">
        <v>-6.54</v>
      </c>
      <c r="D12" s="26">
        <f t="shared" si="0"/>
        <v>-6.54</v>
      </c>
      <c r="E12" s="52">
        <f t="shared" si="1"/>
        <v>0</v>
      </c>
      <c r="F12" s="52">
        <f t="shared" si="2"/>
        <v>0</v>
      </c>
      <c r="G12" s="155">
        <v>-6.54E-2</v>
      </c>
      <c r="H12" s="26">
        <f t="shared" si="3"/>
        <v>-6.54E-2</v>
      </c>
      <c r="I12" s="52">
        <f t="shared" si="4"/>
        <v>0</v>
      </c>
      <c r="J12" s="52">
        <f t="shared" si="5"/>
        <v>0</v>
      </c>
      <c r="K12" s="155">
        <v>-65400</v>
      </c>
      <c r="L12" s="26">
        <f t="shared" si="6"/>
        <v>-65400</v>
      </c>
      <c r="M12" s="52">
        <f t="shared" si="7"/>
        <v>0</v>
      </c>
      <c r="N12" s="52">
        <f t="shared" si="8"/>
        <v>0</v>
      </c>
      <c r="O12" s="155">
        <v>-0.70396000000000003</v>
      </c>
      <c r="P12" s="26">
        <f t="shared" si="9"/>
        <v>-0.70395974125281591</v>
      </c>
      <c r="Q12" s="52">
        <f t="shared" si="10"/>
        <v>-2.5874718412310926E-7</v>
      </c>
      <c r="R12" s="52">
        <f t="shared" si="11"/>
        <v>3.6755963297364805E-5</v>
      </c>
      <c r="S12" s="155">
        <v>-101.37</v>
      </c>
      <c r="T12" s="26">
        <f t="shared" si="12"/>
        <v>-101.37020274040547</v>
      </c>
      <c r="U12" s="52">
        <f t="shared" si="13"/>
        <v>2.0274040547008099E-4</v>
      </c>
      <c r="V12" s="153">
        <f t="shared" si="14"/>
        <v>-1.9999999998941508E-4</v>
      </c>
    </row>
    <row r="13" spans="2:22" ht="15.75" thickBot="1" x14ac:dyDescent="0.3">
      <c r="B13" s="74">
        <v>0.65469999999999995</v>
      </c>
      <c r="C13" s="158">
        <v>6.5469999999999999E-3</v>
      </c>
      <c r="D13" s="59">
        <f t="shared" si="0"/>
        <v>6.5469999999999999E-3</v>
      </c>
      <c r="E13" s="57">
        <f t="shared" si="1"/>
        <v>0</v>
      </c>
      <c r="F13" s="57">
        <f t="shared" si="2"/>
        <v>0</v>
      </c>
      <c r="G13" s="156">
        <v>6.5469999999999995E-5</v>
      </c>
      <c r="H13" s="59">
        <f t="shared" si="3"/>
        <v>6.5469999999999995E-5</v>
      </c>
      <c r="I13" s="57">
        <f t="shared" si="4"/>
        <v>0</v>
      </c>
      <c r="J13" s="57">
        <f t="shared" si="5"/>
        <v>0</v>
      </c>
      <c r="K13" s="156">
        <v>65.47</v>
      </c>
      <c r="L13" s="59">
        <f t="shared" si="6"/>
        <v>65.47</v>
      </c>
      <c r="M13" s="57">
        <f t="shared" si="7"/>
        <v>0</v>
      </c>
      <c r="N13" s="57">
        <f t="shared" si="8"/>
        <v>0</v>
      </c>
      <c r="O13" s="156">
        <v>7.0471300000000004E-4</v>
      </c>
      <c r="P13" s="59">
        <f t="shared" si="9"/>
        <v>7.0471321498198549E-4</v>
      </c>
      <c r="Q13" s="57">
        <f t="shared" si="10"/>
        <v>-2.149819854470672E-10</v>
      </c>
      <c r="R13" s="57">
        <f t="shared" si="11"/>
        <v>-3.0506308222496261E-5</v>
      </c>
      <c r="S13" s="156">
        <v>0.101479</v>
      </c>
      <c r="T13" s="59">
        <f t="shared" si="12"/>
        <v>0.10147870295740591</v>
      </c>
      <c r="U13" s="57">
        <f t="shared" si="13"/>
        <v>2.9704259409124578E-7</v>
      </c>
      <c r="V13" s="163">
        <f t="shared" si="14"/>
        <v>2.927142202595206E-4</v>
      </c>
    </row>
    <row r="14" spans="2:22" ht="15.75" thickBot="1" x14ac:dyDescent="0.3">
      <c r="C14" s="165"/>
      <c r="D14" s="165"/>
      <c r="E14" s="164"/>
      <c r="F14" s="164"/>
      <c r="G14" s="165"/>
      <c r="H14" s="165"/>
      <c r="I14" s="164"/>
      <c r="J14" s="164"/>
      <c r="K14" s="165"/>
      <c r="L14" s="165"/>
      <c r="M14" s="164"/>
      <c r="N14" s="164"/>
      <c r="O14" s="165"/>
      <c r="P14" s="165"/>
      <c r="Q14" s="164"/>
      <c r="R14" s="164"/>
      <c r="S14" s="165"/>
      <c r="T14" s="165"/>
      <c r="U14" s="164"/>
      <c r="V14" s="164"/>
    </row>
    <row r="15" spans="2:22" x14ac:dyDescent="0.25">
      <c r="B15" s="341" t="s">
        <v>10</v>
      </c>
      <c r="C15" s="166" t="s">
        <v>14</v>
      </c>
      <c r="D15" s="168" t="s">
        <v>14</v>
      </c>
      <c r="E15" s="343" t="s">
        <v>354</v>
      </c>
      <c r="F15" s="352" t="s">
        <v>355</v>
      </c>
      <c r="G15" s="166" t="s">
        <v>14</v>
      </c>
      <c r="H15" s="168" t="s">
        <v>14</v>
      </c>
      <c r="I15" s="343" t="s">
        <v>354</v>
      </c>
      <c r="J15" s="352" t="s">
        <v>355</v>
      </c>
      <c r="K15" s="166" t="s">
        <v>14</v>
      </c>
      <c r="L15" s="168" t="s">
        <v>14</v>
      </c>
      <c r="M15" s="343" t="s">
        <v>354</v>
      </c>
      <c r="N15" s="352" t="s">
        <v>355</v>
      </c>
      <c r="O15" s="166" t="s">
        <v>14</v>
      </c>
      <c r="P15" s="168" t="s">
        <v>14</v>
      </c>
      <c r="Q15" s="343" t="s">
        <v>354</v>
      </c>
      <c r="R15" s="352" t="s">
        <v>355</v>
      </c>
      <c r="S15" s="166" t="s">
        <v>14</v>
      </c>
      <c r="T15" s="168" t="s">
        <v>14</v>
      </c>
      <c r="U15" s="343" t="s">
        <v>354</v>
      </c>
      <c r="V15" s="357" t="s">
        <v>355</v>
      </c>
    </row>
    <row r="16" spans="2:22" ht="15.75" thickBot="1" x14ac:dyDescent="0.3">
      <c r="B16" s="342"/>
      <c r="C16" s="167" t="s">
        <v>290</v>
      </c>
      <c r="D16" s="169" t="s">
        <v>291</v>
      </c>
      <c r="E16" s="344"/>
      <c r="F16" s="353"/>
      <c r="G16" s="167" t="s">
        <v>290</v>
      </c>
      <c r="H16" s="169" t="s">
        <v>291</v>
      </c>
      <c r="I16" s="344"/>
      <c r="J16" s="353"/>
      <c r="K16" s="167" t="s">
        <v>290</v>
      </c>
      <c r="L16" s="169" t="s">
        <v>291</v>
      </c>
      <c r="M16" s="344"/>
      <c r="N16" s="353"/>
      <c r="O16" s="167" t="s">
        <v>290</v>
      </c>
      <c r="P16" s="169" t="s">
        <v>291</v>
      </c>
      <c r="Q16" s="344"/>
      <c r="R16" s="353"/>
      <c r="S16" s="167" t="s">
        <v>290</v>
      </c>
      <c r="T16" s="169" t="s">
        <v>291</v>
      </c>
      <c r="U16" s="344"/>
      <c r="V16" s="358"/>
    </row>
    <row r="17" spans="2:22" ht="15.75" thickBot="1" x14ac:dyDescent="0.3">
      <c r="B17" s="346" t="s">
        <v>63</v>
      </c>
      <c r="C17" s="363" t="s">
        <v>62</v>
      </c>
      <c r="D17" s="177" t="s">
        <v>62</v>
      </c>
      <c r="E17" s="344"/>
      <c r="F17" s="354"/>
      <c r="G17" s="363" t="s">
        <v>64</v>
      </c>
      <c r="H17" s="177" t="s">
        <v>64</v>
      </c>
      <c r="I17" s="344"/>
      <c r="J17" s="354"/>
      <c r="K17" s="363" t="s">
        <v>65</v>
      </c>
      <c r="L17" s="177" t="s">
        <v>65</v>
      </c>
      <c r="M17" s="344"/>
      <c r="N17" s="354"/>
      <c r="O17" s="363" t="s">
        <v>66</v>
      </c>
      <c r="P17" s="177" t="s">
        <v>66</v>
      </c>
      <c r="Q17" s="344"/>
      <c r="R17" s="354"/>
      <c r="S17" s="363" t="s">
        <v>67</v>
      </c>
      <c r="T17" s="177" t="s">
        <v>67</v>
      </c>
      <c r="U17" s="344"/>
      <c r="V17" s="358"/>
    </row>
    <row r="18" spans="2:22" ht="30.75" thickBot="1" x14ac:dyDescent="0.3">
      <c r="B18" s="347"/>
      <c r="C18" s="371"/>
      <c r="D18" s="208" t="s">
        <v>192</v>
      </c>
      <c r="E18" s="345"/>
      <c r="F18" s="345"/>
      <c r="G18" s="364"/>
      <c r="H18" s="210" t="s">
        <v>191</v>
      </c>
      <c r="I18" s="345"/>
      <c r="J18" s="345"/>
      <c r="K18" s="364"/>
      <c r="L18" s="208" t="s">
        <v>193</v>
      </c>
      <c r="M18" s="345"/>
      <c r="N18" s="345"/>
      <c r="O18" s="364"/>
      <c r="P18" s="208" t="s">
        <v>194</v>
      </c>
      <c r="Q18" s="345"/>
      <c r="R18" s="345"/>
      <c r="S18" s="364"/>
      <c r="T18" s="208" t="s">
        <v>195</v>
      </c>
      <c r="U18" s="345"/>
      <c r="V18" s="359"/>
    </row>
    <row r="19" spans="2:22" x14ac:dyDescent="0.25">
      <c r="B19" s="44">
        <v>1</v>
      </c>
      <c r="C19" s="154">
        <v>100</v>
      </c>
      <c r="D19" s="58">
        <f>H19*10000</f>
        <v>100</v>
      </c>
      <c r="E19" s="54">
        <f>C19-D19</f>
        <v>0</v>
      </c>
      <c r="F19" s="54">
        <f>(100*E19)/D19</f>
        <v>0</v>
      </c>
      <c r="G19" s="154">
        <v>0.01</v>
      </c>
      <c r="H19" s="58">
        <f>B19/100</f>
        <v>0.01</v>
      </c>
      <c r="I19" s="54">
        <f>G19-H19</f>
        <v>0</v>
      </c>
      <c r="J19" s="54">
        <f>(100*I19)/H19</f>
        <v>0</v>
      </c>
      <c r="K19" s="154">
        <v>10000</v>
      </c>
      <c r="L19" s="58">
        <f>H19*1000000</f>
        <v>10000</v>
      </c>
      <c r="M19" s="54">
        <f>K19-L19</f>
        <v>0</v>
      </c>
      <c r="N19" s="54">
        <f>(100*M19)/L19</f>
        <v>0</v>
      </c>
      <c r="O19" s="157">
        <v>0.107639</v>
      </c>
      <c r="P19" s="58">
        <f>H19/144*10000/(2.54*2.54)</f>
        <v>0.10763910416709722</v>
      </c>
      <c r="Q19" s="54">
        <f>O19-P19</f>
        <v>-1.0416709722571582E-7</v>
      </c>
      <c r="R19" s="54">
        <f>(100*Q19)/P19</f>
        <v>-9.6774400002445655E-5</v>
      </c>
      <c r="S19" s="154">
        <v>15.5</v>
      </c>
      <c r="T19" s="58">
        <f>H19*10000/(2.54*2.54)</f>
        <v>15.500031000062</v>
      </c>
      <c r="U19" s="54">
        <f>S19-T19</f>
        <v>-3.100006200007499E-5</v>
      </c>
      <c r="V19" s="162">
        <f>(100*U19)/T19</f>
        <v>-1.999999999996838E-4</v>
      </c>
    </row>
    <row r="20" spans="2:22" x14ac:dyDescent="0.25">
      <c r="B20" s="47">
        <v>987</v>
      </c>
      <c r="C20" s="155">
        <v>98700</v>
      </c>
      <c r="D20" s="26">
        <f t="shared" ref="D20:D24" si="15">H20*10000</f>
        <v>98699.999999999985</v>
      </c>
      <c r="E20" s="52">
        <f t="shared" ref="E20:E24" si="16">C20-D20</f>
        <v>0</v>
      </c>
      <c r="F20" s="52">
        <f t="shared" ref="F20:F24" si="17">(100*E20)/D20</f>
        <v>0</v>
      </c>
      <c r="G20" s="155">
        <v>9.8699999999999992</v>
      </c>
      <c r="H20" s="26">
        <f t="shared" ref="H20:H24" si="18">B20/100</f>
        <v>9.8699999999999992</v>
      </c>
      <c r="I20" s="52">
        <f t="shared" ref="I20:I24" si="19">G20-H20</f>
        <v>0</v>
      </c>
      <c r="J20" s="52">
        <f t="shared" ref="J20:J24" si="20">(100*I20)/H20</f>
        <v>0</v>
      </c>
      <c r="K20" s="155">
        <v>9870000</v>
      </c>
      <c r="L20" s="26">
        <f t="shared" ref="L20:L24" si="21">H20*1000000</f>
        <v>9870000</v>
      </c>
      <c r="M20" s="52">
        <f t="shared" ref="M20:M24" si="22">K20-L20</f>
        <v>0</v>
      </c>
      <c r="N20" s="52">
        <f t="shared" ref="N20:N24" si="23">(100*M20)/L20</f>
        <v>0</v>
      </c>
      <c r="O20" s="155">
        <v>106.24</v>
      </c>
      <c r="P20" s="26">
        <f t="shared" ref="P20:P24" si="24">H20/144*10000/(2.54*2.54)</f>
        <v>106.23979581292495</v>
      </c>
      <c r="Q20" s="52">
        <f t="shared" ref="Q20:Q24" si="25">O20-P20</f>
        <v>2.0418707504177291E-4</v>
      </c>
      <c r="R20" s="52">
        <f t="shared" ref="R20:R24" si="26">(100*Q20)/P20</f>
        <v>1.9219452887627995E-4</v>
      </c>
      <c r="S20" s="159">
        <v>15298.5</v>
      </c>
      <c r="T20" s="26">
        <f t="shared" ref="T20:T24" si="27">H20*10000/(2.54*2.54)</f>
        <v>15298.530597061192</v>
      </c>
      <c r="U20" s="52">
        <f t="shared" ref="U20:U24" si="28">S20-T20</f>
        <v>-3.0597061191656394E-2</v>
      </c>
      <c r="V20" s="153">
        <f t="shared" ref="V20:V24" si="29">(100*U20)/T20</f>
        <v>-1.9999999998388088E-4</v>
      </c>
    </row>
    <row r="21" spans="2:22" x14ac:dyDescent="0.25">
      <c r="B21" s="47">
        <v>5987</v>
      </c>
      <c r="C21" s="155">
        <v>598700</v>
      </c>
      <c r="D21" s="26">
        <f t="shared" si="15"/>
        <v>598700</v>
      </c>
      <c r="E21" s="52">
        <f t="shared" si="16"/>
        <v>0</v>
      </c>
      <c r="F21" s="52">
        <f t="shared" si="17"/>
        <v>0</v>
      </c>
      <c r="G21" s="155">
        <v>59.87</v>
      </c>
      <c r="H21" s="26">
        <f t="shared" si="18"/>
        <v>59.87</v>
      </c>
      <c r="I21" s="52">
        <f t="shared" si="19"/>
        <v>0</v>
      </c>
      <c r="J21" s="52">
        <f t="shared" si="20"/>
        <v>0</v>
      </c>
      <c r="K21" s="159">
        <v>59870000</v>
      </c>
      <c r="L21" s="26">
        <f t="shared" si="21"/>
        <v>59870000</v>
      </c>
      <c r="M21" s="52">
        <f t="shared" si="22"/>
        <v>0</v>
      </c>
      <c r="N21" s="52">
        <f t="shared" si="23"/>
        <v>0</v>
      </c>
      <c r="O21" s="155">
        <v>644.43499999999995</v>
      </c>
      <c r="P21" s="26">
        <f t="shared" si="24"/>
        <v>644.435316648411</v>
      </c>
      <c r="Q21" s="52">
        <f t="shared" si="25"/>
        <v>-3.1664841105794039E-4</v>
      </c>
      <c r="R21" s="52">
        <f t="shared" si="26"/>
        <v>-4.9135794218226629E-5</v>
      </c>
      <c r="S21" s="155">
        <v>92798.7</v>
      </c>
      <c r="T21" s="26">
        <f t="shared" si="27"/>
        <v>92798.685597371194</v>
      </c>
      <c r="U21" s="52">
        <f t="shared" si="28"/>
        <v>1.4402628803509288E-2</v>
      </c>
      <c r="V21" s="153">
        <f t="shared" si="29"/>
        <v>1.552029396838492E-5</v>
      </c>
    </row>
    <row r="22" spans="2:22" x14ac:dyDescent="0.25">
      <c r="B22" s="47">
        <v>4455667788</v>
      </c>
      <c r="C22" s="155">
        <v>445566778800</v>
      </c>
      <c r="D22" s="26">
        <f t="shared" si="15"/>
        <v>445566778800</v>
      </c>
      <c r="E22" s="52">
        <f t="shared" si="16"/>
        <v>0</v>
      </c>
      <c r="F22" s="52">
        <f t="shared" si="17"/>
        <v>0</v>
      </c>
      <c r="G22" s="155">
        <v>44556678</v>
      </c>
      <c r="H22" s="26">
        <f t="shared" si="18"/>
        <v>44556677.880000003</v>
      </c>
      <c r="I22" s="52">
        <f t="shared" si="19"/>
        <v>0.11999999731779099</v>
      </c>
      <c r="J22" s="52">
        <f t="shared" si="20"/>
        <v>2.6931989328507578E-7</v>
      </c>
      <c r="K22" s="155">
        <v>44556677880000</v>
      </c>
      <c r="L22" s="26">
        <f t="shared" si="21"/>
        <v>44556677880000</v>
      </c>
      <c r="M22" s="52">
        <f t="shared" si="22"/>
        <v>0</v>
      </c>
      <c r="N22" s="52">
        <f t="shared" si="23"/>
        <v>0</v>
      </c>
      <c r="O22" s="155">
        <v>479604089</v>
      </c>
      <c r="P22" s="26">
        <f t="shared" si="24"/>
        <v>479604089.16651171</v>
      </c>
      <c r="Q22" s="52">
        <f t="shared" si="25"/>
        <v>-0.16651171445846558</v>
      </c>
      <c r="R22" s="52">
        <f t="shared" si="26"/>
        <v>-3.4718576888666825E-8</v>
      </c>
      <c r="S22" s="155">
        <v>69062988840</v>
      </c>
      <c r="T22" s="26">
        <f t="shared" si="27"/>
        <v>69062988839.977676</v>
      </c>
      <c r="U22" s="52">
        <f t="shared" si="28"/>
        <v>2.23236083984375E-2</v>
      </c>
      <c r="V22" s="153">
        <f t="shared" si="29"/>
        <v>3.2323548073140005E-11</v>
      </c>
    </row>
    <row r="23" spans="2:22" x14ac:dyDescent="0.25">
      <c r="B23" s="47">
        <v>-654</v>
      </c>
      <c r="C23" s="155">
        <v>-65400</v>
      </c>
      <c r="D23" s="26">
        <f t="shared" si="15"/>
        <v>-65400</v>
      </c>
      <c r="E23" s="52">
        <f t="shared" si="16"/>
        <v>0</v>
      </c>
      <c r="F23" s="52">
        <f t="shared" si="17"/>
        <v>0</v>
      </c>
      <c r="G23" s="155">
        <v>-6.54</v>
      </c>
      <c r="H23" s="26">
        <f t="shared" si="18"/>
        <v>-6.54</v>
      </c>
      <c r="I23" s="52">
        <f t="shared" si="19"/>
        <v>0</v>
      </c>
      <c r="J23" s="52">
        <f t="shared" si="20"/>
        <v>0</v>
      </c>
      <c r="K23" s="155">
        <v>-6540000</v>
      </c>
      <c r="L23" s="26">
        <f t="shared" si="21"/>
        <v>-6540000</v>
      </c>
      <c r="M23" s="52">
        <f t="shared" si="22"/>
        <v>0</v>
      </c>
      <c r="N23" s="52">
        <f t="shared" si="23"/>
        <v>0</v>
      </c>
      <c r="O23" s="155">
        <v>-70.396000000000001</v>
      </c>
      <c r="P23" s="26">
        <f t="shared" si="24"/>
        <v>-70.395974125281583</v>
      </c>
      <c r="Q23" s="52">
        <f t="shared" si="25"/>
        <v>-2.5874718417639997E-5</v>
      </c>
      <c r="R23" s="52">
        <f t="shared" si="26"/>
        <v>3.6755963304934941E-5</v>
      </c>
      <c r="S23" s="155">
        <v>-10137</v>
      </c>
      <c r="T23" s="26">
        <f t="shared" si="27"/>
        <v>-10137.020274040548</v>
      </c>
      <c r="U23" s="52">
        <f t="shared" si="28"/>
        <v>2.0274040547519689E-2</v>
      </c>
      <c r="V23" s="153">
        <f t="shared" si="29"/>
        <v>-1.9999999999446182E-4</v>
      </c>
    </row>
    <row r="24" spans="2:22" ht="15.75" thickBot="1" x14ac:dyDescent="0.3">
      <c r="B24" s="74">
        <v>0.65469999999999995</v>
      </c>
      <c r="C24" s="158">
        <v>65.47</v>
      </c>
      <c r="D24" s="59">
        <f t="shared" si="15"/>
        <v>65.47</v>
      </c>
      <c r="E24" s="57">
        <f t="shared" si="16"/>
        <v>0</v>
      </c>
      <c r="F24" s="57">
        <f t="shared" si="17"/>
        <v>0</v>
      </c>
      <c r="G24" s="156">
        <v>6.5469999999999999E-3</v>
      </c>
      <c r="H24" s="59">
        <f t="shared" si="18"/>
        <v>6.5469999999999999E-3</v>
      </c>
      <c r="I24" s="57">
        <f t="shared" si="19"/>
        <v>0</v>
      </c>
      <c r="J24" s="57">
        <f t="shared" si="20"/>
        <v>0</v>
      </c>
      <c r="K24" s="156">
        <v>6547</v>
      </c>
      <c r="L24" s="59">
        <f t="shared" si="21"/>
        <v>6547</v>
      </c>
      <c r="M24" s="57">
        <f t="shared" si="22"/>
        <v>0</v>
      </c>
      <c r="N24" s="57">
        <f t="shared" si="23"/>
        <v>0</v>
      </c>
      <c r="O24" s="156">
        <v>7.0471300000000001E-2</v>
      </c>
      <c r="P24" s="59">
        <f t="shared" si="24"/>
        <v>7.0471321498198541E-2</v>
      </c>
      <c r="Q24" s="57">
        <f t="shared" si="25"/>
        <v>-2.1498198540803592E-8</v>
      </c>
      <c r="R24" s="57">
        <f t="shared" si="26"/>
        <v>-3.0506308216957662E-5</v>
      </c>
      <c r="S24" s="156">
        <v>10.1479</v>
      </c>
      <c r="T24" s="59">
        <f t="shared" si="27"/>
        <v>10.147870295740592</v>
      </c>
      <c r="U24" s="57">
        <f t="shared" si="28"/>
        <v>2.9704259407736799E-5</v>
      </c>
      <c r="V24" s="163">
        <f t="shared" si="29"/>
        <v>2.9271422024584502E-4</v>
      </c>
    </row>
    <row r="25" spans="2:22" ht="15.75" thickBot="1" x14ac:dyDescent="0.3">
      <c r="C25" s="165"/>
      <c r="D25" s="165"/>
      <c r="E25" s="164"/>
      <c r="F25" s="164"/>
      <c r="G25" s="165"/>
      <c r="H25" s="165"/>
      <c r="I25" s="164"/>
      <c r="J25" s="164"/>
      <c r="K25" s="165"/>
      <c r="L25" s="165"/>
      <c r="M25" s="164"/>
      <c r="N25" s="164"/>
      <c r="O25" s="165"/>
      <c r="P25" s="165"/>
      <c r="Q25" s="164"/>
      <c r="R25" s="164"/>
      <c r="U25" s="164"/>
      <c r="V25" s="164"/>
    </row>
    <row r="26" spans="2:22" x14ac:dyDescent="0.25">
      <c r="B26" s="341" t="s">
        <v>10</v>
      </c>
      <c r="C26" s="166" t="s">
        <v>14</v>
      </c>
      <c r="D26" s="168" t="s">
        <v>14</v>
      </c>
      <c r="E26" s="343" t="s">
        <v>354</v>
      </c>
      <c r="F26" s="352" t="s">
        <v>355</v>
      </c>
      <c r="G26" s="166" t="s">
        <v>14</v>
      </c>
      <c r="H26" s="168" t="s">
        <v>14</v>
      </c>
      <c r="I26" s="343" t="s">
        <v>354</v>
      </c>
      <c r="J26" s="352" t="s">
        <v>355</v>
      </c>
      <c r="K26" s="166" t="s">
        <v>14</v>
      </c>
      <c r="L26" s="168" t="s">
        <v>14</v>
      </c>
      <c r="M26" s="343" t="s">
        <v>354</v>
      </c>
      <c r="N26" s="352" t="s">
        <v>355</v>
      </c>
      <c r="O26" s="166" t="s">
        <v>14</v>
      </c>
      <c r="P26" s="168" t="s">
        <v>14</v>
      </c>
      <c r="Q26" s="343" t="s">
        <v>354</v>
      </c>
      <c r="R26" s="352" t="s">
        <v>355</v>
      </c>
      <c r="S26" s="62" t="s">
        <v>14</v>
      </c>
      <c r="T26" s="65" t="s">
        <v>14</v>
      </c>
      <c r="U26" s="343" t="s">
        <v>354</v>
      </c>
      <c r="V26" s="357" t="s">
        <v>355</v>
      </c>
    </row>
    <row r="27" spans="2:22" ht="15.75" thickBot="1" x14ac:dyDescent="0.3">
      <c r="B27" s="342"/>
      <c r="C27" s="167" t="s">
        <v>290</v>
      </c>
      <c r="D27" s="169" t="s">
        <v>291</v>
      </c>
      <c r="E27" s="344"/>
      <c r="F27" s="353"/>
      <c r="G27" s="167" t="s">
        <v>290</v>
      </c>
      <c r="H27" s="169" t="s">
        <v>291</v>
      </c>
      <c r="I27" s="344"/>
      <c r="J27" s="353"/>
      <c r="K27" s="167" t="s">
        <v>290</v>
      </c>
      <c r="L27" s="169" t="s">
        <v>291</v>
      </c>
      <c r="M27" s="344"/>
      <c r="N27" s="353"/>
      <c r="O27" s="167" t="s">
        <v>290</v>
      </c>
      <c r="P27" s="169" t="s">
        <v>291</v>
      </c>
      <c r="Q27" s="344"/>
      <c r="R27" s="353"/>
      <c r="S27" s="63" t="s">
        <v>290</v>
      </c>
      <c r="T27" s="27" t="s">
        <v>291</v>
      </c>
      <c r="U27" s="344"/>
      <c r="V27" s="358"/>
    </row>
    <row r="28" spans="2:22" ht="15.75" thickBot="1" x14ac:dyDescent="0.3">
      <c r="B28" s="346" t="s">
        <v>64</v>
      </c>
      <c r="C28" s="363" t="s">
        <v>62</v>
      </c>
      <c r="D28" s="177" t="s">
        <v>62</v>
      </c>
      <c r="E28" s="344"/>
      <c r="F28" s="354"/>
      <c r="G28" s="363" t="s">
        <v>63</v>
      </c>
      <c r="H28" s="177" t="s">
        <v>63</v>
      </c>
      <c r="I28" s="344"/>
      <c r="J28" s="354"/>
      <c r="K28" s="363" t="s">
        <v>65</v>
      </c>
      <c r="L28" s="177" t="s">
        <v>65</v>
      </c>
      <c r="M28" s="344"/>
      <c r="N28" s="354"/>
      <c r="O28" s="363" t="s">
        <v>66</v>
      </c>
      <c r="P28" s="177" t="s">
        <v>66</v>
      </c>
      <c r="Q28" s="344"/>
      <c r="R28" s="354"/>
      <c r="S28" s="346" t="s">
        <v>67</v>
      </c>
      <c r="T28" s="16" t="s">
        <v>67</v>
      </c>
      <c r="U28" s="344"/>
      <c r="V28" s="358"/>
    </row>
    <row r="29" spans="2:22" ht="15.75" thickBot="1" x14ac:dyDescent="0.3">
      <c r="B29" s="347"/>
      <c r="C29" s="371"/>
      <c r="D29" s="209" t="s">
        <v>196</v>
      </c>
      <c r="E29" s="345"/>
      <c r="F29" s="345"/>
      <c r="G29" s="364"/>
      <c r="H29" s="209" t="s">
        <v>197</v>
      </c>
      <c r="I29" s="345"/>
      <c r="J29" s="345"/>
      <c r="K29" s="364"/>
      <c r="L29" s="209" t="s">
        <v>198</v>
      </c>
      <c r="M29" s="345"/>
      <c r="N29" s="345"/>
      <c r="O29" s="364"/>
      <c r="P29" s="209" t="s">
        <v>199</v>
      </c>
      <c r="Q29" s="345"/>
      <c r="R29" s="345"/>
      <c r="S29" s="347"/>
      <c r="T29" s="19" t="s">
        <v>200</v>
      </c>
      <c r="U29" s="345"/>
      <c r="V29" s="359"/>
    </row>
    <row r="30" spans="2:22" x14ac:dyDescent="0.25">
      <c r="B30" s="44">
        <v>1</v>
      </c>
      <c r="C30" s="154">
        <v>10000</v>
      </c>
      <c r="D30" s="58">
        <f>B30*10000</f>
        <v>10000</v>
      </c>
      <c r="E30" s="54">
        <f>C30-D30</f>
        <v>0</v>
      </c>
      <c r="F30" s="54">
        <f>(100*E30)/D30</f>
        <v>0</v>
      </c>
      <c r="G30" s="154">
        <v>100</v>
      </c>
      <c r="H30" s="58">
        <f>B30*100</f>
        <v>100</v>
      </c>
      <c r="I30" s="54">
        <f>G30-H30</f>
        <v>0</v>
      </c>
      <c r="J30" s="54">
        <f>(100*I30)/H30</f>
        <v>0</v>
      </c>
      <c r="K30" s="154">
        <v>1000000</v>
      </c>
      <c r="L30" s="58">
        <f>B30*1000000</f>
        <v>1000000</v>
      </c>
      <c r="M30" s="54">
        <f>K30-L30</f>
        <v>0</v>
      </c>
      <c r="N30" s="54">
        <f>(100*M30)/L30</f>
        <v>0</v>
      </c>
      <c r="O30" s="157">
        <v>10.7639</v>
      </c>
      <c r="P30" s="58">
        <f>B30/144*10000/(2.54*2.54)</f>
        <v>10.763910416709722</v>
      </c>
      <c r="Q30" s="54">
        <f>O30-P30</f>
        <v>-1.0416709722349538E-5</v>
      </c>
      <c r="R30" s="54">
        <f>(100*Q30)/P30</f>
        <v>-9.6774400000382798E-5</v>
      </c>
      <c r="S30" s="154">
        <v>1550</v>
      </c>
      <c r="T30" s="58">
        <f>B30*10000/(2.54*2.54)</f>
        <v>1550.0031000061999</v>
      </c>
      <c r="U30" s="54">
        <f>S30-T30</f>
        <v>-3.1000061999293393E-3</v>
      </c>
      <c r="V30" s="162">
        <f>(100*U30)/T30</f>
        <v>-1.9999999999464126E-4</v>
      </c>
    </row>
    <row r="31" spans="2:22" x14ac:dyDescent="0.25">
      <c r="B31" s="47">
        <v>987</v>
      </c>
      <c r="C31" s="159">
        <v>9870000</v>
      </c>
      <c r="D31" s="26">
        <f t="shared" ref="D31:D35" si="30">B31*10000</f>
        <v>9870000</v>
      </c>
      <c r="E31" s="52">
        <f t="shared" ref="E31:E35" si="31">C31-D31</f>
        <v>0</v>
      </c>
      <c r="F31" s="52">
        <f t="shared" ref="F31:F35" si="32">(100*E31)/D31</f>
        <v>0</v>
      </c>
      <c r="G31" s="155">
        <v>98700</v>
      </c>
      <c r="H31" s="26">
        <f t="shared" ref="H31:H35" si="33">B31*100</f>
        <v>98700</v>
      </c>
      <c r="I31" s="52">
        <f t="shared" ref="I31:I35" si="34">G31-H31</f>
        <v>0</v>
      </c>
      <c r="J31" s="52">
        <f t="shared" ref="J31:J35" si="35">(100*I31)/H31</f>
        <v>0</v>
      </c>
      <c r="K31" s="155">
        <v>987000000</v>
      </c>
      <c r="L31" s="26">
        <f t="shared" ref="L31:L35" si="36">B31*1000000</f>
        <v>987000000</v>
      </c>
      <c r="M31" s="52">
        <f t="shared" ref="M31:M35" si="37">K31-L31</f>
        <v>0</v>
      </c>
      <c r="N31" s="52">
        <f t="shared" ref="N31:N35" si="38">(100*M31)/L31</f>
        <v>0</v>
      </c>
      <c r="O31" s="155">
        <v>10624</v>
      </c>
      <c r="P31" s="26">
        <f t="shared" ref="P31:P35" si="39">B31/144*10000/(2.54*2.54)</f>
        <v>10623.979581292497</v>
      </c>
      <c r="Q31" s="52">
        <f t="shared" ref="Q31:Q35" si="40">O31-P31</f>
        <v>2.0418707503267797E-2</v>
      </c>
      <c r="R31" s="52">
        <f t="shared" ref="R31:R35" si="41">(100*Q31)/P31</f>
        <v>1.9219452886771915E-4</v>
      </c>
      <c r="S31" s="159">
        <v>1529853</v>
      </c>
      <c r="T31" s="26">
        <f t="shared" ref="T31:T35" si="42">B31*10000/(2.54*2.54)</f>
        <v>1529853.0597061194</v>
      </c>
      <c r="U31" s="52">
        <f t="shared" ref="U31:U35" si="43">S31-T31</f>
        <v>-5.9706119354814291E-2</v>
      </c>
      <c r="V31" s="153">
        <f t="shared" ref="V31:V35" si="44">(100*U31)/T31</f>
        <v>-3.9027355585564324E-6</v>
      </c>
    </row>
    <row r="32" spans="2:22" x14ac:dyDescent="0.25">
      <c r="B32" s="47">
        <v>5987</v>
      </c>
      <c r="C32" s="155">
        <v>59870000</v>
      </c>
      <c r="D32" s="26">
        <f t="shared" si="30"/>
        <v>59870000</v>
      </c>
      <c r="E32" s="52">
        <f t="shared" si="31"/>
        <v>0</v>
      </c>
      <c r="F32" s="52">
        <f t="shared" si="32"/>
        <v>0</v>
      </c>
      <c r="G32" s="155">
        <v>598700</v>
      </c>
      <c r="H32" s="26">
        <f t="shared" si="33"/>
        <v>598700</v>
      </c>
      <c r="I32" s="52">
        <f t="shared" si="34"/>
        <v>0</v>
      </c>
      <c r="J32" s="52">
        <f t="shared" si="35"/>
        <v>0</v>
      </c>
      <c r="K32" s="159">
        <v>5987000000</v>
      </c>
      <c r="L32" s="26">
        <f t="shared" si="36"/>
        <v>5987000000</v>
      </c>
      <c r="M32" s="52">
        <f t="shared" si="37"/>
        <v>0</v>
      </c>
      <c r="N32" s="52">
        <f t="shared" si="38"/>
        <v>0</v>
      </c>
      <c r="O32" s="155">
        <v>64443.5</v>
      </c>
      <c r="P32" s="26">
        <f t="shared" si="39"/>
        <v>64443.531664841103</v>
      </c>
      <c r="Q32" s="52">
        <f t="shared" si="40"/>
        <v>-3.1664841102610808E-2</v>
      </c>
      <c r="R32" s="52">
        <f t="shared" si="41"/>
        <v>-4.9135794213287058E-5</v>
      </c>
      <c r="S32" s="155">
        <v>9279869</v>
      </c>
      <c r="T32" s="26">
        <f t="shared" si="42"/>
        <v>9279868.5597371198</v>
      </c>
      <c r="U32" s="52">
        <f t="shared" si="43"/>
        <v>0.44026288017630577</v>
      </c>
      <c r="V32" s="153">
        <f t="shared" si="44"/>
        <v>4.744279267989735E-6</v>
      </c>
    </row>
    <row r="33" spans="2:22" x14ac:dyDescent="0.25">
      <c r="B33" s="47">
        <v>4455667788</v>
      </c>
      <c r="C33" s="155">
        <v>44556677880000</v>
      </c>
      <c r="D33" s="26">
        <f t="shared" si="30"/>
        <v>44556677880000</v>
      </c>
      <c r="E33" s="52">
        <f t="shared" si="31"/>
        <v>0</v>
      </c>
      <c r="F33" s="52">
        <f t="shared" si="32"/>
        <v>0</v>
      </c>
      <c r="G33" s="155">
        <v>445566778800</v>
      </c>
      <c r="H33" s="26">
        <f t="shared" si="33"/>
        <v>445566778800</v>
      </c>
      <c r="I33" s="52">
        <f t="shared" si="34"/>
        <v>0</v>
      </c>
      <c r="J33" s="52">
        <f t="shared" si="35"/>
        <v>0</v>
      </c>
      <c r="K33" s="155">
        <v>4455667788000000</v>
      </c>
      <c r="L33" s="26">
        <f t="shared" si="36"/>
        <v>4455667788000000</v>
      </c>
      <c r="M33" s="52">
        <f t="shared" si="37"/>
        <v>0</v>
      </c>
      <c r="N33" s="52">
        <f t="shared" si="38"/>
        <v>0</v>
      </c>
      <c r="O33" s="155">
        <v>47960408917</v>
      </c>
      <c r="P33" s="26">
        <f t="shared" si="39"/>
        <v>47960408916.651169</v>
      </c>
      <c r="Q33" s="52">
        <f t="shared" si="40"/>
        <v>0.3488311767578125</v>
      </c>
      <c r="R33" s="52">
        <f t="shared" si="41"/>
        <v>7.2733153164735273E-10</v>
      </c>
      <c r="S33" s="155">
        <v>6906298883998</v>
      </c>
      <c r="T33" s="26">
        <f t="shared" si="42"/>
        <v>6906298883997.7676</v>
      </c>
      <c r="U33" s="52">
        <f t="shared" si="43"/>
        <v>0.232421875</v>
      </c>
      <c r="V33" s="153">
        <f t="shared" si="44"/>
        <v>3.3653607946006054E-12</v>
      </c>
    </row>
    <row r="34" spans="2:22" x14ac:dyDescent="0.25">
      <c r="B34" s="47">
        <v>-654</v>
      </c>
      <c r="C34" s="155">
        <v>-6540000</v>
      </c>
      <c r="D34" s="26">
        <f t="shared" si="30"/>
        <v>-6540000</v>
      </c>
      <c r="E34" s="52">
        <f t="shared" si="31"/>
        <v>0</v>
      </c>
      <c r="F34" s="52">
        <f t="shared" si="32"/>
        <v>0</v>
      </c>
      <c r="G34" s="155">
        <v>-65400</v>
      </c>
      <c r="H34" s="26">
        <f t="shared" si="33"/>
        <v>-65400</v>
      </c>
      <c r="I34" s="52">
        <f t="shared" si="34"/>
        <v>0</v>
      </c>
      <c r="J34" s="52">
        <f t="shared" si="35"/>
        <v>0</v>
      </c>
      <c r="K34" s="155">
        <v>-654000000</v>
      </c>
      <c r="L34" s="26">
        <f t="shared" si="36"/>
        <v>-654000000</v>
      </c>
      <c r="M34" s="52">
        <f t="shared" si="37"/>
        <v>0</v>
      </c>
      <c r="N34" s="52">
        <f t="shared" si="38"/>
        <v>0</v>
      </c>
      <c r="O34" s="155">
        <v>-7039.6</v>
      </c>
      <c r="P34" s="26">
        <f t="shared" si="39"/>
        <v>-7039.5974125281591</v>
      </c>
      <c r="Q34" s="52">
        <f t="shared" si="40"/>
        <v>-2.5874718412524089E-3</v>
      </c>
      <c r="R34" s="52">
        <f t="shared" si="41"/>
        <v>3.6755963297667609E-5</v>
      </c>
      <c r="S34" s="155">
        <v>-1013702</v>
      </c>
      <c r="T34" s="26">
        <f t="shared" si="42"/>
        <v>-1013702.0274040548</v>
      </c>
      <c r="U34" s="52">
        <f t="shared" si="43"/>
        <v>2.7404054766520858E-2</v>
      </c>
      <c r="V34" s="153">
        <f t="shared" si="44"/>
        <v>-2.7033639102704275E-6</v>
      </c>
    </row>
    <row r="35" spans="2:22" ht="15.75" thickBot="1" x14ac:dyDescent="0.3">
      <c r="B35" s="74">
        <v>0.65469999999999995</v>
      </c>
      <c r="C35" s="158">
        <v>6547</v>
      </c>
      <c r="D35" s="59">
        <f t="shared" si="30"/>
        <v>6546.9999999999991</v>
      </c>
      <c r="E35" s="57">
        <f t="shared" si="31"/>
        <v>0</v>
      </c>
      <c r="F35" s="57">
        <f t="shared" si="32"/>
        <v>0</v>
      </c>
      <c r="G35" s="156">
        <v>65.47</v>
      </c>
      <c r="H35" s="59">
        <f t="shared" si="33"/>
        <v>65.47</v>
      </c>
      <c r="I35" s="57">
        <f t="shared" si="34"/>
        <v>0</v>
      </c>
      <c r="J35" s="57">
        <f t="shared" si="35"/>
        <v>0</v>
      </c>
      <c r="K35" s="156">
        <v>654700</v>
      </c>
      <c r="L35" s="59">
        <f t="shared" si="36"/>
        <v>654700</v>
      </c>
      <c r="M35" s="57">
        <f t="shared" si="37"/>
        <v>0</v>
      </c>
      <c r="N35" s="57">
        <f t="shared" si="38"/>
        <v>0</v>
      </c>
      <c r="O35" s="156">
        <v>7.0471300000000001</v>
      </c>
      <c r="P35" s="59">
        <f t="shared" si="39"/>
        <v>7.0471321498198556</v>
      </c>
      <c r="Q35" s="57">
        <f t="shared" si="40"/>
        <v>-2.149819855468138E-6</v>
      </c>
      <c r="R35" s="57">
        <f t="shared" si="41"/>
        <v>-3.050630823665047E-5</v>
      </c>
      <c r="S35" s="156">
        <v>1014.79</v>
      </c>
      <c r="T35" s="59">
        <f t="shared" si="42"/>
        <v>1014.787029574059</v>
      </c>
      <c r="U35" s="57">
        <f t="shared" si="43"/>
        <v>2.9704259409299993E-3</v>
      </c>
      <c r="V35" s="163">
        <f t="shared" si="44"/>
        <v>2.927142202612492E-4</v>
      </c>
    </row>
    <row r="36" spans="2:22" ht="15.75" thickBot="1" x14ac:dyDescent="0.3">
      <c r="C36" s="165"/>
      <c r="D36" s="165"/>
      <c r="E36" s="164"/>
      <c r="F36" s="164"/>
      <c r="G36" s="165"/>
      <c r="H36" s="165"/>
      <c r="I36" s="164"/>
      <c r="J36" s="164"/>
      <c r="K36" s="165"/>
      <c r="L36" s="165"/>
      <c r="M36" s="164"/>
      <c r="N36" s="164"/>
      <c r="O36" s="165"/>
      <c r="P36" s="165"/>
      <c r="Q36" s="164"/>
      <c r="R36" s="164"/>
      <c r="S36" s="165"/>
      <c r="T36" s="165"/>
      <c r="U36" s="164"/>
      <c r="V36" s="164"/>
    </row>
    <row r="37" spans="2:22" x14ac:dyDescent="0.25">
      <c r="B37" s="341" t="s">
        <v>10</v>
      </c>
      <c r="C37" s="166" t="s">
        <v>14</v>
      </c>
      <c r="D37" s="168" t="s">
        <v>14</v>
      </c>
      <c r="E37" s="343" t="s">
        <v>354</v>
      </c>
      <c r="F37" s="352" t="s">
        <v>355</v>
      </c>
      <c r="G37" s="166" t="s">
        <v>14</v>
      </c>
      <c r="H37" s="168" t="s">
        <v>14</v>
      </c>
      <c r="I37" s="343" t="s">
        <v>354</v>
      </c>
      <c r="J37" s="352" t="s">
        <v>355</v>
      </c>
      <c r="K37" s="166" t="s">
        <v>14</v>
      </c>
      <c r="L37" s="168" t="s">
        <v>14</v>
      </c>
      <c r="M37" s="343" t="s">
        <v>354</v>
      </c>
      <c r="N37" s="352" t="s">
        <v>355</v>
      </c>
      <c r="O37" s="166" t="s">
        <v>14</v>
      </c>
      <c r="P37" s="168" t="s">
        <v>14</v>
      </c>
      <c r="Q37" s="343" t="s">
        <v>354</v>
      </c>
      <c r="R37" s="352" t="s">
        <v>355</v>
      </c>
      <c r="S37" s="166" t="s">
        <v>14</v>
      </c>
      <c r="T37" s="168" t="s">
        <v>14</v>
      </c>
      <c r="U37" s="343" t="s">
        <v>354</v>
      </c>
      <c r="V37" s="357" t="s">
        <v>355</v>
      </c>
    </row>
    <row r="38" spans="2:22" ht="15.75" thickBot="1" x14ac:dyDescent="0.3">
      <c r="B38" s="342"/>
      <c r="C38" s="167" t="s">
        <v>290</v>
      </c>
      <c r="D38" s="169" t="s">
        <v>291</v>
      </c>
      <c r="E38" s="344"/>
      <c r="F38" s="353"/>
      <c r="G38" s="167" t="s">
        <v>290</v>
      </c>
      <c r="H38" s="169" t="s">
        <v>291</v>
      </c>
      <c r="I38" s="344"/>
      <c r="J38" s="353"/>
      <c r="K38" s="167" t="s">
        <v>290</v>
      </c>
      <c r="L38" s="169" t="s">
        <v>291</v>
      </c>
      <c r="M38" s="344"/>
      <c r="N38" s="353"/>
      <c r="O38" s="167" t="s">
        <v>290</v>
      </c>
      <c r="P38" s="169" t="s">
        <v>291</v>
      </c>
      <c r="Q38" s="344"/>
      <c r="R38" s="353"/>
      <c r="S38" s="167" t="s">
        <v>290</v>
      </c>
      <c r="T38" s="169" t="s">
        <v>291</v>
      </c>
      <c r="U38" s="344"/>
      <c r="V38" s="358"/>
    </row>
    <row r="39" spans="2:22" ht="15.75" thickBot="1" x14ac:dyDescent="0.3">
      <c r="B39" s="346" t="s">
        <v>65</v>
      </c>
      <c r="C39" s="363" t="s">
        <v>62</v>
      </c>
      <c r="D39" s="177" t="s">
        <v>62</v>
      </c>
      <c r="E39" s="344"/>
      <c r="F39" s="354"/>
      <c r="G39" s="363" t="s">
        <v>63</v>
      </c>
      <c r="H39" s="177" t="s">
        <v>63</v>
      </c>
      <c r="I39" s="344"/>
      <c r="J39" s="354"/>
      <c r="K39" s="363" t="s">
        <v>64</v>
      </c>
      <c r="L39" s="177" t="s">
        <v>64</v>
      </c>
      <c r="M39" s="344"/>
      <c r="N39" s="354"/>
      <c r="O39" s="363" t="s">
        <v>66</v>
      </c>
      <c r="P39" s="177" t="s">
        <v>66</v>
      </c>
      <c r="Q39" s="344"/>
      <c r="R39" s="354"/>
      <c r="S39" s="363" t="s">
        <v>67</v>
      </c>
      <c r="T39" s="177" t="s">
        <v>67</v>
      </c>
      <c r="U39" s="344"/>
      <c r="V39" s="358"/>
    </row>
    <row r="40" spans="2:22" ht="30.75" thickBot="1" x14ac:dyDescent="0.3">
      <c r="B40" s="347"/>
      <c r="C40" s="371"/>
      <c r="D40" s="208" t="s">
        <v>202</v>
      </c>
      <c r="E40" s="345"/>
      <c r="F40" s="345"/>
      <c r="G40" s="364"/>
      <c r="H40" s="208" t="s">
        <v>203</v>
      </c>
      <c r="I40" s="345"/>
      <c r="J40" s="345"/>
      <c r="K40" s="364"/>
      <c r="L40" s="210" t="s">
        <v>201</v>
      </c>
      <c r="M40" s="345"/>
      <c r="N40" s="345"/>
      <c r="O40" s="364"/>
      <c r="P40" s="208" t="s">
        <v>204</v>
      </c>
      <c r="Q40" s="345"/>
      <c r="R40" s="345"/>
      <c r="S40" s="364"/>
      <c r="T40" s="208" t="s">
        <v>205</v>
      </c>
      <c r="U40" s="345"/>
      <c r="V40" s="359"/>
    </row>
    <row r="41" spans="2:22" x14ac:dyDescent="0.25">
      <c r="B41" s="44">
        <v>1</v>
      </c>
      <c r="C41" s="154">
        <v>0.01</v>
      </c>
      <c r="D41" s="58">
        <f>L41*10000</f>
        <v>0.01</v>
      </c>
      <c r="E41" s="54">
        <f>C41-D41</f>
        <v>0</v>
      </c>
      <c r="F41" s="54">
        <f>(100*E41)/D41</f>
        <v>0</v>
      </c>
      <c r="G41" s="154">
        <v>1E-4</v>
      </c>
      <c r="H41" s="58">
        <f>L41*100</f>
        <v>9.9999999999999991E-5</v>
      </c>
      <c r="I41" s="54">
        <f>G41-H41</f>
        <v>0</v>
      </c>
      <c r="J41" s="54">
        <f>(100*I41)/H41</f>
        <v>0</v>
      </c>
      <c r="K41" s="154">
        <v>9.9999999999999995E-7</v>
      </c>
      <c r="L41" s="58">
        <f>B41/1000000</f>
        <v>9.9999999999999995E-7</v>
      </c>
      <c r="M41" s="54">
        <f>K41-L41</f>
        <v>0</v>
      </c>
      <c r="N41" s="54">
        <f>(100*M41)/L41</f>
        <v>0</v>
      </c>
      <c r="O41" s="157">
        <v>1.0763910416709699E-5</v>
      </c>
      <c r="P41" s="58">
        <f>L41/144*10000/(2.54*2.54)</f>
        <v>1.0763910416709723E-5</v>
      </c>
      <c r="Q41" s="54">
        <f>O41-P41</f>
        <v>-2.3716922523120409E-20</v>
      </c>
      <c r="R41" s="54">
        <f>(100*Q41)/P41</f>
        <v>-2.2033742018423561E-13</v>
      </c>
      <c r="S41" s="154">
        <v>1.5499999999999999E-3</v>
      </c>
      <c r="T41" s="58">
        <f>L41*10000/(2.54*2.54)</f>
        <v>1.5500031000062E-3</v>
      </c>
      <c r="U41" s="54">
        <f>S41-T41</f>
        <v>-3.1000062000914597E-9</v>
      </c>
      <c r="V41" s="162">
        <f>(100*U41)/T41</f>
        <v>-2.0000000000510061E-4</v>
      </c>
    </row>
    <row r="42" spans="2:22" x14ac:dyDescent="0.25">
      <c r="B42" s="47">
        <v>987</v>
      </c>
      <c r="C42" s="159">
        <v>9.8699999999999992</v>
      </c>
      <c r="D42" s="26">
        <f t="shared" ref="D42:D46" si="45">L42*10000</f>
        <v>9.870000000000001</v>
      </c>
      <c r="E42" s="52">
        <f t="shared" ref="E42:E46" si="46">C42-D42</f>
        <v>0</v>
      </c>
      <c r="F42" s="52">
        <f t="shared" ref="F42:F46" si="47">(100*E42)/D42</f>
        <v>0</v>
      </c>
      <c r="G42" s="155">
        <v>9.8699999999999996E-2</v>
      </c>
      <c r="H42" s="26">
        <f t="shared" ref="H42:H46" si="48">L42*100</f>
        <v>9.870000000000001E-2</v>
      </c>
      <c r="I42" s="52">
        <f t="shared" ref="I42:I46" si="49">G42-H42</f>
        <v>0</v>
      </c>
      <c r="J42" s="52">
        <f t="shared" ref="J42:J46" si="50">(100*I42)/H42</f>
        <v>0</v>
      </c>
      <c r="K42" s="155">
        <v>9.8700000000000003E-4</v>
      </c>
      <c r="L42" s="26">
        <f t="shared" ref="L42:L46" si="51">B42/1000000</f>
        <v>9.8700000000000003E-4</v>
      </c>
      <c r="M42" s="52">
        <f t="shared" ref="M42:M46" si="52">K42-L42</f>
        <v>0</v>
      </c>
      <c r="N42" s="52">
        <f t="shared" ref="N42:N46" si="53">(100*M42)/L42</f>
        <v>0</v>
      </c>
      <c r="O42" s="155">
        <v>1.0624E-2</v>
      </c>
      <c r="P42" s="26">
        <f t="shared" ref="P42:P46" si="54">L42/144*10000/(2.54*2.54)</f>
        <v>1.0623979581292495E-2</v>
      </c>
      <c r="Q42" s="52">
        <f t="shared" ref="Q42:Q46" si="55">O42-P42</f>
        <v>2.0418707504313294E-8</v>
      </c>
      <c r="R42" s="52">
        <f t="shared" ref="R42:R46" si="56">(100*Q42)/P42</f>
        <v>1.921945288775601E-4</v>
      </c>
      <c r="S42" s="159">
        <v>1.5298499999999999</v>
      </c>
      <c r="T42" s="26">
        <f t="shared" ref="T42:T46" si="57">L42*10000/(2.54*2.54)</f>
        <v>1.5298530597061195</v>
      </c>
      <c r="U42" s="52">
        <f t="shared" ref="U42:U46" si="58">S42-T42</f>
        <v>-3.0597061195791753E-6</v>
      </c>
      <c r="V42" s="153">
        <f t="shared" ref="V42:V46" si="59">(100*U42)/T42</f>
        <v>-2.0000000001091191E-4</v>
      </c>
    </row>
    <row r="43" spans="2:22" x14ac:dyDescent="0.25">
      <c r="B43" s="47">
        <v>5987</v>
      </c>
      <c r="C43" s="155">
        <v>59.87</v>
      </c>
      <c r="D43" s="26">
        <f t="shared" si="45"/>
        <v>59.870000000000005</v>
      </c>
      <c r="E43" s="52">
        <f t="shared" si="46"/>
        <v>0</v>
      </c>
      <c r="F43" s="52">
        <f t="shared" si="47"/>
        <v>0</v>
      </c>
      <c r="G43" s="155">
        <v>0.59870000000000001</v>
      </c>
      <c r="H43" s="26">
        <f t="shared" si="48"/>
        <v>0.59870000000000001</v>
      </c>
      <c r="I43" s="52">
        <f t="shared" si="49"/>
        <v>0</v>
      </c>
      <c r="J43" s="52">
        <f t="shared" si="50"/>
        <v>0</v>
      </c>
      <c r="K43" s="159">
        <v>5.9870000000000001E-3</v>
      </c>
      <c r="L43" s="26">
        <f t="shared" si="51"/>
        <v>5.9870000000000001E-3</v>
      </c>
      <c r="M43" s="52">
        <f t="shared" si="52"/>
        <v>0</v>
      </c>
      <c r="N43" s="52">
        <f t="shared" si="53"/>
        <v>0</v>
      </c>
      <c r="O43" s="155">
        <v>6.4443500000000001E-2</v>
      </c>
      <c r="P43" s="26">
        <f t="shared" si="54"/>
        <v>6.4443531664841111E-2</v>
      </c>
      <c r="Q43" s="52">
        <f t="shared" si="55"/>
        <v>-3.166484111027934E-8</v>
      </c>
      <c r="R43" s="52">
        <f t="shared" si="56"/>
        <v>-4.9135794225186665E-5</v>
      </c>
      <c r="S43" s="155">
        <v>9.2798700000000007</v>
      </c>
      <c r="T43" s="26">
        <f t="shared" si="57"/>
        <v>9.2798685597371193</v>
      </c>
      <c r="U43" s="52">
        <f t="shared" si="58"/>
        <v>1.440262881402532E-6</v>
      </c>
      <c r="V43" s="153">
        <f t="shared" si="59"/>
        <v>1.5520293979717011E-5</v>
      </c>
    </row>
    <row r="44" spans="2:22" x14ac:dyDescent="0.25">
      <c r="B44" s="47">
        <v>4455667788</v>
      </c>
      <c r="C44" s="155">
        <v>44556678</v>
      </c>
      <c r="D44" s="26">
        <f t="shared" si="45"/>
        <v>44556677.879999995</v>
      </c>
      <c r="E44" s="52">
        <f t="shared" si="46"/>
        <v>0.12000000476837158</v>
      </c>
      <c r="F44" s="52">
        <f t="shared" si="47"/>
        <v>2.6931991000665601E-7</v>
      </c>
      <c r="G44" s="155">
        <v>445567</v>
      </c>
      <c r="H44" s="26">
        <f t="shared" si="48"/>
        <v>445566.77879999997</v>
      </c>
      <c r="I44" s="52">
        <f t="shared" si="49"/>
        <v>0.22120000002905726</v>
      </c>
      <c r="J44" s="52">
        <f t="shared" si="50"/>
        <v>4.9644634778381119E-5</v>
      </c>
      <c r="K44" s="155">
        <v>4455.67</v>
      </c>
      <c r="L44" s="26">
        <f t="shared" si="51"/>
        <v>4455.6677879999997</v>
      </c>
      <c r="M44" s="52">
        <f t="shared" si="52"/>
        <v>2.2120000003269524E-3</v>
      </c>
      <c r="N44" s="52">
        <f t="shared" si="53"/>
        <v>4.9644634779197604E-5</v>
      </c>
      <c r="O44" s="155">
        <v>47960.4</v>
      </c>
      <c r="P44" s="26">
        <f t="shared" si="54"/>
        <v>47960.408916651162</v>
      </c>
      <c r="Q44" s="52">
        <f t="shared" si="55"/>
        <v>-8.9166511606890708E-3</v>
      </c>
      <c r="R44" s="52">
        <f t="shared" si="56"/>
        <v>-1.859169127641307E-5</v>
      </c>
      <c r="S44" s="155">
        <v>6906299</v>
      </c>
      <c r="T44" s="26">
        <f t="shared" si="57"/>
        <v>6906298.8839977672</v>
      </c>
      <c r="U44" s="52">
        <f t="shared" si="58"/>
        <v>0.11600223276764154</v>
      </c>
      <c r="V44" s="153">
        <f t="shared" si="59"/>
        <v>1.6796584497150044E-6</v>
      </c>
    </row>
    <row r="45" spans="2:22" x14ac:dyDescent="0.25">
      <c r="B45" s="47">
        <v>-654</v>
      </c>
      <c r="C45" s="155">
        <v>-6.54</v>
      </c>
      <c r="D45" s="26">
        <f t="shared" si="45"/>
        <v>-6.5399999999999991</v>
      </c>
      <c r="E45" s="52">
        <f t="shared" si="46"/>
        <v>0</v>
      </c>
      <c r="F45" s="52">
        <f t="shared" si="47"/>
        <v>0</v>
      </c>
      <c r="G45" s="155">
        <v>-6.54E-2</v>
      </c>
      <c r="H45" s="26">
        <f t="shared" si="48"/>
        <v>-6.54E-2</v>
      </c>
      <c r="I45" s="52">
        <f t="shared" si="49"/>
        <v>0</v>
      </c>
      <c r="J45" s="52">
        <f t="shared" si="50"/>
        <v>0</v>
      </c>
      <c r="K45" s="155">
        <v>-6.5399999999999996E-4</v>
      </c>
      <c r="L45" s="26">
        <f t="shared" si="51"/>
        <v>-6.5399999999999996E-4</v>
      </c>
      <c r="M45" s="52">
        <f t="shared" si="52"/>
        <v>0</v>
      </c>
      <c r="N45" s="52">
        <f t="shared" si="53"/>
        <v>0</v>
      </c>
      <c r="O45" s="155">
        <v>-7.0396E-3</v>
      </c>
      <c r="P45" s="26">
        <f t="shared" si="54"/>
        <v>-7.0395974125281582E-3</v>
      </c>
      <c r="Q45" s="52">
        <f t="shared" si="55"/>
        <v>-2.5874718418208986E-9</v>
      </c>
      <c r="R45" s="52">
        <f t="shared" si="56"/>
        <v>3.6755963305743214E-5</v>
      </c>
      <c r="S45" s="155">
        <v>-1.0137</v>
      </c>
      <c r="T45" s="26">
        <f t="shared" si="57"/>
        <v>-1.0137020274040547</v>
      </c>
      <c r="U45" s="52">
        <f t="shared" si="58"/>
        <v>2.0274040546386374E-6</v>
      </c>
      <c r="V45" s="153">
        <f t="shared" si="59"/>
        <v>-1.9999999998328188E-4</v>
      </c>
    </row>
    <row r="46" spans="2:22" ht="15.75" thickBot="1" x14ac:dyDescent="0.3">
      <c r="B46" s="74">
        <v>0.65469999999999995</v>
      </c>
      <c r="C46" s="158">
        <v>6.5469999999999999E-3</v>
      </c>
      <c r="D46" s="59">
        <f t="shared" si="45"/>
        <v>6.5469999999999999E-3</v>
      </c>
      <c r="E46" s="57">
        <f t="shared" si="46"/>
        <v>0</v>
      </c>
      <c r="F46" s="57">
        <f t="shared" si="47"/>
        <v>0</v>
      </c>
      <c r="G46" s="156">
        <v>6.5469999999999995E-5</v>
      </c>
      <c r="H46" s="59">
        <f t="shared" si="48"/>
        <v>6.5469999999999995E-5</v>
      </c>
      <c r="I46" s="57">
        <f t="shared" si="49"/>
        <v>0</v>
      </c>
      <c r="J46" s="57">
        <f t="shared" si="50"/>
        <v>0</v>
      </c>
      <c r="K46" s="156">
        <v>6.5469999999999995E-7</v>
      </c>
      <c r="L46" s="59">
        <f t="shared" si="51"/>
        <v>6.5469999999999995E-7</v>
      </c>
      <c r="M46" s="57">
        <f t="shared" si="52"/>
        <v>0</v>
      </c>
      <c r="N46" s="57">
        <f t="shared" si="53"/>
        <v>0</v>
      </c>
      <c r="O46" s="156">
        <v>7.0471321498198503E-6</v>
      </c>
      <c r="P46" s="59">
        <f t="shared" si="54"/>
        <v>7.0471321498198545E-6</v>
      </c>
      <c r="Q46" s="57">
        <f t="shared" si="55"/>
        <v>0</v>
      </c>
      <c r="R46" s="57">
        <f t="shared" si="56"/>
        <v>0</v>
      </c>
      <c r="S46" s="156">
        <v>1.01479E-3</v>
      </c>
      <c r="T46" s="59">
        <f t="shared" si="57"/>
        <v>1.0147870295740592E-3</v>
      </c>
      <c r="U46" s="57">
        <f t="shared" si="58"/>
        <v>2.9704259408083744E-9</v>
      </c>
      <c r="V46" s="163">
        <f t="shared" si="59"/>
        <v>2.9271422024926388E-4</v>
      </c>
    </row>
    <row r="47" spans="2:22" ht="15.75" thickBot="1" x14ac:dyDescent="0.3">
      <c r="C47" s="165"/>
      <c r="D47" s="165"/>
      <c r="E47" s="164"/>
      <c r="F47" s="164"/>
      <c r="G47" s="165"/>
      <c r="H47" s="165"/>
      <c r="I47" s="164"/>
      <c r="J47" s="164"/>
      <c r="K47" s="165"/>
      <c r="L47" s="165"/>
      <c r="M47" s="164"/>
      <c r="N47" s="164"/>
      <c r="O47" s="165"/>
      <c r="P47" s="165"/>
      <c r="Q47" s="164"/>
      <c r="R47" s="164"/>
      <c r="S47" s="165"/>
      <c r="T47" s="165"/>
      <c r="U47" s="164"/>
      <c r="V47" s="164"/>
    </row>
    <row r="48" spans="2:22" x14ac:dyDescent="0.25">
      <c r="B48" s="341" t="s">
        <v>10</v>
      </c>
      <c r="C48" s="166" t="s">
        <v>14</v>
      </c>
      <c r="D48" s="168" t="s">
        <v>14</v>
      </c>
      <c r="E48" s="343" t="s">
        <v>354</v>
      </c>
      <c r="F48" s="352" t="s">
        <v>355</v>
      </c>
      <c r="G48" s="166" t="s">
        <v>14</v>
      </c>
      <c r="H48" s="168" t="s">
        <v>14</v>
      </c>
      <c r="I48" s="343" t="s">
        <v>354</v>
      </c>
      <c r="J48" s="352" t="s">
        <v>355</v>
      </c>
      <c r="K48" s="166" t="s">
        <v>14</v>
      </c>
      <c r="L48" s="168" t="s">
        <v>14</v>
      </c>
      <c r="M48" s="343" t="s">
        <v>354</v>
      </c>
      <c r="N48" s="352" t="s">
        <v>355</v>
      </c>
      <c r="O48" s="166" t="s">
        <v>14</v>
      </c>
      <c r="P48" s="168" t="s">
        <v>14</v>
      </c>
      <c r="Q48" s="343" t="s">
        <v>354</v>
      </c>
      <c r="R48" s="352" t="s">
        <v>355</v>
      </c>
      <c r="S48" s="166" t="s">
        <v>14</v>
      </c>
      <c r="T48" s="168" t="s">
        <v>14</v>
      </c>
      <c r="U48" s="343" t="s">
        <v>354</v>
      </c>
      <c r="V48" s="357" t="s">
        <v>355</v>
      </c>
    </row>
    <row r="49" spans="2:22" ht="15.75" thickBot="1" x14ac:dyDescent="0.3">
      <c r="B49" s="342"/>
      <c r="C49" s="167" t="s">
        <v>290</v>
      </c>
      <c r="D49" s="169" t="s">
        <v>291</v>
      </c>
      <c r="E49" s="344"/>
      <c r="F49" s="353"/>
      <c r="G49" s="167" t="s">
        <v>290</v>
      </c>
      <c r="H49" s="169" t="s">
        <v>291</v>
      </c>
      <c r="I49" s="344"/>
      <c r="J49" s="353"/>
      <c r="K49" s="167" t="s">
        <v>290</v>
      </c>
      <c r="L49" s="169" t="s">
        <v>291</v>
      </c>
      <c r="M49" s="344"/>
      <c r="N49" s="353"/>
      <c r="O49" s="167" t="s">
        <v>290</v>
      </c>
      <c r="P49" s="169" t="s">
        <v>291</v>
      </c>
      <c r="Q49" s="344"/>
      <c r="R49" s="353"/>
      <c r="S49" s="167" t="s">
        <v>290</v>
      </c>
      <c r="T49" s="169" t="s">
        <v>291</v>
      </c>
      <c r="U49" s="344"/>
      <c r="V49" s="358"/>
    </row>
    <row r="50" spans="2:22" ht="15.75" thickBot="1" x14ac:dyDescent="0.3">
      <c r="B50" s="346" t="s">
        <v>66</v>
      </c>
      <c r="C50" s="363" t="s">
        <v>62</v>
      </c>
      <c r="D50" s="177" t="s">
        <v>62</v>
      </c>
      <c r="E50" s="344"/>
      <c r="F50" s="354"/>
      <c r="G50" s="363" t="s">
        <v>63</v>
      </c>
      <c r="H50" s="177" t="s">
        <v>63</v>
      </c>
      <c r="I50" s="344"/>
      <c r="J50" s="354"/>
      <c r="K50" s="363" t="s">
        <v>64</v>
      </c>
      <c r="L50" s="177" t="s">
        <v>64</v>
      </c>
      <c r="M50" s="344"/>
      <c r="N50" s="354"/>
      <c r="O50" s="363" t="s">
        <v>65</v>
      </c>
      <c r="P50" s="177" t="s">
        <v>65</v>
      </c>
      <c r="Q50" s="344"/>
      <c r="R50" s="354"/>
      <c r="S50" s="363" t="s">
        <v>67</v>
      </c>
      <c r="T50" s="177" t="s">
        <v>67</v>
      </c>
      <c r="U50" s="344"/>
      <c r="V50" s="358"/>
    </row>
    <row r="51" spans="2:22" ht="30.75" customHeight="1" thickBot="1" x14ac:dyDescent="0.3">
      <c r="B51" s="347"/>
      <c r="C51" s="371"/>
      <c r="D51" s="208" t="s">
        <v>207</v>
      </c>
      <c r="E51" s="345"/>
      <c r="F51" s="345"/>
      <c r="G51" s="364"/>
      <c r="H51" s="208" t="s">
        <v>208</v>
      </c>
      <c r="I51" s="345"/>
      <c r="J51" s="345"/>
      <c r="K51" s="364"/>
      <c r="L51" s="210" t="s">
        <v>206</v>
      </c>
      <c r="M51" s="345"/>
      <c r="N51" s="345"/>
      <c r="O51" s="364"/>
      <c r="P51" s="208" t="s">
        <v>209</v>
      </c>
      <c r="Q51" s="345"/>
      <c r="R51" s="345"/>
      <c r="S51" s="364"/>
      <c r="T51" s="208" t="s">
        <v>210</v>
      </c>
      <c r="U51" s="345"/>
      <c r="V51" s="359"/>
    </row>
    <row r="52" spans="2:22" x14ac:dyDescent="0.25">
      <c r="B52" s="44">
        <v>1</v>
      </c>
      <c r="C52" s="154">
        <v>929.03</v>
      </c>
      <c r="D52" s="58">
        <f>L52*10000</f>
        <v>929.03039999999987</v>
      </c>
      <c r="E52" s="54">
        <f>C52-D52</f>
        <v>-3.9999999989959178E-4</v>
      </c>
      <c r="F52" s="54">
        <f>(100*E52)/D52</f>
        <v>-4.3055641656031043E-5</v>
      </c>
      <c r="G52" s="154">
        <v>9.2903000000000002</v>
      </c>
      <c r="H52" s="58">
        <f>L52*100</f>
        <v>9.290303999999999</v>
      </c>
      <c r="I52" s="54">
        <f>G52-H52</f>
        <v>-3.999999998782755E-6</v>
      </c>
      <c r="J52" s="54">
        <f>(100*I52)/H52</f>
        <v>-4.305564165373658E-5</v>
      </c>
      <c r="K52" s="154">
        <v>9.2902999999999999E-2</v>
      </c>
      <c r="L52" s="58">
        <f>B52*144/10000*(2.54*2.54)</f>
        <v>9.2903039999999992E-2</v>
      </c>
      <c r="M52" s="54">
        <f>K52-L52</f>
        <v>-3.9999999992823554E-8</v>
      </c>
      <c r="N52" s="54">
        <f>(100*M52)/L52</f>
        <v>-4.305564165911423E-5</v>
      </c>
      <c r="O52" s="157">
        <v>92903</v>
      </c>
      <c r="P52" s="58">
        <f>L52*1000000</f>
        <v>92903.039999999994</v>
      </c>
      <c r="Q52" s="54">
        <f>O52-P52</f>
        <v>-3.9999999993597157E-2</v>
      </c>
      <c r="R52" s="54">
        <f>(100*Q52)/P52</f>
        <v>-4.3055641659946931E-5</v>
      </c>
      <c r="S52" s="154">
        <v>144</v>
      </c>
      <c r="T52" s="58">
        <f>L52*10000/(2.54*2.54)</f>
        <v>143.99999999999997</v>
      </c>
      <c r="U52" s="54">
        <f>S52-T52</f>
        <v>0</v>
      </c>
      <c r="V52" s="162">
        <f>(100*U52)/T52</f>
        <v>0</v>
      </c>
    </row>
    <row r="53" spans="2:22" x14ac:dyDescent="0.25">
      <c r="B53" s="47">
        <v>987</v>
      </c>
      <c r="C53" s="159">
        <v>916953</v>
      </c>
      <c r="D53" s="26">
        <f t="shared" ref="D53:D57" si="60">L53*10000</f>
        <v>916953.0048</v>
      </c>
      <c r="E53" s="52">
        <f t="shared" ref="E53:E57" si="61">C53-D53</f>
        <v>-4.7999999951571226E-3</v>
      </c>
      <c r="F53" s="52">
        <f t="shared" ref="F53:F57" si="62">(100*E53)/D53</f>
        <v>-5.2347284648508986E-7</v>
      </c>
      <c r="G53" s="155">
        <v>9169.5300000000007</v>
      </c>
      <c r="H53" s="26">
        <f t="shared" ref="H53:H57" si="63">L53*100</f>
        <v>9169.5300480000005</v>
      </c>
      <c r="I53" s="52">
        <f t="shared" ref="I53:I57" si="64">G53-H53</f>
        <v>-4.799999987881165E-5</v>
      </c>
      <c r="J53" s="52">
        <f t="shared" ref="J53:J57" si="65">(100*I53)/H53</f>
        <v>-5.2347284569159691E-7</v>
      </c>
      <c r="K53" s="155">
        <v>91.695300000000003</v>
      </c>
      <c r="L53" s="26">
        <f t="shared" ref="L53:L57" si="66">B53*144/10000*(2.54*2.54)</f>
        <v>91.69530048</v>
      </c>
      <c r="M53" s="52">
        <f t="shared" ref="M53:M57" si="67">K53-L53</f>
        <v>-4.7999999708281393E-7</v>
      </c>
      <c r="N53" s="52">
        <f t="shared" ref="N53:N57" si="68">(100*M53)/L53</f>
        <v>-5.2347284383184777E-7</v>
      </c>
      <c r="O53" s="155">
        <v>91695300</v>
      </c>
      <c r="P53" s="26">
        <f t="shared" ref="P53:P57" si="69">L53*1000000</f>
        <v>91695300.480000004</v>
      </c>
      <c r="Q53" s="52">
        <f t="shared" ref="Q53:Q57" si="70">O53-P53</f>
        <v>-0.48000000417232513</v>
      </c>
      <c r="R53" s="52">
        <f t="shared" ref="R53:R57" si="71">(100*Q53)/P53</f>
        <v>-5.2347285156344487E-7</v>
      </c>
      <c r="S53" s="159">
        <v>142128</v>
      </c>
      <c r="T53" s="26">
        <f t="shared" ref="T53:T57" si="72">L53*10000/(2.54*2.54)</f>
        <v>142128</v>
      </c>
      <c r="U53" s="52">
        <f t="shared" ref="U53:U57" si="73">S53-T53</f>
        <v>0</v>
      </c>
      <c r="V53" s="153">
        <f t="shared" ref="V53:V57" si="74">(100*U53)/T53</f>
        <v>0</v>
      </c>
    </row>
    <row r="54" spans="2:22" x14ac:dyDescent="0.25">
      <c r="B54" s="47">
        <v>5987</v>
      </c>
      <c r="C54" s="155">
        <v>5562105</v>
      </c>
      <c r="D54" s="26">
        <f t="shared" si="60"/>
        <v>5562105.0048000002</v>
      </c>
      <c r="E54" s="52">
        <f t="shared" si="61"/>
        <v>-4.8000002279877663E-3</v>
      </c>
      <c r="F54" s="52">
        <f t="shared" si="62"/>
        <v>-8.6298267002249136E-8</v>
      </c>
      <c r="G54" s="155">
        <v>55621.1</v>
      </c>
      <c r="H54" s="26">
        <f t="shared" si="63"/>
        <v>55621.050048000005</v>
      </c>
      <c r="I54" s="52">
        <f t="shared" si="64"/>
        <v>4.9951999993936624E-2</v>
      </c>
      <c r="J54" s="52">
        <f t="shared" si="65"/>
        <v>8.9807725583801297E-5</v>
      </c>
      <c r="K54" s="159">
        <v>556.21100000000001</v>
      </c>
      <c r="L54" s="26">
        <f t="shared" si="66"/>
        <v>556.21050048000006</v>
      </c>
      <c r="M54" s="52">
        <f t="shared" si="67"/>
        <v>4.9951999994846119E-4</v>
      </c>
      <c r="N54" s="52">
        <f t="shared" si="68"/>
        <v>8.9807725585436463E-5</v>
      </c>
      <c r="O54" s="155">
        <v>556210500</v>
      </c>
      <c r="P54" s="26">
        <f t="shared" si="69"/>
        <v>556210500.48000002</v>
      </c>
      <c r="Q54" s="52">
        <f t="shared" si="70"/>
        <v>-0.48000001907348633</v>
      </c>
      <c r="R54" s="52">
        <f t="shared" si="71"/>
        <v>-8.629826633248646E-8</v>
      </c>
      <c r="S54" s="155">
        <v>862128</v>
      </c>
      <c r="T54" s="26">
        <f t="shared" si="72"/>
        <v>862128</v>
      </c>
      <c r="U54" s="52">
        <f t="shared" si="73"/>
        <v>0</v>
      </c>
      <c r="V54" s="153">
        <f t="shared" si="74"/>
        <v>0</v>
      </c>
    </row>
    <row r="55" spans="2:22" x14ac:dyDescent="0.25">
      <c r="B55" s="47">
        <v>4455667788</v>
      </c>
      <c r="C55" s="155">
        <v>4139450827353</v>
      </c>
      <c r="D55" s="26">
        <f t="shared" si="60"/>
        <v>4139450827352.7559</v>
      </c>
      <c r="E55" s="52">
        <f t="shared" si="61"/>
        <v>0.244140625</v>
      </c>
      <c r="F55" s="52">
        <f t="shared" si="62"/>
        <v>5.8978989045300917E-12</v>
      </c>
      <c r="G55" s="155">
        <v>41394508274</v>
      </c>
      <c r="H55" s="26">
        <f t="shared" si="63"/>
        <v>41394508273.527557</v>
      </c>
      <c r="I55" s="52">
        <f t="shared" si="64"/>
        <v>0.472442626953125</v>
      </c>
      <c r="J55" s="52">
        <f t="shared" si="65"/>
        <v>1.1413171617628794E-9</v>
      </c>
      <c r="K55" s="155">
        <v>413945083</v>
      </c>
      <c r="L55" s="26">
        <f t="shared" si="66"/>
        <v>413945082.73527557</v>
      </c>
      <c r="M55" s="52">
        <f t="shared" si="67"/>
        <v>0.26472443342208862</v>
      </c>
      <c r="N55" s="52">
        <f t="shared" si="68"/>
        <v>6.3951583063346615E-8</v>
      </c>
      <c r="O55" s="155">
        <v>413945082735276</v>
      </c>
      <c r="P55" s="26">
        <f t="shared" si="69"/>
        <v>413945082735275.56</v>
      </c>
      <c r="Q55" s="52">
        <f t="shared" si="70"/>
        <v>0</v>
      </c>
      <c r="R55" s="52">
        <f t="shared" si="71"/>
        <v>0</v>
      </c>
      <c r="S55" s="155">
        <v>641616161472</v>
      </c>
      <c r="T55" s="26">
        <f t="shared" si="72"/>
        <v>641616161472.00012</v>
      </c>
      <c r="U55" s="52">
        <f t="shared" si="73"/>
        <v>0</v>
      </c>
      <c r="V55" s="153">
        <f t="shared" si="74"/>
        <v>0</v>
      </c>
    </row>
    <row r="56" spans="2:22" x14ac:dyDescent="0.25">
      <c r="B56" s="47">
        <v>-654</v>
      </c>
      <c r="C56" s="155">
        <v>-607586</v>
      </c>
      <c r="D56" s="26">
        <f t="shared" si="60"/>
        <v>-607585.88159999996</v>
      </c>
      <c r="E56" s="52">
        <f t="shared" si="61"/>
        <v>-0.11840000003576279</v>
      </c>
      <c r="F56" s="52">
        <f t="shared" si="62"/>
        <v>1.948695709057154E-5</v>
      </c>
      <c r="G56" s="155">
        <v>-6075.86</v>
      </c>
      <c r="H56" s="26">
        <f t="shared" si="63"/>
        <v>-6075.8588159999999</v>
      </c>
      <c r="I56" s="52">
        <f t="shared" si="64"/>
        <v>-1.1839999997391715E-3</v>
      </c>
      <c r="J56" s="52">
        <f t="shared" si="65"/>
        <v>1.9486957080392626E-5</v>
      </c>
      <c r="K56" s="155">
        <v>-60.758600000000001</v>
      </c>
      <c r="L56" s="26">
        <f t="shared" si="66"/>
        <v>-60.758588160000002</v>
      </c>
      <c r="M56" s="52">
        <f t="shared" si="67"/>
        <v>-1.1839999999097017E-5</v>
      </c>
      <c r="N56" s="52">
        <f t="shared" si="68"/>
        <v>1.948695708319931E-5</v>
      </c>
      <c r="O56" s="155">
        <v>-60758588</v>
      </c>
      <c r="P56" s="26">
        <f t="shared" si="69"/>
        <v>-60758588.160000004</v>
      </c>
      <c r="Q56" s="52">
        <f t="shared" si="70"/>
        <v>0.16000000387430191</v>
      </c>
      <c r="R56" s="52">
        <f t="shared" si="71"/>
        <v>-2.6333726427770552E-7</v>
      </c>
      <c r="S56" s="155">
        <v>-94176</v>
      </c>
      <c r="T56" s="26">
        <f t="shared" si="72"/>
        <v>-94176</v>
      </c>
      <c r="U56" s="52">
        <f t="shared" si="73"/>
        <v>0</v>
      </c>
      <c r="V56" s="153">
        <f t="shared" si="74"/>
        <v>0</v>
      </c>
    </row>
    <row r="57" spans="2:22" ht="15.75" thickBot="1" x14ac:dyDescent="0.3">
      <c r="B57" s="74">
        <v>0.65469999999999995</v>
      </c>
      <c r="C57" s="158">
        <v>608.23599999999999</v>
      </c>
      <c r="D57" s="59">
        <f t="shared" si="60"/>
        <v>608.23620287999995</v>
      </c>
      <c r="E57" s="57">
        <f t="shared" si="61"/>
        <v>-2.0287999996071449E-4</v>
      </c>
      <c r="F57" s="57">
        <f t="shared" si="62"/>
        <v>-3.335546272978773E-5</v>
      </c>
      <c r="G57" s="156">
        <v>6.0823600000000004</v>
      </c>
      <c r="H57" s="59">
        <f t="shared" si="63"/>
        <v>6.0823620287999995</v>
      </c>
      <c r="I57" s="57">
        <f t="shared" si="64"/>
        <v>-2.0287999991097649E-6</v>
      </c>
      <c r="J57" s="57">
        <f t="shared" si="65"/>
        <v>-3.3355462721610318E-5</v>
      </c>
      <c r="K57" s="156">
        <v>6.0823599999999998E-2</v>
      </c>
      <c r="L57" s="59">
        <f t="shared" si="66"/>
        <v>6.0823620287999994E-2</v>
      </c>
      <c r="M57" s="57">
        <f t="shared" si="67"/>
        <v>-2.0287999995260986E-8</v>
      </c>
      <c r="N57" s="57">
        <f t="shared" si="68"/>
        <v>-3.3355462728455252E-5</v>
      </c>
      <c r="O57" s="156">
        <v>60823.6</v>
      </c>
      <c r="P57" s="59">
        <f t="shared" si="69"/>
        <v>60823.620287999991</v>
      </c>
      <c r="Q57" s="57">
        <f t="shared" si="70"/>
        <v>-2.028799999243347E-2</v>
      </c>
      <c r="R57" s="57">
        <f t="shared" si="71"/>
        <v>-3.3355462723806539E-5</v>
      </c>
      <c r="S57" s="156">
        <v>94.276799999999994</v>
      </c>
      <c r="T57" s="59">
        <f t="shared" si="72"/>
        <v>94.276799999999994</v>
      </c>
      <c r="U57" s="57">
        <f t="shared" si="73"/>
        <v>0</v>
      </c>
      <c r="V57" s="163">
        <f t="shared" si="74"/>
        <v>0</v>
      </c>
    </row>
    <row r="58" spans="2:22" ht="15.75" thickBot="1" x14ac:dyDescent="0.3">
      <c r="C58" s="165"/>
      <c r="D58" s="165"/>
      <c r="E58" s="164"/>
      <c r="F58" s="164"/>
      <c r="G58" s="165"/>
      <c r="H58" s="165"/>
      <c r="I58" s="164"/>
      <c r="J58" s="164"/>
      <c r="K58" s="165"/>
      <c r="L58" s="165"/>
      <c r="M58" s="164"/>
      <c r="N58" s="164"/>
      <c r="O58" s="165"/>
      <c r="P58" s="165"/>
      <c r="Q58" s="164"/>
      <c r="R58" s="164"/>
      <c r="S58" s="165"/>
      <c r="T58" s="165"/>
      <c r="U58" s="164"/>
      <c r="V58" s="164"/>
    </row>
    <row r="59" spans="2:22" x14ac:dyDescent="0.25">
      <c r="B59" s="341" t="s">
        <v>10</v>
      </c>
      <c r="C59" s="166" t="s">
        <v>14</v>
      </c>
      <c r="D59" s="168" t="s">
        <v>14</v>
      </c>
      <c r="E59" s="343" t="s">
        <v>354</v>
      </c>
      <c r="F59" s="352" t="s">
        <v>355</v>
      </c>
      <c r="G59" s="166" t="s">
        <v>14</v>
      </c>
      <c r="H59" s="168" t="s">
        <v>14</v>
      </c>
      <c r="I59" s="343" t="s">
        <v>354</v>
      </c>
      <c r="J59" s="352" t="s">
        <v>355</v>
      </c>
      <c r="K59" s="166" t="s">
        <v>14</v>
      </c>
      <c r="L59" s="168" t="s">
        <v>14</v>
      </c>
      <c r="M59" s="343" t="s">
        <v>354</v>
      </c>
      <c r="N59" s="352" t="s">
        <v>355</v>
      </c>
      <c r="O59" s="166" t="s">
        <v>14</v>
      </c>
      <c r="P59" s="168" t="s">
        <v>14</v>
      </c>
      <c r="Q59" s="343" t="s">
        <v>354</v>
      </c>
      <c r="R59" s="352" t="s">
        <v>355</v>
      </c>
      <c r="S59" s="166" t="s">
        <v>14</v>
      </c>
      <c r="T59" s="168" t="s">
        <v>14</v>
      </c>
      <c r="U59" s="343" t="s">
        <v>354</v>
      </c>
      <c r="V59" s="357" t="s">
        <v>355</v>
      </c>
    </row>
    <row r="60" spans="2:22" ht="15.75" thickBot="1" x14ac:dyDescent="0.3">
      <c r="B60" s="342"/>
      <c r="C60" s="167" t="s">
        <v>290</v>
      </c>
      <c r="D60" s="169" t="s">
        <v>291</v>
      </c>
      <c r="E60" s="344"/>
      <c r="F60" s="353"/>
      <c r="G60" s="167" t="s">
        <v>290</v>
      </c>
      <c r="H60" s="169" t="s">
        <v>291</v>
      </c>
      <c r="I60" s="344"/>
      <c r="J60" s="353"/>
      <c r="K60" s="167" t="s">
        <v>290</v>
      </c>
      <c r="L60" s="169" t="s">
        <v>291</v>
      </c>
      <c r="M60" s="344"/>
      <c r="N60" s="353"/>
      <c r="O60" s="167" t="s">
        <v>290</v>
      </c>
      <c r="P60" s="169" t="s">
        <v>291</v>
      </c>
      <c r="Q60" s="344"/>
      <c r="R60" s="353"/>
      <c r="S60" s="167" t="s">
        <v>290</v>
      </c>
      <c r="T60" s="169" t="s">
        <v>291</v>
      </c>
      <c r="U60" s="344"/>
      <c r="V60" s="358"/>
    </row>
    <row r="61" spans="2:22" ht="15.75" thickBot="1" x14ac:dyDescent="0.3">
      <c r="B61" s="346" t="s">
        <v>67</v>
      </c>
      <c r="C61" s="363" t="s">
        <v>62</v>
      </c>
      <c r="D61" s="177" t="s">
        <v>62</v>
      </c>
      <c r="E61" s="344"/>
      <c r="F61" s="354"/>
      <c r="G61" s="363" t="s">
        <v>63</v>
      </c>
      <c r="H61" s="177" t="s">
        <v>63</v>
      </c>
      <c r="I61" s="344"/>
      <c r="J61" s="354"/>
      <c r="K61" s="363" t="s">
        <v>64</v>
      </c>
      <c r="L61" s="177" t="s">
        <v>64</v>
      </c>
      <c r="M61" s="344"/>
      <c r="N61" s="354"/>
      <c r="O61" s="363" t="s">
        <v>65</v>
      </c>
      <c r="P61" s="177" t="s">
        <v>65</v>
      </c>
      <c r="Q61" s="344"/>
      <c r="R61" s="354"/>
      <c r="S61" s="363" t="s">
        <v>66</v>
      </c>
      <c r="T61" s="177" t="s">
        <v>66</v>
      </c>
      <c r="U61" s="344"/>
      <c r="V61" s="358"/>
    </row>
    <row r="62" spans="2:22" ht="30.75" thickBot="1" x14ac:dyDescent="0.3">
      <c r="B62" s="347"/>
      <c r="C62" s="364"/>
      <c r="D62" s="208" t="s">
        <v>212</v>
      </c>
      <c r="E62" s="345"/>
      <c r="F62" s="345"/>
      <c r="G62" s="364"/>
      <c r="H62" s="208" t="s">
        <v>213</v>
      </c>
      <c r="I62" s="345"/>
      <c r="J62" s="345"/>
      <c r="K62" s="364"/>
      <c r="L62" s="210" t="s">
        <v>211</v>
      </c>
      <c r="M62" s="345"/>
      <c r="N62" s="345"/>
      <c r="O62" s="364"/>
      <c r="P62" s="208" t="s">
        <v>214</v>
      </c>
      <c r="Q62" s="345"/>
      <c r="R62" s="345"/>
      <c r="S62" s="364"/>
      <c r="T62" s="208" t="s">
        <v>215</v>
      </c>
      <c r="U62" s="345"/>
      <c r="V62" s="359"/>
    </row>
    <row r="63" spans="2:22" x14ac:dyDescent="0.25">
      <c r="B63" s="44">
        <v>1</v>
      </c>
      <c r="C63" s="154">
        <v>6.4516</v>
      </c>
      <c r="D63" s="58">
        <f>L63*10000</f>
        <v>6.4516</v>
      </c>
      <c r="E63" s="54">
        <f>C63-D63</f>
        <v>0</v>
      </c>
      <c r="F63" s="54">
        <f>(100*E63)/D63</f>
        <v>0</v>
      </c>
      <c r="G63" s="154">
        <v>6.4516000000000004E-2</v>
      </c>
      <c r="H63" s="58">
        <f>L63*100</f>
        <v>6.4516000000000004E-2</v>
      </c>
      <c r="I63" s="54">
        <f>G63-H63</f>
        <v>0</v>
      </c>
      <c r="J63" s="54">
        <f>(100*I63)/H63</f>
        <v>0</v>
      </c>
      <c r="K63" s="154">
        <v>6.4515999999999998E-4</v>
      </c>
      <c r="L63" s="58">
        <f>B63/10000*(2.54*2.54)</f>
        <v>6.4515999999999998E-4</v>
      </c>
      <c r="M63" s="54">
        <f>K63-L63</f>
        <v>0</v>
      </c>
      <c r="N63" s="54">
        <f>(100*M63)/L63</f>
        <v>0</v>
      </c>
      <c r="O63" s="157">
        <v>645.16</v>
      </c>
      <c r="P63" s="58">
        <f>L63*1000000</f>
        <v>645.16</v>
      </c>
      <c r="Q63" s="54">
        <f>O63-P63</f>
        <v>0</v>
      </c>
      <c r="R63" s="54">
        <f>(100*Q63)/P63</f>
        <v>0</v>
      </c>
      <c r="S63" s="154">
        <v>6.9444399999999996E-3</v>
      </c>
      <c r="T63" s="58">
        <f>L63/144*10000/(2.54*2.54)</f>
        <v>6.9444444444444441E-3</v>
      </c>
      <c r="U63" s="54">
        <f>S63-T63</f>
        <v>-4.4444444444180498E-9</v>
      </c>
      <c r="V63" s="162">
        <f>(100*U63)/T63</f>
        <v>-6.3999999999619916E-5</v>
      </c>
    </row>
    <row r="64" spans="2:22" x14ac:dyDescent="0.25">
      <c r="B64" s="47">
        <v>987</v>
      </c>
      <c r="C64" s="159">
        <v>6367.73</v>
      </c>
      <c r="D64" s="26">
        <f t="shared" ref="D64:D68" si="75">L64*10000</f>
        <v>6367.7291999999998</v>
      </c>
      <c r="E64" s="52">
        <f t="shared" ref="E64:E68" si="76">C64-D64</f>
        <v>7.9999999979918357E-4</v>
      </c>
      <c r="F64" s="52">
        <f t="shared" ref="F64:F68" si="77">(100*E64)/D64</f>
        <v>1.2563348325164073E-5</v>
      </c>
      <c r="G64" s="155">
        <v>63.677300000000002</v>
      </c>
      <c r="H64" s="26">
        <f t="shared" ref="H64:H68" si="78">L64*100</f>
        <v>63.677291999999994</v>
      </c>
      <c r="I64" s="52">
        <f t="shared" ref="I64:I68" si="79">G64-H64</f>
        <v>8.0000000082236511E-6</v>
      </c>
      <c r="J64" s="52">
        <f t="shared" ref="J64:J68" si="80">(100*I64)/H64</f>
        <v>1.2563348341232305E-5</v>
      </c>
      <c r="K64" s="155">
        <v>0.63677300000000003</v>
      </c>
      <c r="L64" s="26">
        <f t="shared" ref="L64:L68" si="81">B64/10000*(2.54*2.54)</f>
        <v>0.63677291999999996</v>
      </c>
      <c r="M64" s="52">
        <f t="shared" ref="M64:M68" si="82">K64-L64</f>
        <v>8.0000000068913835E-8</v>
      </c>
      <c r="N64" s="52">
        <f t="shared" ref="N64:N68" si="83">(100*M64)/L64</f>
        <v>1.2563348339140088E-5</v>
      </c>
      <c r="O64" s="155">
        <v>636773</v>
      </c>
      <c r="P64" s="26">
        <f t="shared" ref="P64:P68" si="84">L64*1000000</f>
        <v>636772.91999999993</v>
      </c>
      <c r="Q64" s="52">
        <f t="shared" ref="Q64:Q68" si="85">O64-P64</f>
        <v>8.0000000074505806E-2</v>
      </c>
      <c r="R64" s="52">
        <f t="shared" ref="R64:R68" si="86">(100*Q64)/P64</f>
        <v>1.2563348340018261E-5</v>
      </c>
      <c r="S64" s="159">
        <v>6.8541699999999999</v>
      </c>
      <c r="T64" s="26">
        <f t="shared" ref="T64:T68" si="87">L64/144*10000/(2.54*2.54)</f>
        <v>6.8541666666666661</v>
      </c>
      <c r="U64" s="52">
        <f t="shared" ref="U64:U68" si="88">S64-T64</f>
        <v>3.3333333337992599E-6</v>
      </c>
      <c r="V64" s="153">
        <f t="shared" ref="V64:V68" si="89">(100*U64)/T64</f>
        <v>4.8632218851782519E-5</v>
      </c>
    </row>
    <row r="65" spans="2:22" x14ac:dyDescent="0.25">
      <c r="B65" s="47">
        <v>5987</v>
      </c>
      <c r="C65" s="155">
        <v>38625.699999999997</v>
      </c>
      <c r="D65" s="26">
        <f t="shared" si="75"/>
        <v>38625.729200000002</v>
      </c>
      <c r="E65" s="52">
        <f t="shared" si="76"/>
        <v>-2.9200000004493631E-2</v>
      </c>
      <c r="F65" s="52">
        <f t="shared" si="77"/>
        <v>-7.5597278314925971E-5</v>
      </c>
      <c r="G65" s="155">
        <v>386.25700000000001</v>
      </c>
      <c r="H65" s="26">
        <f t="shared" si="78"/>
        <v>386.25729200000001</v>
      </c>
      <c r="I65" s="52">
        <f t="shared" si="79"/>
        <v>-2.9200000000173532E-4</v>
      </c>
      <c r="J65" s="52">
        <f t="shared" si="80"/>
        <v>-7.5597278303741463E-5</v>
      </c>
      <c r="K65" s="159">
        <v>3.8625699999999998</v>
      </c>
      <c r="L65" s="26">
        <f t="shared" si="81"/>
        <v>3.8625729199999999</v>
      </c>
      <c r="M65" s="52">
        <f t="shared" si="82"/>
        <v>-2.9200000000173532E-6</v>
      </c>
      <c r="N65" s="52">
        <f t="shared" si="83"/>
        <v>-7.5597278303741463E-5</v>
      </c>
      <c r="O65" s="155">
        <v>3862573</v>
      </c>
      <c r="P65" s="26">
        <f t="shared" si="84"/>
        <v>3862572.92</v>
      </c>
      <c r="Q65" s="52">
        <f t="shared" si="85"/>
        <v>8.0000000074505806E-2</v>
      </c>
      <c r="R65" s="52">
        <f t="shared" si="86"/>
        <v>2.0711583116081551E-6</v>
      </c>
      <c r="S65" s="155">
        <v>41.5764</v>
      </c>
      <c r="T65" s="26">
        <f t="shared" si="87"/>
        <v>41.576388888888886</v>
      </c>
      <c r="U65" s="52">
        <f t="shared" si="88"/>
        <v>1.1111111113848438E-5</v>
      </c>
      <c r="V65" s="153">
        <f t="shared" si="89"/>
        <v>2.6724569908036999E-5</v>
      </c>
    </row>
    <row r="66" spans="2:22" x14ac:dyDescent="0.25">
      <c r="B66" s="47">
        <v>4455667788</v>
      </c>
      <c r="C66" s="155">
        <v>28746186301</v>
      </c>
      <c r="D66" s="26">
        <f t="shared" si="75"/>
        <v>28746186301.060799</v>
      </c>
      <c r="E66" s="52">
        <f t="shared" si="76"/>
        <v>-6.079864501953125E-2</v>
      </c>
      <c r="F66" s="52">
        <f t="shared" si="77"/>
        <v>-2.115016036659014E-10</v>
      </c>
      <c r="G66" s="155">
        <v>287461863</v>
      </c>
      <c r="H66" s="26">
        <f t="shared" si="78"/>
        <v>287461863.01060796</v>
      </c>
      <c r="I66" s="52">
        <f t="shared" si="79"/>
        <v>-1.060795783996582E-2</v>
      </c>
      <c r="J66" s="52">
        <f t="shared" si="80"/>
        <v>-3.6902139744270577E-9</v>
      </c>
      <c r="K66" s="155">
        <v>2874619</v>
      </c>
      <c r="L66" s="26">
        <f t="shared" si="81"/>
        <v>2874618.6301060799</v>
      </c>
      <c r="M66" s="52">
        <f t="shared" si="82"/>
        <v>0.36989392014220357</v>
      </c>
      <c r="N66" s="52">
        <f t="shared" si="83"/>
        <v>1.2867582373128697E-5</v>
      </c>
      <c r="O66" s="155">
        <v>2874618630106</v>
      </c>
      <c r="P66" s="26">
        <f t="shared" si="84"/>
        <v>2874618630106.0801</v>
      </c>
      <c r="Q66" s="52">
        <f t="shared" si="85"/>
        <v>-8.0078125E-2</v>
      </c>
      <c r="R66" s="52">
        <f t="shared" si="86"/>
        <v>-2.7856956105876534E-12</v>
      </c>
      <c r="S66" s="155">
        <v>30942137</v>
      </c>
      <c r="T66" s="26">
        <f t="shared" si="87"/>
        <v>30942137.416666664</v>
      </c>
      <c r="U66" s="52">
        <f t="shared" si="88"/>
        <v>-0.4166666641831398</v>
      </c>
      <c r="V66" s="153">
        <f t="shared" si="89"/>
        <v>-1.346599488497865E-6</v>
      </c>
    </row>
    <row r="67" spans="2:22" x14ac:dyDescent="0.25">
      <c r="B67" s="47">
        <v>-654</v>
      </c>
      <c r="C67" s="155">
        <v>-4219.3500000000004</v>
      </c>
      <c r="D67" s="26">
        <f t="shared" si="75"/>
        <v>-4219.3463999999994</v>
      </c>
      <c r="E67" s="52">
        <f t="shared" si="76"/>
        <v>-3.6000000009153155E-3</v>
      </c>
      <c r="F67" s="52">
        <f t="shared" si="77"/>
        <v>8.5321271581667628E-5</v>
      </c>
      <c r="G67" s="155">
        <v>-42.1935</v>
      </c>
      <c r="H67" s="26">
        <f t="shared" si="78"/>
        <v>-42.193463999999999</v>
      </c>
      <c r="I67" s="52">
        <f t="shared" si="79"/>
        <v>-3.6000000001479293E-5</v>
      </c>
      <c r="J67" s="52">
        <f t="shared" si="80"/>
        <v>8.5321271563480286E-5</v>
      </c>
      <c r="K67" s="155">
        <v>-0.421935</v>
      </c>
      <c r="L67" s="26">
        <f t="shared" si="81"/>
        <v>-0.42193463999999997</v>
      </c>
      <c r="M67" s="52">
        <f t="shared" si="82"/>
        <v>-3.600000000325565E-7</v>
      </c>
      <c r="N67" s="52">
        <f t="shared" si="83"/>
        <v>8.5321271567690324E-5</v>
      </c>
      <c r="O67" s="155">
        <v>-421935</v>
      </c>
      <c r="P67" s="26">
        <f t="shared" si="84"/>
        <v>-421934.63999999996</v>
      </c>
      <c r="Q67" s="52">
        <f t="shared" si="85"/>
        <v>-0.36000000004423782</v>
      </c>
      <c r="R67" s="52">
        <f t="shared" si="86"/>
        <v>8.5321271570458848E-5</v>
      </c>
      <c r="S67" s="155">
        <v>-4.5416699999999999</v>
      </c>
      <c r="T67" s="26">
        <f t="shared" si="87"/>
        <v>-4.5416666666666661</v>
      </c>
      <c r="U67" s="52">
        <f t="shared" si="88"/>
        <v>-3.3333333337992599E-6</v>
      </c>
      <c r="V67" s="153">
        <f t="shared" si="89"/>
        <v>7.3394495423102982E-5</v>
      </c>
    </row>
    <row r="68" spans="2:22" ht="15.75" thickBot="1" x14ac:dyDescent="0.3">
      <c r="B68" s="74">
        <v>0.65469999999999995</v>
      </c>
      <c r="C68" s="158">
        <v>4.2238600000000002</v>
      </c>
      <c r="D68" s="59">
        <f t="shared" si="75"/>
        <v>4.22386252</v>
      </c>
      <c r="E68" s="57">
        <f t="shared" si="76"/>
        <v>-2.5199999997838063E-6</v>
      </c>
      <c r="F68" s="57">
        <f t="shared" si="77"/>
        <v>-5.9661032712395344E-5</v>
      </c>
      <c r="G68" s="156">
        <v>4.2238600000000001E-2</v>
      </c>
      <c r="H68" s="59">
        <f t="shared" si="78"/>
        <v>4.2238625199999998E-2</v>
      </c>
      <c r="I68" s="57">
        <f t="shared" si="79"/>
        <v>-2.5199999996450284E-8</v>
      </c>
      <c r="J68" s="57">
        <f t="shared" si="80"/>
        <v>-5.9661032709109777E-5</v>
      </c>
      <c r="K68" s="156">
        <v>4.2238600000000002E-4</v>
      </c>
      <c r="L68" s="59">
        <f t="shared" si="81"/>
        <v>4.2238625199999999E-4</v>
      </c>
      <c r="M68" s="57">
        <f t="shared" si="82"/>
        <v>-2.5199999996883965E-10</v>
      </c>
      <c r="N68" s="57">
        <f t="shared" si="83"/>
        <v>-5.9661032710136517E-5</v>
      </c>
      <c r="O68" s="156">
        <v>422.38600000000002</v>
      </c>
      <c r="P68" s="59">
        <f t="shared" si="84"/>
        <v>422.38625200000001</v>
      </c>
      <c r="Q68" s="57">
        <f t="shared" si="85"/>
        <v>-2.5199999998903877E-4</v>
      </c>
      <c r="R68" s="57">
        <f t="shared" si="86"/>
        <v>-5.9661032714918655E-5</v>
      </c>
      <c r="S68" s="156">
        <v>4.54653E-3</v>
      </c>
      <c r="T68" s="59">
        <f t="shared" si="87"/>
        <v>4.5465277777777778E-3</v>
      </c>
      <c r="U68" s="57">
        <f t="shared" si="88"/>
        <v>2.2222222222090249E-9</v>
      </c>
      <c r="V68" s="163">
        <f t="shared" si="89"/>
        <v>4.8877348403558817E-5</v>
      </c>
    </row>
  </sheetData>
  <mergeCells count="103">
    <mergeCell ref="V59:V62"/>
    <mergeCell ref="V4:V7"/>
    <mergeCell ref="V15:V18"/>
    <mergeCell ref="V26:V29"/>
    <mergeCell ref="V37:V40"/>
    <mergeCell ref="V48:V51"/>
    <mergeCell ref="N59:N62"/>
    <mergeCell ref="R4:R7"/>
    <mergeCell ref="R15:R18"/>
    <mergeCell ref="R26:R29"/>
    <mergeCell ref="R37:R40"/>
    <mergeCell ref="R48:R51"/>
    <mergeCell ref="R59:R62"/>
    <mergeCell ref="N4:N7"/>
    <mergeCell ref="N15:N18"/>
    <mergeCell ref="N26:N29"/>
    <mergeCell ref="N37:N40"/>
    <mergeCell ref="N48:N51"/>
    <mergeCell ref="Q26:Q29"/>
    <mergeCell ref="U26:U29"/>
    <mergeCell ref="Q48:Q51"/>
    <mergeCell ref="U48:U51"/>
    <mergeCell ref="Q37:Q40"/>
    <mergeCell ref="U37:U40"/>
    <mergeCell ref="B1:K1"/>
    <mergeCell ref="B4:B5"/>
    <mergeCell ref="B15:B16"/>
    <mergeCell ref="B26:B27"/>
    <mergeCell ref="B37:B38"/>
    <mergeCell ref="E4:E7"/>
    <mergeCell ref="I4:I7"/>
    <mergeCell ref="E26:E29"/>
    <mergeCell ref="I26:I29"/>
    <mergeCell ref="C28:C29"/>
    <mergeCell ref="J4:J7"/>
    <mergeCell ref="J15:J18"/>
    <mergeCell ref="J26:J29"/>
    <mergeCell ref="J37:J40"/>
    <mergeCell ref="U59:U62"/>
    <mergeCell ref="G50:G51"/>
    <mergeCell ref="G61:G62"/>
    <mergeCell ref="B6:B7"/>
    <mergeCell ref="C6:C7"/>
    <mergeCell ref="C17:C18"/>
    <mergeCell ref="F4:F7"/>
    <mergeCell ref="F15:F18"/>
    <mergeCell ref="F26:F29"/>
    <mergeCell ref="F37:F40"/>
    <mergeCell ref="F48:F51"/>
    <mergeCell ref="C39:C40"/>
    <mergeCell ref="C50:C51"/>
    <mergeCell ref="M4:M7"/>
    <mergeCell ref="Q4:Q7"/>
    <mergeCell ref="U4:U7"/>
    <mergeCell ref="E15:E18"/>
    <mergeCell ref="I15:I18"/>
    <mergeCell ref="M15:M18"/>
    <mergeCell ref="Q15:Q18"/>
    <mergeCell ref="U15:U18"/>
    <mergeCell ref="G6:G7"/>
    <mergeCell ref="K6:K7"/>
    <mergeCell ref="O6:O7"/>
    <mergeCell ref="S6:S7"/>
    <mergeCell ref="G17:G18"/>
    <mergeCell ref="K17:K18"/>
    <mergeCell ref="O17:O18"/>
    <mergeCell ref="S17:S18"/>
    <mergeCell ref="O50:O51"/>
    <mergeCell ref="O61:O62"/>
    <mergeCell ref="S61:S62"/>
    <mergeCell ref="S50:S51"/>
    <mergeCell ref="J48:J51"/>
    <mergeCell ref="J59:J62"/>
    <mergeCell ref="I48:I51"/>
    <mergeCell ref="O28:O29"/>
    <mergeCell ref="O39:O40"/>
    <mergeCell ref="S28:S29"/>
    <mergeCell ref="S39:S40"/>
    <mergeCell ref="Q59:Q62"/>
    <mergeCell ref="C61:C62"/>
    <mergeCell ref="B17:B18"/>
    <mergeCell ref="B28:B29"/>
    <mergeCell ref="B39:B40"/>
    <mergeCell ref="B50:B51"/>
    <mergeCell ref="B61:B62"/>
    <mergeCell ref="B48:B49"/>
    <mergeCell ref="B59:B60"/>
    <mergeCell ref="M48:M51"/>
    <mergeCell ref="M26:M29"/>
    <mergeCell ref="E59:E62"/>
    <mergeCell ref="I59:I62"/>
    <mergeCell ref="M59:M62"/>
    <mergeCell ref="F59:F62"/>
    <mergeCell ref="E48:E51"/>
    <mergeCell ref="E37:E40"/>
    <mergeCell ref="I37:I40"/>
    <mergeCell ref="M37:M40"/>
    <mergeCell ref="G28:G29"/>
    <mergeCell ref="G39:G40"/>
    <mergeCell ref="K39:K40"/>
    <mergeCell ref="K28:K29"/>
    <mergeCell ref="K50:K51"/>
    <mergeCell ref="K61:K62"/>
  </mergeCells>
  <pageMargins left="0.7" right="0.7" top="0.78740157499999996" bottom="0.78740157499999996" header="0.3" footer="0.3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N46"/>
  <sheetViews>
    <sheetView workbookViewId="0">
      <pane xSplit="2" ySplit="1" topLeftCell="G2" activePane="bottomRight" state="frozen"/>
      <selection pane="topRight" activeCell="C1" sqref="C1"/>
      <selection pane="bottomLeft" activeCell="A2" sqref="A2"/>
      <selection pane="bottomRight" activeCell="B1" sqref="B1:K1"/>
    </sheetView>
  </sheetViews>
  <sheetFormatPr defaultRowHeight="15" x14ac:dyDescent="0.25"/>
  <cols>
    <col min="1" max="1" width="4.42578125" customWidth="1"/>
    <col min="2" max="2" width="20.7109375" bestFit="1" customWidth="1"/>
    <col min="3" max="4" width="34.42578125" bestFit="1" customWidth="1"/>
    <col min="5" max="5" width="23.85546875" bestFit="1" customWidth="1"/>
    <col min="6" max="6" width="23.7109375" bestFit="1" customWidth="1"/>
    <col min="7" max="8" width="35.42578125" bestFit="1" customWidth="1"/>
    <col min="9" max="9" width="23.85546875" bestFit="1" customWidth="1"/>
    <col min="10" max="10" width="23.7109375" bestFit="1" customWidth="1"/>
    <col min="11" max="12" width="31.28515625" bestFit="1" customWidth="1"/>
    <col min="13" max="13" width="23.7109375" bestFit="1" customWidth="1"/>
    <col min="14" max="14" width="24" customWidth="1"/>
  </cols>
  <sheetData>
    <row r="1" spans="2:14" ht="31.5" x14ac:dyDescent="0.5">
      <c r="B1" s="340" t="s">
        <v>289</v>
      </c>
      <c r="C1" s="340"/>
      <c r="D1" s="340"/>
      <c r="E1" s="340"/>
      <c r="F1" s="340"/>
      <c r="G1" s="340"/>
      <c r="H1" s="340"/>
      <c r="I1" s="340"/>
      <c r="J1" s="340"/>
      <c r="K1" s="340"/>
    </row>
    <row r="2" spans="2:14" x14ac:dyDescent="0.25">
      <c r="B2" s="70" t="s">
        <v>340</v>
      </c>
      <c r="C2" t="s">
        <v>341</v>
      </c>
      <c r="D2" t="s">
        <v>344</v>
      </c>
    </row>
    <row r="3" spans="2:14" ht="15.75" thickBot="1" x14ac:dyDescent="0.3"/>
    <row r="4" spans="2:14" x14ac:dyDescent="0.25">
      <c r="B4" s="341" t="s">
        <v>10</v>
      </c>
      <c r="C4" s="62" t="s">
        <v>14</v>
      </c>
      <c r="D4" s="65" t="s">
        <v>14</v>
      </c>
      <c r="E4" s="330" t="s">
        <v>354</v>
      </c>
      <c r="F4" s="324" t="s">
        <v>355</v>
      </c>
      <c r="G4" s="62" t="s">
        <v>14</v>
      </c>
      <c r="H4" s="65" t="s">
        <v>14</v>
      </c>
      <c r="I4" s="330" t="s">
        <v>354</v>
      </c>
      <c r="J4" s="324" t="s">
        <v>355</v>
      </c>
      <c r="K4" s="62" t="s">
        <v>14</v>
      </c>
      <c r="L4" s="65" t="s">
        <v>14</v>
      </c>
      <c r="M4" s="330" t="s">
        <v>354</v>
      </c>
      <c r="N4" s="321" t="s">
        <v>355</v>
      </c>
    </row>
    <row r="5" spans="2:14" ht="15.75" thickBot="1" x14ac:dyDescent="0.3">
      <c r="B5" s="342"/>
      <c r="C5" s="63" t="s">
        <v>290</v>
      </c>
      <c r="D5" s="27" t="s">
        <v>291</v>
      </c>
      <c r="E5" s="331"/>
      <c r="F5" s="325"/>
      <c r="G5" s="63" t="s">
        <v>290</v>
      </c>
      <c r="H5" s="64" t="s">
        <v>291</v>
      </c>
      <c r="I5" s="331"/>
      <c r="J5" s="325"/>
      <c r="K5" s="63" t="s">
        <v>290</v>
      </c>
      <c r="L5" s="64" t="s">
        <v>291</v>
      </c>
      <c r="M5" s="331"/>
      <c r="N5" s="322"/>
    </row>
    <row r="6" spans="2:14" x14ac:dyDescent="0.25">
      <c r="B6" s="346" t="s">
        <v>43</v>
      </c>
      <c r="C6" s="348" t="s">
        <v>44</v>
      </c>
      <c r="D6" s="37" t="s">
        <v>44</v>
      </c>
      <c r="E6" s="331"/>
      <c r="F6" s="326"/>
      <c r="G6" s="355" t="s">
        <v>45</v>
      </c>
      <c r="H6" s="87" t="s">
        <v>45</v>
      </c>
      <c r="I6" s="331"/>
      <c r="J6" s="326"/>
      <c r="K6" s="355" t="s">
        <v>46</v>
      </c>
      <c r="L6" s="87" t="s">
        <v>46</v>
      </c>
      <c r="M6" s="331"/>
      <c r="N6" s="322"/>
    </row>
    <row r="7" spans="2:14" ht="30.75" thickBot="1" x14ac:dyDescent="0.3">
      <c r="B7" s="347"/>
      <c r="C7" s="349"/>
      <c r="D7" s="51" t="s">
        <v>119</v>
      </c>
      <c r="E7" s="327"/>
      <c r="F7" s="327"/>
      <c r="G7" s="356"/>
      <c r="H7" s="66" t="s">
        <v>118</v>
      </c>
      <c r="I7" s="327"/>
      <c r="J7" s="327"/>
      <c r="K7" s="356"/>
      <c r="L7" s="51" t="s">
        <v>120</v>
      </c>
      <c r="M7" s="327"/>
      <c r="N7" s="323"/>
    </row>
    <row r="8" spans="2:14" x14ac:dyDescent="0.25">
      <c r="B8" s="44">
        <v>1</v>
      </c>
      <c r="C8" s="157">
        <v>2.38834E-4</v>
      </c>
      <c r="D8" s="58">
        <f t="shared" ref="D8:D13" si="0">H8/4.187</f>
        <v>2.3883448770002386E-4</v>
      </c>
      <c r="E8" s="54">
        <f>C8-D8</f>
        <v>-4.877000238661007E-10</v>
      </c>
      <c r="F8" s="54">
        <f>(100*E8)/D8</f>
        <v>-2.0419999999273639E-4</v>
      </c>
      <c r="G8" s="211">
        <v>1E-3</v>
      </c>
      <c r="H8" s="54">
        <f t="shared" ref="H8:H13" si="1">B8/1000</f>
        <v>1E-3</v>
      </c>
      <c r="I8" s="54">
        <f>G8-H8</f>
        <v>0</v>
      </c>
      <c r="J8" s="54">
        <f>(100*I8)/H8</f>
        <v>0</v>
      </c>
      <c r="K8" s="154">
        <v>2.7777777777777802E-7</v>
      </c>
      <c r="L8" s="58">
        <f>H8/3600</f>
        <v>2.7777777777777776E-7</v>
      </c>
      <c r="M8" s="54">
        <f>K8-L8</f>
        <v>0</v>
      </c>
      <c r="N8" s="162">
        <f>(100*M8)/L8</f>
        <v>0</v>
      </c>
    </row>
    <row r="9" spans="2:14" x14ac:dyDescent="0.25">
      <c r="B9" s="47">
        <v>236</v>
      </c>
      <c r="C9" s="155">
        <v>5.6364900000000003E-2</v>
      </c>
      <c r="D9" s="26">
        <f t="shared" si="0"/>
        <v>5.6364939097205628E-2</v>
      </c>
      <c r="E9" s="52">
        <f t="shared" ref="E9:E13" si="2">C9-D9</f>
        <v>-3.9097205625782117E-8</v>
      </c>
      <c r="F9" s="52">
        <f t="shared" ref="F9:F13" si="3">(100*E9)/D9</f>
        <v>-6.9364406760656674E-5</v>
      </c>
      <c r="G9" s="212">
        <v>0.23599999999999999</v>
      </c>
      <c r="H9" s="52">
        <f t="shared" si="1"/>
        <v>0.23599999999999999</v>
      </c>
      <c r="I9" s="52">
        <f t="shared" ref="I9:I13" si="4">G9-H9</f>
        <v>0</v>
      </c>
      <c r="J9" s="52">
        <f t="shared" ref="J9:J13" si="5">(100*I9)/H9</f>
        <v>0</v>
      </c>
      <c r="K9" s="159">
        <v>6.5555555555555598E-5</v>
      </c>
      <c r="L9" s="26">
        <f>H9/3600</f>
        <v>6.5555555555555557E-5</v>
      </c>
      <c r="M9" s="52">
        <f t="shared" ref="M9:M13" si="6">K9-L9</f>
        <v>0</v>
      </c>
      <c r="N9" s="153">
        <f t="shared" ref="N9:N13" si="7">(100*M9)/L9</f>
        <v>0</v>
      </c>
    </row>
    <row r="10" spans="2:14" x14ac:dyDescent="0.25">
      <c r="B10" s="47">
        <v>3687</v>
      </c>
      <c r="C10" s="155">
        <v>0.880583</v>
      </c>
      <c r="D10" s="26">
        <f t="shared" si="0"/>
        <v>0.88058275614998793</v>
      </c>
      <c r="E10" s="52">
        <f t="shared" si="2"/>
        <v>2.4385001207161139E-7</v>
      </c>
      <c r="F10" s="52">
        <f t="shared" si="3"/>
        <v>2.7691890440570572E-5</v>
      </c>
      <c r="G10" s="212">
        <v>3.6869999999999998</v>
      </c>
      <c r="H10" s="52">
        <f t="shared" si="1"/>
        <v>3.6869999999999998</v>
      </c>
      <c r="I10" s="52">
        <f t="shared" si="4"/>
        <v>0</v>
      </c>
      <c r="J10" s="52">
        <f t="shared" si="5"/>
        <v>0</v>
      </c>
      <c r="K10" s="159">
        <v>1.02417E-3</v>
      </c>
      <c r="L10" s="26">
        <f>H10/3600</f>
        <v>1.0241666666666667E-3</v>
      </c>
      <c r="M10" s="52">
        <f t="shared" si="6"/>
        <v>3.3333333333135373E-9</v>
      </c>
      <c r="N10" s="153">
        <f t="shared" si="7"/>
        <v>3.254678600468873E-4</v>
      </c>
    </row>
    <row r="11" spans="2:14" x14ac:dyDescent="0.25">
      <c r="B11" s="47">
        <v>3344556677</v>
      </c>
      <c r="C11" s="155">
        <v>798795</v>
      </c>
      <c r="D11" s="26">
        <f t="shared" si="0"/>
        <v>798795.48053498927</v>
      </c>
      <c r="E11" s="52">
        <f t="shared" si="2"/>
        <v>-0.48053498927038163</v>
      </c>
      <c r="F11" s="52">
        <f t="shared" si="3"/>
        <v>-6.015744968268295E-5</v>
      </c>
      <c r="G11" s="212">
        <v>3344557</v>
      </c>
      <c r="H11" s="52">
        <f t="shared" si="1"/>
        <v>3344556.6770000001</v>
      </c>
      <c r="I11" s="52">
        <f t="shared" si="4"/>
        <v>0.32299999985843897</v>
      </c>
      <c r="J11" s="52">
        <f t="shared" si="5"/>
        <v>9.6574832198138577E-6</v>
      </c>
      <c r="K11" s="159">
        <v>929.04399999999998</v>
      </c>
      <c r="L11" s="26">
        <f t="shared" ref="L11:L13" si="8">H11/3600</f>
        <v>929.04352138888896</v>
      </c>
      <c r="M11" s="52">
        <f t="shared" si="6"/>
        <v>4.7861111102065479E-4</v>
      </c>
      <c r="N11" s="153">
        <f t="shared" si="7"/>
        <v>5.1516543628133502E-5</v>
      </c>
    </row>
    <row r="12" spans="2:14" x14ac:dyDescent="0.25">
      <c r="B12" s="85">
        <v>0.65469999999999995</v>
      </c>
      <c r="C12" s="155">
        <v>1.56365E-4</v>
      </c>
      <c r="D12" s="26">
        <f t="shared" si="0"/>
        <v>1.5636493909720561E-4</v>
      </c>
      <c r="E12" s="52">
        <f t="shared" si="2"/>
        <v>6.0902794390754397E-11</v>
      </c>
      <c r="F12" s="52">
        <f t="shared" si="3"/>
        <v>3.8949137026743348E-5</v>
      </c>
      <c r="G12" s="212">
        <v>6.5470000000000003E-4</v>
      </c>
      <c r="H12" s="52">
        <f t="shared" si="1"/>
        <v>6.5469999999999992E-4</v>
      </c>
      <c r="I12" s="52">
        <f t="shared" si="4"/>
        <v>0</v>
      </c>
      <c r="J12" s="52">
        <f t="shared" si="5"/>
        <v>0</v>
      </c>
      <c r="K12" s="159">
        <v>1.81861111111111E-7</v>
      </c>
      <c r="L12" s="26">
        <f t="shared" si="8"/>
        <v>1.8186111111111108E-7</v>
      </c>
      <c r="M12" s="52">
        <f t="shared" si="6"/>
        <v>0</v>
      </c>
      <c r="N12" s="153">
        <f t="shared" si="7"/>
        <v>0</v>
      </c>
    </row>
    <row r="13" spans="2:14" ht="15.75" thickBot="1" x14ac:dyDescent="0.3">
      <c r="B13" s="86">
        <v>-741</v>
      </c>
      <c r="C13" s="158">
        <v>-0.17697599999999999</v>
      </c>
      <c r="D13" s="59">
        <f t="shared" si="0"/>
        <v>-0.17697635538571768</v>
      </c>
      <c r="E13" s="57">
        <f t="shared" si="2"/>
        <v>3.5538571768745086E-7</v>
      </c>
      <c r="F13" s="57">
        <f t="shared" si="3"/>
        <v>-2.0080971659343548E-4</v>
      </c>
      <c r="G13" s="213">
        <v>-0.74099999999999999</v>
      </c>
      <c r="H13" s="57">
        <f t="shared" si="1"/>
        <v>-0.74099999999999999</v>
      </c>
      <c r="I13" s="57">
        <f t="shared" si="4"/>
        <v>0</v>
      </c>
      <c r="J13" s="57">
        <f t="shared" si="5"/>
        <v>0</v>
      </c>
      <c r="K13" s="156">
        <v>-2.0583299999999999E-4</v>
      </c>
      <c r="L13" s="59">
        <f t="shared" si="8"/>
        <v>-2.0583333333333334E-4</v>
      </c>
      <c r="M13" s="57">
        <f t="shared" si="6"/>
        <v>3.3333333334761676E-10</v>
      </c>
      <c r="N13" s="163">
        <f t="shared" si="7"/>
        <v>-1.6194331984499601E-4</v>
      </c>
    </row>
    <row r="14" spans="2:14" ht="15.75" thickBot="1" x14ac:dyDescent="0.3">
      <c r="C14" s="165"/>
      <c r="D14" s="165"/>
      <c r="E14" s="164"/>
      <c r="F14" s="164"/>
      <c r="G14" s="164"/>
      <c r="H14" s="164"/>
      <c r="I14" s="164"/>
      <c r="J14" s="164"/>
      <c r="K14" s="165"/>
      <c r="L14" s="165"/>
      <c r="M14" s="164"/>
      <c r="N14" s="164"/>
    </row>
    <row r="15" spans="2:14" x14ac:dyDescent="0.25">
      <c r="B15" s="341" t="s">
        <v>10</v>
      </c>
      <c r="C15" s="166" t="s">
        <v>14</v>
      </c>
      <c r="D15" s="168" t="s">
        <v>14</v>
      </c>
      <c r="E15" s="343" t="s">
        <v>354</v>
      </c>
      <c r="F15" s="352" t="s">
        <v>355</v>
      </c>
      <c r="G15" s="214" t="s">
        <v>14</v>
      </c>
      <c r="H15" s="215" t="s">
        <v>14</v>
      </c>
      <c r="I15" s="343" t="s">
        <v>354</v>
      </c>
      <c r="J15" s="352" t="s">
        <v>355</v>
      </c>
      <c r="K15" s="166" t="s">
        <v>14</v>
      </c>
      <c r="L15" s="168" t="s">
        <v>14</v>
      </c>
      <c r="M15" s="343" t="s">
        <v>354</v>
      </c>
      <c r="N15" s="357" t="s">
        <v>355</v>
      </c>
    </row>
    <row r="16" spans="2:14" ht="15.75" thickBot="1" x14ac:dyDescent="0.3">
      <c r="B16" s="342"/>
      <c r="C16" s="167" t="s">
        <v>290</v>
      </c>
      <c r="D16" s="169" t="s">
        <v>291</v>
      </c>
      <c r="E16" s="344"/>
      <c r="F16" s="353"/>
      <c r="G16" s="216" t="s">
        <v>290</v>
      </c>
      <c r="H16" s="217" t="s">
        <v>291</v>
      </c>
      <c r="I16" s="344"/>
      <c r="J16" s="353"/>
      <c r="K16" s="167" t="s">
        <v>290</v>
      </c>
      <c r="L16" s="186" t="s">
        <v>291</v>
      </c>
      <c r="M16" s="344"/>
      <c r="N16" s="358"/>
    </row>
    <row r="17" spans="2:14" x14ac:dyDescent="0.25">
      <c r="B17" s="348" t="s">
        <v>44</v>
      </c>
      <c r="C17" s="363" t="s">
        <v>43</v>
      </c>
      <c r="D17" s="170" t="s">
        <v>43</v>
      </c>
      <c r="E17" s="344"/>
      <c r="F17" s="354"/>
      <c r="G17" s="374" t="s">
        <v>45</v>
      </c>
      <c r="H17" s="218" t="s">
        <v>45</v>
      </c>
      <c r="I17" s="344"/>
      <c r="J17" s="354"/>
      <c r="K17" s="350" t="s">
        <v>46</v>
      </c>
      <c r="L17" s="187" t="s">
        <v>46</v>
      </c>
      <c r="M17" s="344"/>
      <c r="N17" s="358"/>
    </row>
    <row r="18" spans="2:14" ht="30.75" thickBot="1" x14ac:dyDescent="0.3">
      <c r="B18" s="349"/>
      <c r="C18" s="364"/>
      <c r="D18" s="171" t="s">
        <v>123</v>
      </c>
      <c r="E18" s="345"/>
      <c r="F18" s="345"/>
      <c r="G18" s="375"/>
      <c r="H18" s="219" t="s">
        <v>122</v>
      </c>
      <c r="I18" s="345"/>
      <c r="J18" s="345"/>
      <c r="K18" s="351"/>
      <c r="L18" s="171" t="s">
        <v>124</v>
      </c>
      <c r="M18" s="345"/>
      <c r="N18" s="359"/>
    </row>
    <row r="19" spans="2:14" x14ac:dyDescent="0.25">
      <c r="B19" s="44">
        <v>1</v>
      </c>
      <c r="C19" s="157">
        <v>4187</v>
      </c>
      <c r="D19" s="58">
        <f>H19*1000</f>
        <v>4187</v>
      </c>
      <c r="E19" s="54">
        <f>C19-D19</f>
        <v>0</v>
      </c>
      <c r="F19" s="54">
        <f>(100*E19)/D19</f>
        <v>0</v>
      </c>
      <c r="G19" s="211">
        <v>4.1870000000000003</v>
      </c>
      <c r="H19" s="54">
        <f>B19*4.187</f>
        <v>4.1870000000000003</v>
      </c>
      <c r="I19" s="54">
        <f>G19-H19</f>
        <v>0</v>
      </c>
      <c r="J19" s="54">
        <f>(100*I19)/H19</f>
        <v>0</v>
      </c>
      <c r="K19" s="157">
        <v>1.16306E-3</v>
      </c>
      <c r="L19" s="58">
        <f>H19/3600</f>
        <v>1.1630555555555556E-3</v>
      </c>
      <c r="M19" s="54">
        <f>K19-L19</f>
        <v>4.4444444444180498E-9</v>
      </c>
      <c r="N19" s="162">
        <f>(100*M19)/L19</f>
        <v>3.8213518031776877E-4</v>
      </c>
    </row>
    <row r="20" spans="2:14" x14ac:dyDescent="0.25">
      <c r="B20" s="47">
        <v>236</v>
      </c>
      <c r="C20" s="155">
        <v>988132</v>
      </c>
      <c r="D20" s="26">
        <f t="shared" ref="D20:D24" si="9">H20*1000</f>
        <v>988132.00000000012</v>
      </c>
      <c r="E20" s="52">
        <f t="shared" ref="E20:E24" si="10">C20-D20</f>
        <v>0</v>
      </c>
      <c r="F20" s="52">
        <f t="shared" ref="F20:F24" si="11">(100*E20)/D20</f>
        <v>0</v>
      </c>
      <c r="G20" s="212">
        <v>988.13199999999995</v>
      </c>
      <c r="H20" s="52">
        <f t="shared" ref="H20:H24" si="12">B20*4.187</f>
        <v>988.13200000000006</v>
      </c>
      <c r="I20" s="52">
        <f t="shared" ref="I20:I24" si="13">G20-H20</f>
        <v>0</v>
      </c>
      <c r="J20" s="52">
        <f t="shared" ref="J20:J24" si="14">(100*I20)/H20</f>
        <v>0</v>
      </c>
      <c r="K20" s="155">
        <v>0.27448099999999998</v>
      </c>
      <c r="L20" s="26">
        <f t="shared" ref="L20:L24" si="15">H20/3600</f>
        <v>0.27448111111111112</v>
      </c>
      <c r="M20" s="52">
        <f t="shared" ref="M20:M24" si="16">K20-L20</f>
        <v>-1.1111111114514571E-7</v>
      </c>
      <c r="N20" s="153">
        <f t="shared" ref="N20:N24" si="17">(100*M20)/L20</f>
        <v>-4.0480421656471456E-5</v>
      </c>
    </row>
    <row r="21" spans="2:14" x14ac:dyDescent="0.25">
      <c r="B21" s="47">
        <v>3687</v>
      </c>
      <c r="C21" s="155">
        <v>15437469</v>
      </c>
      <c r="D21" s="26">
        <f t="shared" si="9"/>
        <v>15437469.000000002</v>
      </c>
      <c r="E21" s="52">
        <f t="shared" si="10"/>
        <v>0</v>
      </c>
      <c r="F21" s="52">
        <f t="shared" si="11"/>
        <v>0</v>
      </c>
      <c r="G21" s="212">
        <v>15437.5</v>
      </c>
      <c r="H21" s="52">
        <f t="shared" si="12"/>
        <v>15437.469000000001</v>
      </c>
      <c r="I21" s="52">
        <f t="shared" si="13"/>
        <v>3.0999999999039574E-2</v>
      </c>
      <c r="J21" s="52">
        <f t="shared" si="14"/>
        <v>2.0081011983920144E-4</v>
      </c>
      <c r="K21" s="159">
        <v>4.2881900000000002</v>
      </c>
      <c r="L21" s="26">
        <f t="shared" si="15"/>
        <v>4.2881858333333334</v>
      </c>
      <c r="M21" s="52">
        <f t="shared" si="16"/>
        <v>4.1666666668049857E-6</v>
      </c>
      <c r="N21" s="153">
        <f t="shared" si="17"/>
        <v>9.7166187025204376E-5</v>
      </c>
    </row>
    <row r="22" spans="2:14" x14ac:dyDescent="0.25">
      <c r="B22" s="47">
        <v>3344556677</v>
      </c>
      <c r="C22" s="155">
        <v>14003658806599</v>
      </c>
      <c r="D22" s="26">
        <f t="shared" si="9"/>
        <v>14003658806599</v>
      </c>
      <c r="E22" s="52">
        <f t="shared" si="10"/>
        <v>0</v>
      </c>
      <c r="F22" s="52">
        <f t="shared" si="11"/>
        <v>0</v>
      </c>
      <c r="G22" s="212">
        <v>14003658807</v>
      </c>
      <c r="H22" s="52">
        <f t="shared" si="12"/>
        <v>14003658806.599001</v>
      </c>
      <c r="I22" s="52">
        <f t="shared" si="13"/>
        <v>0.40099906921386719</v>
      </c>
      <c r="J22" s="52">
        <f t="shared" si="14"/>
        <v>2.8635307011686314E-9</v>
      </c>
      <c r="K22" s="155">
        <v>3889905</v>
      </c>
      <c r="L22" s="26">
        <f t="shared" si="15"/>
        <v>3889905.2240552781</v>
      </c>
      <c r="M22" s="52">
        <f t="shared" si="16"/>
        <v>-0.2240552781149745</v>
      </c>
      <c r="N22" s="153">
        <f t="shared" si="17"/>
        <v>-5.7599161215911037E-6</v>
      </c>
    </row>
    <row r="23" spans="2:14" x14ac:dyDescent="0.25">
      <c r="B23" s="85">
        <v>0.65469999999999995</v>
      </c>
      <c r="C23" s="155">
        <v>2741.23</v>
      </c>
      <c r="D23" s="26">
        <f t="shared" si="9"/>
        <v>2741.2289000000001</v>
      </c>
      <c r="E23" s="52">
        <f t="shared" si="10"/>
        <v>1.0999999999512511E-3</v>
      </c>
      <c r="F23" s="52">
        <f t="shared" si="11"/>
        <v>4.0127987850677158E-5</v>
      </c>
      <c r="G23" s="212">
        <v>2.7412299999999998</v>
      </c>
      <c r="H23" s="52">
        <f t="shared" si="12"/>
        <v>2.7412288999999999</v>
      </c>
      <c r="I23" s="52">
        <f t="shared" si="13"/>
        <v>1.0999999999761201E-6</v>
      </c>
      <c r="J23" s="52">
        <f t="shared" si="14"/>
        <v>4.0127987851584378E-5</v>
      </c>
      <c r="K23" s="155">
        <v>7.6145200000000003E-4</v>
      </c>
      <c r="L23" s="26">
        <f t="shared" si="15"/>
        <v>7.6145247222222218E-4</v>
      </c>
      <c r="M23" s="52">
        <f t="shared" si="16"/>
        <v>-4.7222222215436566E-10</v>
      </c>
      <c r="N23" s="153">
        <f t="shared" si="17"/>
        <v>-6.2015981217610698E-5</v>
      </c>
    </row>
    <row r="24" spans="2:14" ht="15.75" thickBot="1" x14ac:dyDescent="0.3">
      <c r="B24" s="86">
        <v>-741</v>
      </c>
      <c r="C24" s="158">
        <v>-3102567</v>
      </c>
      <c r="D24" s="59">
        <f t="shared" si="9"/>
        <v>-3102567</v>
      </c>
      <c r="E24" s="57">
        <f t="shared" si="10"/>
        <v>0</v>
      </c>
      <c r="F24" s="57">
        <f t="shared" si="11"/>
        <v>0</v>
      </c>
      <c r="G24" s="213">
        <v>-3102.57</v>
      </c>
      <c r="H24" s="57">
        <f t="shared" si="12"/>
        <v>-3102.567</v>
      </c>
      <c r="I24" s="57">
        <f t="shared" si="13"/>
        <v>-3.0000000001564331E-3</v>
      </c>
      <c r="J24" s="57">
        <f t="shared" si="14"/>
        <v>9.6694124579950501E-5</v>
      </c>
      <c r="K24" s="158">
        <v>-0.86182400000000003</v>
      </c>
      <c r="L24" s="59">
        <f t="shared" si="15"/>
        <v>-0.86182416666666661</v>
      </c>
      <c r="M24" s="57">
        <f t="shared" si="16"/>
        <v>1.6666666657894069E-7</v>
      </c>
      <c r="N24" s="163">
        <f t="shared" si="17"/>
        <v>-1.9338824904802587E-5</v>
      </c>
    </row>
    <row r="25" spans="2:14" ht="15.75" thickBot="1" x14ac:dyDescent="0.3">
      <c r="C25" s="165"/>
      <c r="D25" s="165"/>
      <c r="E25" s="164"/>
      <c r="F25" s="164"/>
      <c r="G25" s="164"/>
      <c r="H25" s="164"/>
      <c r="I25" s="164"/>
      <c r="J25" s="164"/>
      <c r="K25" s="165"/>
      <c r="L25" s="165"/>
      <c r="M25" s="164"/>
      <c r="N25" s="164"/>
    </row>
    <row r="26" spans="2:14" x14ac:dyDescent="0.25">
      <c r="B26" s="341" t="s">
        <v>10</v>
      </c>
      <c r="C26" s="166" t="s">
        <v>14</v>
      </c>
      <c r="D26" s="168" t="s">
        <v>14</v>
      </c>
      <c r="E26" s="343" t="s">
        <v>354</v>
      </c>
      <c r="F26" s="352" t="s">
        <v>355</v>
      </c>
      <c r="G26" s="214" t="s">
        <v>14</v>
      </c>
      <c r="H26" s="215" t="s">
        <v>14</v>
      </c>
      <c r="I26" s="343" t="s">
        <v>354</v>
      </c>
      <c r="J26" s="352" t="s">
        <v>355</v>
      </c>
      <c r="K26" s="166" t="s">
        <v>14</v>
      </c>
      <c r="L26" s="168" t="s">
        <v>14</v>
      </c>
      <c r="M26" s="343" t="s">
        <v>354</v>
      </c>
      <c r="N26" s="357" t="s">
        <v>355</v>
      </c>
    </row>
    <row r="27" spans="2:14" ht="15.75" thickBot="1" x14ac:dyDescent="0.3">
      <c r="B27" s="342"/>
      <c r="C27" s="167" t="s">
        <v>290</v>
      </c>
      <c r="D27" s="169" t="s">
        <v>291</v>
      </c>
      <c r="E27" s="344"/>
      <c r="F27" s="353"/>
      <c r="G27" s="216" t="s">
        <v>290</v>
      </c>
      <c r="H27" s="217" t="s">
        <v>291</v>
      </c>
      <c r="I27" s="344"/>
      <c r="J27" s="353"/>
      <c r="K27" s="167" t="s">
        <v>290</v>
      </c>
      <c r="L27" s="186" t="s">
        <v>291</v>
      </c>
      <c r="M27" s="344"/>
      <c r="N27" s="358"/>
    </row>
    <row r="28" spans="2:14" x14ac:dyDescent="0.25">
      <c r="B28" s="348" t="s">
        <v>45</v>
      </c>
      <c r="C28" s="363" t="s">
        <v>43</v>
      </c>
      <c r="D28" s="170" t="s">
        <v>43</v>
      </c>
      <c r="E28" s="344"/>
      <c r="F28" s="354"/>
      <c r="G28" s="372" t="s">
        <v>44</v>
      </c>
      <c r="H28" s="218" t="s">
        <v>44</v>
      </c>
      <c r="I28" s="344"/>
      <c r="J28" s="354"/>
      <c r="K28" s="350" t="s">
        <v>46</v>
      </c>
      <c r="L28" s="187" t="s">
        <v>46</v>
      </c>
      <c r="M28" s="344"/>
      <c r="N28" s="358"/>
    </row>
    <row r="29" spans="2:14" ht="15.75" thickBot="1" x14ac:dyDescent="0.3">
      <c r="B29" s="349"/>
      <c r="C29" s="364"/>
      <c r="D29" s="172" t="s">
        <v>121</v>
      </c>
      <c r="E29" s="345"/>
      <c r="F29" s="345"/>
      <c r="G29" s="373"/>
      <c r="H29" s="220" t="s">
        <v>125</v>
      </c>
      <c r="I29" s="345"/>
      <c r="J29" s="345"/>
      <c r="K29" s="351"/>
      <c r="L29" s="172" t="s">
        <v>126</v>
      </c>
      <c r="M29" s="345"/>
      <c r="N29" s="359"/>
    </row>
    <row r="30" spans="2:14" x14ac:dyDescent="0.25">
      <c r="B30" s="44">
        <v>1</v>
      </c>
      <c r="C30" s="157">
        <v>1000</v>
      </c>
      <c r="D30" s="58">
        <f>B30*1000</f>
        <v>1000</v>
      </c>
      <c r="E30" s="54">
        <f>C30-D30</f>
        <v>0</v>
      </c>
      <c r="F30" s="54">
        <f>(100*E30)/D30</f>
        <v>0</v>
      </c>
      <c r="G30" s="211">
        <v>0.23883399999999999</v>
      </c>
      <c r="H30" s="54">
        <f>B30/4.187</f>
        <v>0.23883448770002386</v>
      </c>
      <c r="I30" s="54">
        <f>G30-H30</f>
        <v>-4.8770002386566702E-7</v>
      </c>
      <c r="J30" s="54">
        <f>(100*I30)/H30</f>
        <v>-2.0419999999255481E-4</v>
      </c>
      <c r="K30" s="157">
        <v>2.7777800000000001E-4</v>
      </c>
      <c r="L30" s="58">
        <f>B30/3600</f>
        <v>2.7777777777777778E-4</v>
      </c>
      <c r="M30" s="54">
        <f>K30-L30</f>
        <v>2.2222222223174451E-10</v>
      </c>
      <c r="N30" s="162">
        <f>(100*M30)/L30</f>
        <v>8.0000000003428023E-5</v>
      </c>
    </row>
    <row r="31" spans="2:14" x14ac:dyDescent="0.25">
      <c r="B31" s="47">
        <v>236</v>
      </c>
      <c r="C31" s="155">
        <v>236000</v>
      </c>
      <c r="D31" s="26">
        <f t="shared" ref="D31:D35" si="18">B31*1000</f>
        <v>236000</v>
      </c>
      <c r="E31" s="52">
        <f t="shared" ref="E31:E35" si="19">C31-D31</f>
        <v>0</v>
      </c>
      <c r="F31" s="52">
        <f t="shared" ref="F31:F35" si="20">(100*E31)/D31</f>
        <v>0</v>
      </c>
      <c r="G31" s="212">
        <v>56.364899999999999</v>
      </c>
      <c r="H31" s="52">
        <f t="shared" ref="H31:H35" si="21">B31/4.187</f>
        <v>56.364939097205635</v>
      </c>
      <c r="I31" s="52">
        <f t="shared" ref="I31:I35" si="22">G31-H31</f>
        <v>-3.909720563655128E-5</v>
      </c>
      <c r="J31" s="52">
        <f t="shared" ref="J31:J35" si="23">(100*I31)/H31</f>
        <v>-6.9364406779762796E-5</v>
      </c>
      <c r="K31" s="155">
        <v>6.5555600000000006E-2</v>
      </c>
      <c r="L31" s="26">
        <f t="shared" ref="L31:L35" si="24">B31/3600</f>
        <v>6.5555555555555561E-2</v>
      </c>
      <c r="M31" s="52">
        <f t="shared" ref="M31:M35" si="25">K31-L31</f>
        <v>4.4444444444180498E-8</v>
      </c>
      <c r="N31" s="153">
        <f t="shared" ref="N31:N35" si="26">(100*M31)/L31</f>
        <v>6.7796610169088893E-5</v>
      </c>
    </row>
    <row r="32" spans="2:14" x14ac:dyDescent="0.25">
      <c r="B32" s="47">
        <v>3687</v>
      </c>
      <c r="C32" s="155">
        <v>3687000</v>
      </c>
      <c r="D32" s="26">
        <f t="shared" si="18"/>
        <v>3687000</v>
      </c>
      <c r="E32" s="52">
        <f t="shared" si="19"/>
        <v>0</v>
      </c>
      <c r="F32" s="52">
        <f t="shared" si="20"/>
        <v>0</v>
      </c>
      <c r="G32" s="212">
        <v>880.58299999999997</v>
      </c>
      <c r="H32" s="52">
        <f t="shared" si="21"/>
        <v>880.58275614998797</v>
      </c>
      <c r="I32" s="52">
        <f t="shared" si="22"/>
        <v>2.4385001199789258E-4</v>
      </c>
      <c r="J32" s="52">
        <f t="shared" si="23"/>
        <v>2.7691890432198979E-5</v>
      </c>
      <c r="K32" s="159">
        <v>1.02417</v>
      </c>
      <c r="L32" s="26">
        <f t="shared" si="24"/>
        <v>1.0241666666666667</v>
      </c>
      <c r="M32" s="52">
        <f t="shared" si="25"/>
        <v>3.3333333333551707E-6</v>
      </c>
      <c r="N32" s="153">
        <f t="shared" si="26"/>
        <v>3.254678600509524E-4</v>
      </c>
    </row>
    <row r="33" spans="2:14" x14ac:dyDescent="0.25">
      <c r="B33" s="47">
        <v>3344556677</v>
      </c>
      <c r="C33" s="155">
        <v>3344556677000</v>
      </c>
      <c r="D33" s="26">
        <f t="shared" si="18"/>
        <v>3344556677000</v>
      </c>
      <c r="E33" s="52">
        <f t="shared" si="19"/>
        <v>0</v>
      </c>
      <c r="F33" s="52">
        <f t="shared" si="20"/>
        <v>0</v>
      </c>
      <c r="G33" s="212">
        <v>798795481</v>
      </c>
      <c r="H33" s="52">
        <f t="shared" si="21"/>
        <v>798795480.53498924</v>
      </c>
      <c r="I33" s="52">
        <f t="shared" si="22"/>
        <v>0.46501076221466064</v>
      </c>
      <c r="J33" s="52">
        <f t="shared" si="23"/>
        <v>5.8213995139684821E-8</v>
      </c>
      <c r="K33" s="155">
        <v>929044</v>
      </c>
      <c r="L33" s="26">
        <f t="shared" si="24"/>
        <v>929043.52138888894</v>
      </c>
      <c r="M33" s="52">
        <f t="shared" si="25"/>
        <v>0.47861111105885357</v>
      </c>
      <c r="N33" s="153">
        <f t="shared" si="26"/>
        <v>5.1516543632245129E-5</v>
      </c>
    </row>
    <row r="34" spans="2:14" x14ac:dyDescent="0.25">
      <c r="B34" s="85">
        <v>0.65469999999999995</v>
      </c>
      <c r="C34" s="155">
        <v>654.70000000000005</v>
      </c>
      <c r="D34" s="26">
        <f t="shared" si="18"/>
        <v>654.69999999999993</v>
      </c>
      <c r="E34" s="52">
        <f t="shared" si="19"/>
        <v>0</v>
      </c>
      <c r="F34" s="52">
        <f t="shared" si="20"/>
        <v>0</v>
      </c>
      <c r="G34" s="212">
        <v>0.156365</v>
      </c>
      <c r="H34" s="52">
        <f t="shared" si="21"/>
        <v>0.15636493909720561</v>
      </c>
      <c r="I34" s="52">
        <f t="shared" si="22"/>
        <v>6.0902794390971238E-8</v>
      </c>
      <c r="J34" s="52">
        <f t="shared" si="23"/>
        <v>3.8949137026882024E-5</v>
      </c>
      <c r="K34" s="155">
        <v>1.8186100000000001E-4</v>
      </c>
      <c r="L34" s="26">
        <f t="shared" si="24"/>
        <v>1.818611111111111E-4</v>
      </c>
      <c r="M34" s="52">
        <f t="shared" si="25"/>
        <v>-1.111111110887672E-10</v>
      </c>
      <c r="N34" s="153">
        <f t="shared" si="26"/>
        <v>-6.1096685492525115E-5</v>
      </c>
    </row>
    <row r="35" spans="2:14" ht="15.75" thickBot="1" x14ac:dyDescent="0.3">
      <c r="B35" s="86">
        <v>-741</v>
      </c>
      <c r="C35" s="158">
        <v>-741000</v>
      </c>
      <c r="D35" s="59">
        <f t="shared" si="18"/>
        <v>-741000</v>
      </c>
      <c r="E35" s="57">
        <f t="shared" si="19"/>
        <v>0</v>
      </c>
      <c r="F35" s="57">
        <f t="shared" si="20"/>
        <v>0</v>
      </c>
      <c r="G35" s="213">
        <v>-176.976</v>
      </c>
      <c r="H35" s="57">
        <f t="shared" si="21"/>
        <v>-176.97635538571768</v>
      </c>
      <c r="I35" s="57">
        <f t="shared" si="22"/>
        <v>3.5538571768256588E-4</v>
      </c>
      <c r="J35" s="57">
        <f t="shared" si="23"/>
        <v>-2.0080971659067523E-4</v>
      </c>
      <c r="K35" s="158">
        <v>-0.20583299999999999</v>
      </c>
      <c r="L35" s="59">
        <f t="shared" si="24"/>
        <v>-0.20583333333333334</v>
      </c>
      <c r="M35" s="57">
        <f t="shared" si="25"/>
        <v>3.3333333335217041E-7</v>
      </c>
      <c r="N35" s="163">
        <f t="shared" si="26"/>
        <v>-1.6194331984720829E-4</v>
      </c>
    </row>
    <row r="36" spans="2:14" ht="15.75" thickBot="1" x14ac:dyDescent="0.3">
      <c r="C36" s="165"/>
      <c r="D36" s="165"/>
      <c r="E36" s="164"/>
      <c r="F36" s="164"/>
      <c r="G36" s="164"/>
      <c r="H36" s="164"/>
      <c r="I36" s="164"/>
      <c r="J36" s="164"/>
      <c r="K36" s="165"/>
      <c r="L36" s="165"/>
      <c r="M36" s="164"/>
      <c r="N36" s="164"/>
    </row>
    <row r="37" spans="2:14" x14ac:dyDescent="0.25">
      <c r="B37" s="341" t="s">
        <v>10</v>
      </c>
      <c r="C37" s="166" t="s">
        <v>14</v>
      </c>
      <c r="D37" s="168" t="s">
        <v>14</v>
      </c>
      <c r="E37" s="343" t="s">
        <v>354</v>
      </c>
      <c r="F37" s="352" t="s">
        <v>355</v>
      </c>
      <c r="G37" s="214" t="s">
        <v>14</v>
      </c>
      <c r="H37" s="215" t="s">
        <v>14</v>
      </c>
      <c r="I37" s="343" t="s">
        <v>354</v>
      </c>
      <c r="J37" s="352" t="s">
        <v>355</v>
      </c>
      <c r="K37" s="166" t="s">
        <v>14</v>
      </c>
      <c r="L37" s="168" t="s">
        <v>14</v>
      </c>
      <c r="M37" s="343" t="s">
        <v>354</v>
      </c>
      <c r="N37" s="357" t="s">
        <v>355</v>
      </c>
    </row>
    <row r="38" spans="2:14" ht="15.75" thickBot="1" x14ac:dyDescent="0.3">
      <c r="B38" s="342"/>
      <c r="C38" s="167" t="s">
        <v>290</v>
      </c>
      <c r="D38" s="169" t="s">
        <v>291</v>
      </c>
      <c r="E38" s="344"/>
      <c r="F38" s="353"/>
      <c r="G38" s="216" t="s">
        <v>290</v>
      </c>
      <c r="H38" s="217" t="s">
        <v>291</v>
      </c>
      <c r="I38" s="344"/>
      <c r="J38" s="353"/>
      <c r="K38" s="167" t="s">
        <v>290</v>
      </c>
      <c r="L38" s="186" t="s">
        <v>291</v>
      </c>
      <c r="M38" s="344"/>
      <c r="N38" s="358"/>
    </row>
    <row r="39" spans="2:14" x14ac:dyDescent="0.25">
      <c r="B39" s="348" t="s">
        <v>46</v>
      </c>
      <c r="C39" s="363" t="s">
        <v>43</v>
      </c>
      <c r="D39" s="170" t="s">
        <v>43</v>
      </c>
      <c r="E39" s="344"/>
      <c r="F39" s="354"/>
      <c r="G39" s="372" t="s">
        <v>44</v>
      </c>
      <c r="H39" s="218" t="s">
        <v>44</v>
      </c>
      <c r="I39" s="344"/>
      <c r="J39" s="354"/>
      <c r="K39" s="350" t="s">
        <v>45</v>
      </c>
      <c r="L39" s="187" t="s">
        <v>45</v>
      </c>
      <c r="M39" s="344"/>
      <c r="N39" s="358"/>
    </row>
    <row r="40" spans="2:14" ht="30.75" thickBot="1" x14ac:dyDescent="0.3">
      <c r="B40" s="349"/>
      <c r="C40" s="364"/>
      <c r="D40" s="188" t="s">
        <v>129</v>
      </c>
      <c r="E40" s="345"/>
      <c r="F40" s="345"/>
      <c r="G40" s="373"/>
      <c r="H40" s="221" t="s">
        <v>128</v>
      </c>
      <c r="I40" s="345"/>
      <c r="J40" s="345"/>
      <c r="K40" s="351"/>
      <c r="L40" s="173" t="s">
        <v>127</v>
      </c>
      <c r="M40" s="345"/>
      <c r="N40" s="359"/>
    </row>
    <row r="41" spans="2:14" x14ac:dyDescent="0.25">
      <c r="B41" s="44">
        <v>1</v>
      </c>
      <c r="C41" s="157">
        <v>3600000</v>
      </c>
      <c r="D41" s="58">
        <f>L41*1000</f>
        <v>3600000</v>
      </c>
      <c r="E41" s="54">
        <f>C41-D41</f>
        <v>0</v>
      </c>
      <c r="F41" s="54">
        <f>(100*E41)/D41</f>
        <v>0</v>
      </c>
      <c r="G41" s="211">
        <v>859.80399999999997</v>
      </c>
      <c r="H41" s="54">
        <f>L41/4.187</f>
        <v>859.80415572008587</v>
      </c>
      <c r="I41" s="54">
        <f>G41-H41</f>
        <v>-1.557200858997021E-4</v>
      </c>
      <c r="J41" s="54">
        <f>(100*I41)/H41</f>
        <v>-1.8111111101723687E-5</v>
      </c>
      <c r="K41" s="157">
        <v>3600</v>
      </c>
      <c r="L41" s="58">
        <f>B41*3600</f>
        <v>3600</v>
      </c>
      <c r="M41" s="54">
        <f>K41-L41</f>
        <v>0</v>
      </c>
      <c r="N41" s="162">
        <f>(100*M41)/L41</f>
        <v>0</v>
      </c>
    </row>
    <row r="42" spans="2:14" x14ac:dyDescent="0.25">
      <c r="B42" s="47">
        <v>236</v>
      </c>
      <c r="C42" s="155">
        <v>849600000</v>
      </c>
      <c r="D42" s="26">
        <f t="shared" ref="D42:D46" si="27">L42*1000</f>
        <v>849600000</v>
      </c>
      <c r="E42" s="52">
        <f t="shared" ref="E42:E46" si="28">C42-D42</f>
        <v>0</v>
      </c>
      <c r="F42" s="52">
        <f t="shared" ref="F42:F46" si="29">(100*E42)/D42</f>
        <v>0</v>
      </c>
      <c r="G42" s="212">
        <v>202914</v>
      </c>
      <c r="H42" s="52">
        <f t="shared" ref="H42:H46" si="30">L42/4.187</f>
        <v>202913.78074994028</v>
      </c>
      <c r="I42" s="52">
        <f t="shared" ref="I42:I46" si="31">G42-H42</f>
        <v>0.21925005971570499</v>
      </c>
      <c r="J42" s="52">
        <f t="shared" ref="J42:J46" si="32">(100*I42)/H42</f>
        <v>1.080508474611178E-4</v>
      </c>
      <c r="K42" s="155">
        <v>849600</v>
      </c>
      <c r="L42" s="26">
        <f t="shared" ref="L42:L46" si="33">B42*3600</f>
        <v>849600</v>
      </c>
      <c r="M42" s="52">
        <f t="shared" ref="M42:M46" si="34">K42-L42</f>
        <v>0</v>
      </c>
      <c r="N42" s="153">
        <f t="shared" ref="N42:N46" si="35">(100*M42)/L42</f>
        <v>0</v>
      </c>
    </row>
    <row r="43" spans="2:14" x14ac:dyDescent="0.25">
      <c r="B43" s="47">
        <v>3687</v>
      </c>
      <c r="C43" s="155">
        <v>13273200000</v>
      </c>
      <c r="D43" s="26">
        <f t="shared" si="27"/>
        <v>13273200000</v>
      </c>
      <c r="E43" s="52">
        <f t="shared" si="28"/>
        <v>0</v>
      </c>
      <c r="F43" s="52">
        <f t="shared" si="29"/>
        <v>0</v>
      </c>
      <c r="G43" s="212">
        <v>3170098</v>
      </c>
      <c r="H43" s="52">
        <f t="shared" si="30"/>
        <v>3170097.9221399566</v>
      </c>
      <c r="I43" s="52">
        <f t="shared" si="31"/>
        <v>7.7860043384134769E-2</v>
      </c>
      <c r="J43" s="52">
        <f t="shared" si="32"/>
        <v>2.4560769192762284E-6</v>
      </c>
      <c r="K43" s="159">
        <v>13273200</v>
      </c>
      <c r="L43" s="26">
        <f t="shared" si="33"/>
        <v>13273200</v>
      </c>
      <c r="M43" s="52">
        <f t="shared" si="34"/>
        <v>0</v>
      </c>
      <c r="N43" s="153">
        <f t="shared" si="35"/>
        <v>0</v>
      </c>
    </row>
    <row r="44" spans="2:14" x14ac:dyDescent="0.25">
      <c r="B44" s="47">
        <v>3344556677</v>
      </c>
      <c r="C44" s="159">
        <v>1.20404040372E+16</v>
      </c>
      <c r="D44" s="26">
        <f>L44*1000</f>
        <v>1.20404040372E+16</v>
      </c>
      <c r="E44" s="52">
        <f t="shared" si="28"/>
        <v>0</v>
      </c>
      <c r="F44" s="52">
        <f t="shared" si="29"/>
        <v>0</v>
      </c>
      <c r="G44" s="212">
        <v>2875663729926</v>
      </c>
      <c r="H44" s="52">
        <f>L44/4.187</f>
        <v>2875663729925.9609</v>
      </c>
      <c r="I44" s="52">
        <f t="shared" si="31"/>
        <v>3.90625E-2</v>
      </c>
      <c r="J44" s="52">
        <f t="shared" si="32"/>
        <v>1.3583820525846301E-12</v>
      </c>
      <c r="K44" s="155">
        <v>12040404037200</v>
      </c>
      <c r="L44" s="26">
        <f>B44*3600</f>
        <v>12040404037200</v>
      </c>
      <c r="M44" s="52">
        <f t="shared" si="34"/>
        <v>0</v>
      </c>
      <c r="N44" s="153">
        <f t="shared" si="35"/>
        <v>0</v>
      </c>
    </row>
    <row r="45" spans="2:14" x14ac:dyDescent="0.25">
      <c r="B45" s="85">
        <v>0.65469999999999995</v>
      </c>
      <c r="C45" s="155">
        <v>2356920</v>
      </c>
      <c r="D45" s="26">
        <f t="shared" si="27"/>
        <v>2356919.9999999995</v>
      </c>
      <c r="E45" s="52">
        <f t="shared" si="28"/>
        <v>0</v>
      </c>
      <c r="F45" s="52">
        <f t="shared" si="29"/>
        <v>0</v>
      </c>
      <c r="G45" s="212">
        <v>562.91399999999999</v>
      </c>
      <c r="H45" s="52">
        <f t="shared" si="30"/>
        <v>562.9137807499402</v>
      </c>
      <c r="I45" s="52">
        <f t="shared" si="31"/>
        <v>2.1925005978573608E-4</v>
      </c>
      <c r="J45" s="52">
        <f t="shared" si="32"/>
        <v>3.8949137023016356E-5</v>
      </c>
      <c r="K45" s="155">
        <v>2356.92</v>
      </c>
      <c r="L45" s="26">
        <f t="shared" si="33"/>
        <v>2356.9199999999996</v>
      </c>
      <c r="M45" s="52">
        <f t="shared" si="34"/>
        <v>0</v>
      </c>
      <c r="N45" s="153">
        <f t="shared" si="35"/>
        <v>0</v>
      </c>
    </row>
    <row r="46" spans="2:14" ht="15.75" thickBot="1" x14ac:dyDescent="0.3">
      <c r="B46" s="86">
        <v>-741</v>
      </c>
      <c r="C46" s="156">
        <v>-2667600000</v>
      </c>
      <c r="D46" s="59">
        <f t="shared" si="27"/>
        <v>-2667600000</v>
      </c>
      <c r="E46" s="57">
        <f t="shared" si="28"/>
        <v>0</v>
      </c>
      <c r="F46" s="57">
        <f t="shared" si="29"/>
        <v>0</v>
      </c>
      <c r="G46" s="213">
        <v>-637115</v>
      </c>
      <c r="H46" s="57">
        <f t="shared" si="30"/>
        <v>-637114.87938858371</v>
      </c>
      <c r="I46" s="57">
        <f t="shared" si="31"/>
        <v>-0.12061141629237682</v>
      </c>
      <c r="J46" s="57">
        <f t="shared" si="32"/>
        <v>1.8930874194638692E-5</v>
      </c>
      <c r="K46" s="158">
        <v>-2667600</v>
      </c>
      <c r="L46" s="59">
        <f t="shared" si="33"/>
        <v>-2667600</v>
      </c>
      <c r="M46" s="57">
        <f t="shared" si="34"/>
        <v>0</v>
      </c>
      <c r="N46" s="163">
        <f t="shared" si="35"/>
        <v>0</v>
      </c>
    </row>
  </sheetData>
  <mergeCells count="45">
    <mergeCell ref="B1:K1"/>
    <mergeCell ref="B4:B5"/>
    <mergeCell ref="E4:E7"/>
    <mergeCell ref="F4:F7"/>
    <mergeCell ref="I4:I7"/>
    <mergeCell ref="J4:J7"/>
    <mergeCell ref="M4:M7"/>
    <mergeCell ref="N4:N7"/>
    <mergeCell ref="B6:B7"/>
    <mergeCell ref="C6:C7"/>
    <mergeCell ref="G6:G7"/>
    <mergeCell ref="K6:K7"/>
    <mergeCell ref="N15:N18"/>
    <mergeCell ref="B17:B18"/>
    <mergeCell ref="C17:C18"/>
    <mergeCell ref="G17:G18"/>
    <mergeCell ref="K17:K18"/>
    <mergeCell ref="B15:B16"/>
    <mergeCell ref="E15:E18"/>
    <mergeCell ref="F15:F18"/>
    <mergeCell ref="I15:I18"/>
    <mergeCell ref="J15:J18"/>
    <mergeCell ref="M15:M18"/>
    <mergeCell ref="M26:M29"/>
    <mergeCell ref="N26:N29"/>
    <mergeCell ref="B28:B29"/>
    <mergeCell ref="C28:C29"/>
    <mergeCell ref="G28:G29"/>
    <mergeCell ref="K28:K29"/>
    <mergeCell ref="B26:B27"/>
    <mergeCell ref="E26:E29"/>
    <mergeCell ref="F26:F29"/>
    <mergeCell ref="I26:I29"/>
    <mergeCell ref="J26:J29"/>
    <mergeCell ref="N37:N40"/>
    <mergeCell ref="B39:B40"/>
    <mergeCell ref="C39:C40"/>
    <mergeCell ref="G39:G40"/>
    <mergeCell ref="K39:K40"/>
    <mergeCell ref="B37:B38"/>
    <mergeCell ref="E37:E40"/>
    <mergeCell ref="F37:F40"/>
    <mergeCell ref="I37:I40"/>
    <mergeCell ref="J37:J40"/>
    <mergeCell ref="M37:M40"/>
  </mergeCells>
  <pageMargins left="0.7" right="0.7" top="0.78740157499999996" bottom="0.78740157499999996" header="0.3" footer="0.3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H102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4" sqref="B4"/>
    </sheetView>
  </sheetViews>
  <sheetFormatPr defaultRowHeight="15" x14ac:dyDescent="0.25"/>
  <cols>
    <col min="1" max="1" width="4.28515625" customWidth="1"/>
    <col min="2" max="2" width="32.85546875" bestFit="1" customWidth="1"/>
    <col min="3" max="3" width="31.28515625" bestFit="1" customWidth="1"/>
    <col min="4" max="4" width="62.42578125" bestFit="1" customWidth="1"/>
    <col min="5" max="5" width="23.7109375" bestFit="1" customWidth="1"/>
    <col min="6" max="6" width="23.7109375" customWidth="1"/>
    <col min="7" max="7" width="32.85546875" bestFit="1" customWidth="1"/>
    <col min="8" max="8" width="62.28515625" bestFit="1" customWidth="1"/>
    <col min="9" max="10" width="27.42578125" customWidth="1"/>
    <col min="11" max="11" width="32.28515625" bestFit="1" customWidth="1"/>
    <col min="12" max="12" width="62.28515625" bestFit="1" customWidth="1"/>
    <col min="13" max="13" width="24" bestFit="1" customWidth="1"/>
    <col min="14" max="14" width="23.7109375" bestFit="1" customWidth="1"/>
    <col min="15" max="15" width="34.42578125" bestFit="1" customWidth="1"/>
    <col min="16" max="16" width="62.28515625" bestFit="1" customWidth="1"/>
    <col min="17" max="17" width="24" bestFit="1" customWidth="1"/>
    <col min="18" max="18" width="23.7109375" bestFit="1" customWidth="1"/>
    <col min="19" max="19" width="32.28515625" bestFit="1" customWidth="1"/>
    <col min="20" max="20" width="62.28515625" bestFit="1" customWidth="1"/>
    <col min="21" max="21" width="24" bestFit="1" customWidth="1"/>
    <col min="22" max="22" width="23.7109375" bestFit="1" customWidth="1"/>
    <col min="23" max="23" width="32.28515625" bestFit="1" customWidth="1"/>
    <col min="24" max="24" width="62.28515625" bestFit="1" customWidth="1"/>
    <col min="25" max="25" width="24" bestFit="1" customWidth="1"/>
    <col min="26" max="26" width="23.7109375" bestFit="1" customWidth="1"/>
    <col min="27" max="27" width="31.5703125" bestFit="1" customWidth="1"/>
    <col min="28" max="28" width="62.28515625" bestFit="1" customWidth="1"/>
    <col min="29" max="29" width="24" bestFit="1" customWidth="1"/>
    <col min="30" max="30" width="23.7109375" bestFit="1" customWidth="1"/>
    <col min="31" max="31" width="31.5703125" bestFit="1" customWidth="1"/>
    <col min="32" max="32" width="62.28515625" bestFit="1" customWidth="1"/>
    <col min="33" max="33" width="24" bestFit="1" customWidth="1"/>
    <col min="34" max="34" width="23.7109375" bestFit="1" customWidth="1"/>
  </cols>
  <sheetData>
    <row r="1" spans="2:34" ht="31.5" x14ac:dyDescent="0.5">
      <c r="B1" s="340" t="s">
        <v>289</v>
      </c>
      <c r="C1" s="340"/>
      <c r="D1" s="340"/>
      <c r="E1" s="340"/>
      <c r="F1" s="340"/>
      <c r="G1" s="340"/>
      <c r="H1" s="340"/>
      <c r="I1" s="340"/>
      <c r="J1" s="340"/>
      <c r="K1" s="340"/>
    </row>
    <row r="2" spans="2:34" x14ac:dyDescent="0.25">
      <c r="B2" s="70" t="s">
        <v>340</v>
      </c>
      <c r="C2" t="s">
        <v>341</v>
      </c>
      <c r="D2" t="s">
        <v>348</v>
      </c>
    </row>
    <row r="3" spans="2:34" x14ac:dyDescent="0.25">
      <c r="B3" s="70"/>
      <c r="C3" t="s">
        <v>680</v>
      </c>
      <c r="D3" t="s">
        <v>679</v>
      </c>
    </row>
    <row r="4" spans="2:34" ht="15.75" thickBot="1" x14ac:dyDescent="0.3"/>
    <row r="5" spans="2:34" x14ac:dyDescent="0.25">
      <c r="B5" s="341" t="s">
        <v>10</v>
      </c>
      <c r="C5" s="62" t="s">
        <v>14</v>
      </c>
      <c r="D5" s="65" t="s">
        <v>14</v>
      </c>
      <c r="E5" s="330" t="s">
        <v>354</v>
      </c>
      <c r="F5" s="324" t="s">
        <v>355</v>
      </c>
      <c r="G5" s="62" t="s">
        <v>14</v>
      </c>
      <c r="H5" s="65" t="s">
        <v>14</v>
      </c>
      <c r="I5" s="330" t="s">
        <v>354</v>
      </c>
      <c r="J5" s="324" t="s">
        <v>355</v>
      </c>
      <c r="K5" s="62" t="s">
        <v>14</v>
      </c>
      <c r="L5" s="65" t="s">
        <v>14</v>
      </c>
      <c r="M5" s="330" t="s">
        <v>354</v>
      </c>
      <c r="N5" s="321" t="s">
        <v>355</v>
      </c>
      <c r="O5" s="62" t="s">
        <v>14</v>
      </c>
      <c r="P5" s="65" t="s">
        <v>14</v>
      </c>
      <c r="Q5" s="330" t="s">
        <v>354</v>
      </c>
      <c r="R5" s="321" t="s">
        <v>355</v>
      </c>
      <c r="S5" s="62" t="s">
        <v>14</v>
      </c>
      <c r="T5" s="65" t="s">
        <v>14</v>
      </c>
      <c r="U5" s="330" t="s">
        <v>354</v>
      </c>
      <c r="V5" s="321" t="s">
        <v>355</v>
      </c>
      <c r="W5" s="62" t="s">
        <v>14</v>
      </c>
      <c r="X5" s="65" t="s">
        <v>14</v>
      </c>
      <c r="Y5" s="330" t="s">
        <v>354</v>
      </c>
      <c r="Z5" s="321" t="s">
        <v>355</v>
      </c>
      <c r="AA5" s="62" t="s">
        <v>14</v>
      </c>
      <c r="AB5" s="65" t="s">
        <v>14</v>
      </c>
      <c r="AC5" s="330" t="s">
        <v>354</v>
      </c>
      <c r="AD5" s="321" t="s">
        <v>355</v>
      </c>
      <c r="AE5" s="62" t="s">
        <v>14</v>
      </c>
      <c r="AF5" s="65" t="s">
        <v>14</v>
      </c>
      <c r="AG5" s="330" t="s">
        <v>354</v>
      </c>
      <c r="AH5" s="321" t="s">
        <v>355</v>
      </c>
    </row>
    <row r="6" spans="2:34" ht="15.75" thickBot="1" x14ac:dyDescent="0.3">
      <c r="B6" s="342"/>
      <c r="C6" s="63" t="s">
        <v>290</v>
      </c>
      <c r="D6" s="27" t="s">
        <v>291</v>
      </c>
      <c r="E6" s="331"/>
      <c r="F6" s="325"/>
      <c r="G6" s="63" t="s">
        <v>290</v>
      </c>
      <c r="H6" s="27" t="s">
        <v>291</v>
      </c>
      <c r="I6" s="331"/>
      <c r="J6" s="325"/>
      <c r="K6" s="63" t="s">
        <v>290</v>
      </c>
      <c r="L6" s="27" t="s">
        <v>291</v>
      </c>
      <c r="M6" s="331"/>
      <c r="N6" s="322"/>
      <c r="O6" s="63" t="s">
        <v>290</v>
      </c>
      <c r="P6" s="27" t="s">
        <v>291</v>
      </c>
      <c r="Q6" s="331"/>
      <c r="R6" s="322"/>
      <c r="S6" s="63" t="s">
        <v>290</v>
      </c>
      <c r="T6" s="27" t="s">
        <v>291</v>
      </c>
      <c r="U6" s="331"/>
      <c r="V6" s="322"/>
      <c r="W6" s="63" t="s">
        <v>290</v>
      </c>
      <c r="X6" s="27" t="s">
        <v>291</v>
      </c>
      <c r="Y6" s="331"/>
      <c r="Z6" s="322"/>
      <c r="AA6" s="63" t="s">
        <v>290</v>
      </c>
      <c r="AB6" s="27" t="s">
        <v>291</v>
      </c>
      <c r="AC6" s="331"/>
      <c r="AD6" s="322"/>
      <c r="AE6" s="63" t="s">
        <v>290</v>
      </c>
      <c r="AF6" s="27" t="s">
        <v>291</v>
      </c>
      <c r="AG6" s="331"/>
      <c r="AH6" s="322"/>
    </row>
    <row r="7" spans="2:34" ht="15.75" thickBot="1" x14ac:dyDescent="0.3">
      <c r="B7" s="346" t="s">
        <v>69</v>
      </c>
      <c r="C7" s="346" t="s">
        <v>70</v>
      </c>
      <c r="D7" s="16" t="s">
        <v>70</v>
      </c>
      <c r="E7" s="331"/>
      <c r="F7" s="326"/>
      <c r="G7" s="346" t="s">
        <v>72</v>
      </c>
      <c r="H7" s="16" t="s">
        <v>72</v>
      </c>
      <c r="I7" s="331"/>
      <c r="J7" s="326"/>
      <c r="K7" s="346" t="s">
        <v>71</v>
      </c>
      <c r="L7" s="16" t="s">
        <v>71</v>
      </c>
      <c r="M7" s="331"/>
      <c r="N7" s="322"/>
      <c r="O7" s="346" t="s">
        <v>564</v>
      </c>
      <c r="P7" s="16" t="s">
        <v>564</v>
      </c>
      <c r="Q7" s="331"/>
      <c r="R7" s="322"/>
      <c r="S7" s="346" t="s">
        <v>566</v>
      </c>
      <c r="T7" s="16" t="s">
        <v>566</v>
      </c>
      <c r="U7" s="331"/>
      <c r="V7" s="322"/>
      <c r="W7" s="346" t="s">
        <v>571</v>
      </c>
      <c r="X7" s="16" t="s">
        <v>571</v>
      </c>
      <c r="Y7" s="331"/>
      <c r="Z7" s="322"/>
      <c r="AA7" s="346" t="s">
        <v>570</v>
      </c>
      <c r="AB7" s="16" t="s">
        <v>570</v>
      </c>
      <c r="AC7" s="331"/>
      <c r="AD7" s="322"/>
      <c r="AE7" s="346" t="s">
        <v>574</v>
      </c>
      <c r="AF7" s="16" t="s">
        <v>574</v>
      </c>
      <c r="AG7" s="331"/>
      <c r="AH7" s="322"/>
    </row>
    <row r="8" spans="2:34" ht="45.75" thickBot="1" x14ac:dyDescent="0.3">
      <c r="B8" s="347"/>
      <c r="C8" s="347"/>
      <c r="D8" s="89" t="s">
        <v>237</v>
      </c>
      <c r="E8" s="327"/>
      <c r="F8" s="327"/>
      <c r="G8" s="347"/>
      <c r="H8" s="89" t="s">
        <v>238</v>
      </c>
      <c r="I8" s="327"/>
      <c r="J8" s="327"/>
      <c r="K8" s="347"/>
      <c r="L8" s="89" t="s">
        <v>239</v>
      </c>
      <c r="M8" s="327"/>
      <c r="N8" s="323"/>
      <c r="O8" s="347"/>
      <c r="P8" s="90" t="s">
        <v>565</v>
      </c>
      <c r="Q8" s="327"/>
      <c r="R8" s="323"/>
      <c r="S8" s="347"/>
      <c r="T8" s="90" t="s">
        <v>567</v>
      </c>
      <c r="U8" s="327"/>
      <c r="V8" s="323"/>
      <c r="W8" s="347"/>
      <c r="X8" s="22" t="s">
        <v>572</v>
      </c>
      <c r="Y8" s="327"/>
      <c r="Z8" s="323"/>
      <c r="AA8" s="347"/>
      <c r="AB8" s="22" t="s">
        <v>573</v>
      </c>
      <c r="AC8" s="327"/>
      <c r="AD8" s="323"/>
      <c r="AE8" s="347"/>
      <c r="AF8" s="90" t="s">
        <v>575</v>
      </c>
      <c r="AG8" s="327"/>
      <c r="AH8" s="323"/>
    </row>
    <row r="9" spans="2:34" ht="15.75" thickBot="1" x14ac:dyDescent="0.3">
      <c r="B9" s="44">
        <v>1</v>
      </c>
      <c r="C9" s="154">
        <v>3600</v>
      </c>
      <c r="D9" s="58">
        <f>B9*3600</f>
        <v>3600</v>
      </c>
      <c r="E9" s="54">
        <f>C9-D9</f>
        <v>0</v>
      </c>
      <c r="F9" s="54">
        <f>(100*E9)/D9</f>
        <v>0</v>
      </c>
      <c r="G9" s="157">
        <v>60</v>
      </c>
      <c r="H9" s="58">
        <f>B9*60</f>
        <v>60</v>
      </c>
      <c r="I9" s="54">
        <f>G9-H9</f>
        <v>0</v>
      </c>
      <c r="J9" s="54">
        <f>(100*I9)/H9</f>
        <v>0</v>
      </c>
      <c r="K9" s="157">
        <v>1000</v>
      </c>
      <c r="L9" s="58">
        <f>B9*1000</f>
        <v>1000</v>
      </c>
      <c r="M9" s="54">
        <f>K9-L9</f>
        <v>0</v>
      </c>
      <c r="N9" s="162">
        <f>(100*M9)/L9</f>
        <v>0</v>
      </c>
      <c r="O9" s="157">
        <v>3600000</v>
      </c>
      <c r="P9" s="58">
        <f>$B9*1000*3600</f>
        <v>3600000</v>
      </c>
      <c r="Q9" s="54">
        <f>O9-P9</f>
        <v>0</v>
      </c>
      <c r="R9" s="162">
        <f>(100*Q9)/P9</f>
        <v>0</v>
      </c>
      <c r="S9" s="157">
        <v>60000</v>
      </c>
      <c r="T9" s="58">
        <f>$B9*1000*60</f>
        <v>60000</v>
      </c>
      <c r="U9" s="54">
        <f>S9-T9</f>
        <v>0</v>
      </c>
      <c r="V9" s="162">
        <f>(100*U9)/T9</f>
        <v>0</v>
      </c>
      <c r="W9" s="157">
        <v>127133</v>
      </c>
      <c r="X9" s="58">
        <f>$B9/POWER(0.3048, 3)*3600</f>
        <v>127132.80019735891</v>
      </c>
      <c r="Y9" s="54">
        <f>W9-X9</f>
        <v>0.1998026410874445</v>
      </c>
      <c r="Z9" s="162">
        <f>(100*Y9)/X9</f>
        <v>1.5716057600971117E-4</v>
      </c>
      <c r="AA9" s="157">
        <v>2118.88</v>
      </c>
      <c r="AB9" s="58">
        <f>$B9/POWER(0.3048, 3)*60</f>
        <v>2118.880003289315</v>
      </c>
      <c r="AC9" s="58">
        <f>AA9-AB9</f>
        <v>-3.2893149182200432E-6</v>
      </c>
      <c r="AD9" s="108">
        <f>(100*AC9)/AB9</f>
        <v>-1.5523837655335666E-7</v>
      </c>
      <c r="AE9" s="157">
        <v>35.314700000000002</v>
      </c>
      <c r="AF9" s="58">
        <f>$B9/POWER(0.3048, 3)</f>
        <v>35.314666721488585</v>
      </c>
      <c r="AG9" s="54">
        <f>AE9-AF9</f>
        <v>3.3278511416767742E-5</v>
      </c>
      <c r="AH9" s="162">
        <f>(100*AG9)/AF9</f>
        <v>9.4234250259873283E-5</v>
      </c>
    </row>
    <row r="10" spans="2:34" ht="15.75" thickBot="1" x14ac:dyDescent="0.3">
      <c r="B10" s="47">
        <v>987</v>
      </c>
      <c r="C10" s="155">
        <v>3553200</v>
      </c>
      <c r="D10" s="26">
        <f t="shared" ref="D10:D14" si="0">B10*3600</f>
        <v>3553200</v>
      </c>
      <c r="E10" s="52">
        <f t="shared" ref="E10:E14" si="1">C10-D10</f>
        <v>0</v>
      </c>
      <c r="F10" s="52">
        <f t="shared" ref="F10:F14" si="2">(100*E10)/D10</f>
        <v>0</v>
      </c>
      <c r="G10" s="155">
        <v>59220</v>
      </c>
      <c r="H10" s="26">
        <f t="shared" ref="H10:H14" si="3">B10*60</f>
        <v>59220</v>
      </c>
      <c r="I10" s="52">
        <f t="shared" ref="I10:I14" si="4">G10-H10</f>
        <v>0</v>
      </c>
      <c r="J10" s="52">
        <f t="shared" ref="J10:J14" si="5">(100*I10)/H10</f>
        <v>0</v>
      </c>
      <c r="K10" s="155">
        <v>987000</v>
      </c>
      <c r="L10" s="26">
        <f t="shared" ref="L10:L14" si="6">B10*1000</f>
        <v>987000</v>
      </c>
      <c r="M10" s="52">
        <f t="shared" ref="M10:M14" si="7">K10-L10</f>
        <v>0</v>
      </c>
      <c r="N10" s="153">
        <f t="shared" ref="N10:N14" si="8">(100*M10)/L10</f>
        <v>0</v>
      </c>
      <c r="O10" s="155">
        <v>3553200000</v>
      </c>
      <c r="P10" s="58">
        <f t="shared" ref="P10:P14" si="9">$B10*1000*3600</f>
        <v>3553200000</v>
      </c>
      <c r="Q10" s="52">
        <f t="shared" ref="Q10:Q14" si="10">O10-P10</f>
        <v>0</v>
      </c>
      <c r="R10" s="153">
        <f t="shared" ref="R10:R14" si="11">(100*Q10)/P10</f>
        <v>0</v>
      </c>
      <c r="S10" s="155">
        <v>59220000</v>
      </c>
      <c r="T10" s="58">
        <f t="shared" ref="T10:T14" si="12">$B10*1000*60</f>
        <v>59220000</v>
      </c>
      <c r="U10" s="52">
        <f t="shared" ref="U10:U14" si="13">S10-T10</f>
        <v>0</v>
      </c>
      <c r="V10" s="153">
        <f t="shared" ref="V10:V14" si="14">(100*U10)/T10</f>
        <v>0</v>
      </c>
      <c r="W10" s="155">
        <v>125480074</v>
      </c>
      <c r="X10" s="58">
        <f t="shared" ref="X10:X14" si="15">$B10/POWER(0.3048, 3)*3600</f>
        <v>125480073.79479323</v>
      </c>
      <c r="Y10" s="52">
        <f t="shared" ref="Y10:Y14" si="16">W10-X10</f>
        <v>0.20520676672458649</v>
      </c>
      <c r="Z10" s="153">
        <f t="shared" ref="Z10:Z14" si="17">(100*Y10)/X10</f>
        <v>1.6353733347350127E-7</v>
      </c>
      <c r="AA10" s="155">
        <v>2091335</v>
      </c>
      <c r="AB10" s="58">
        <f t="shared" ref="AB10:AB14" si="18">$B10/POWER(0.3048, 3)*60</f>
        <v>2091334.5632465538</v>
      </c>
      <c r="AC10" s="26">
        <f t="shared" ref="AC10:AC14" si="19">AA10-AB10</f>
        <v>0.43675344623625278</v>
      </c>
      <c r="AD10" s="107">
        <f t="shared" ref="AD10:AD14" si="20">(100*AC10)/AB10</f>
        <v>2.0883958688955241E-5</v>
      </c>
      <c r="AE10" s="155">
        <v>34855.599999999999</v>
      </c>
      <c r="AF10" s="58">
        <f t="shared" ref="AF10:AF14" si="21">$B10/POWER(0.3048, 3)</f>
        <v>34855.576054109231</v>
      </c>
      <c r="AG10" s="52">
        <f t="shared" ref="AG10:AG14" si="22">AE10-AF10</f>
        <v>2.3945890767208766E-2</v>
      </c>
      <c r="AH10" s="153">
        <f t="shared" ref="AH10:AH14" si="23">(100*AG10)/AF10</f>
        <v>6.8700315639700103E-5</v>
      </c>
    </row>
    <row r="11" spans="2:34" ht="15.75" thickBot="1" x14ac:dyDescent="0.3">
      <c r="B11" s="47">
        <v>5987</v>
      </c>
      <c r="C11" s="155">
        <v>21553200</v>
      </c>
      <c r="D11" s="26">
        <f t="shared" si="0"/>
        <v>21553200</v>
      </c>
      <c r="E11" s="52">
        <f t="shared" si="1"/>
        <v>0</v>
      </c>
      <c r="F11" s="52">
        <f t="shared" si="2"/>
        <v>0</v>
      </c>
      <c r="G11" s="155">
        <v>359220</v>
      </c>
      <c r="H11" s="26">
        <f t="shared" si="3"/>
        <v>359220</v>
      </c>
      <c r="I11" s="52">
        <f t="shared" si="4"/>
        <v>0</v>
      </c>
      <c r="J11" s="52">
        <f t="shared" si="5"/>
        <v>0</v>
      </c>
      <c r="K11" s="159">
        <v>5987000</v>
      </c>
      <c r="L11" s="26">
        <f t="shared" si="6"/>
        <v>5987000</v>
      </c>
      <c r="M11" s="52">
        <f t="shared" si="7"/>
        <v>0</v>
      </c>
      <c r="N11" s="153">
        <f t="shared" si="8"/>
        <v>0</v>
      </c>
      <c r="O11" s="159">
        <v>21553200000</v>
      </c>
      <c r="P11" s="58">
        <f t="shared" si="9"/>
        <v>21553200000</v>
      </c>
      <c r="Q11" s="52">
        <f t="shared" si="10"/>
        <v>0</v>
      </c>
      <c r="R11" s="153">
        <f t="shared" si="11"/>
        <v>0</v>
      </c>
      <c r="S11" s="159">
        <v>359220000</v>
      </c>
      <c r="T11" s="58">
        <f t="shared" si="12"/>
        <v>359220000</v>
      </c>
      <c r="U11" s="52">
        <f t="shared" si="13"/>
        <v>0</v>
      </c>
      <c r="V11" s="153">
        <f t="shared" si="14"/>
        <v>0</v>
      </c>
      <c r="W11" s="159">
        <v>761144075</v>
      </c>
      <c r="X11" s="58">
        <f t="shared" si="15"/>
        <v>761144074.78158784</v>
      </c>
      <c r="Y11" s="52">
        <f t="shared" si="16"/>
        <v>0.21841216087341309</v>
      </c>
      <c r="Z11" s="153">
        <f t="shared" si="17"/>
        <v>2.8695245500805744E-8</v>
      </c>
      <c r="AA11" s="159">
        <v>12685735</v>
      </c>
      <c r="AB11" s="58">
        <f t="shared" si="18"/>
        <v>12685734.579693131</v>
      </c>
      <c r="AC11" s="26">
        <f t="shared" si="19"/>
        <v>0.42030686885118484</v>
      </c>
      <c r="AD11" s="107">
        <f t="shared" si="20"/>
        <v>3.31322452169224E-6</v>
      </c>
      <c r="AE11" s="159">
        <v>211429</v>
      </c>
      <c r="AF11" s="58">
        <f t="shared" si="21"/>
        <v>211428.90966155217</v>
      </c>
      <c r="AG11" s="52">
        <f t="shared" si="22"/>
        <v>9.0338447829708457E-2</v>
      </c>
      <c r="AH11" s="153">
        <f t="shared" si="23"/>
        <v>4.272757589031652E-5</v>
      </c>
    </row>
    <row r="12" spans="2:34" ht="15.75" thickBot="1" x14ac:dyDescent="0.3">
      <c r="B12" s="47">
        <v>4455667788</v>
      </c>
      <c r="C12" s="155">
        <v>16040404036800</v>
      </c>
      <c r="D12" s="26">
        <f t="shared" si="0"/>
        <v>16040404036800</v>
      </c>
      <c r="E12" s="52">
        <f t="shared" si="1"/>
        <v>0</v>
      </c>
      <c r="F12" s="52">
        <f t="shared" si="2"/>
        <v>0</v>
      </c>
      <c r="G12" s="155">
        <v>267340067280</v>
      </c>
      <c r="H12" s="26">
        <f t="shared" si="3"/>
        <v>267340067280</v>
      </c>
      <c r="I12" s="52">
        <f t="shared" si="4"/>
        <v>0</v>
      </c>
      <c r="J12" s="52">
        <f t="shared" si="5"/>
        <v>0</v>
      </c>
      <c r="K12" s="155">
        <v>4455667788000</v>
      </c>
      <c r="L12" s="26">
        <f t="shared" si="6"/>
        <v>4455667788000</v>
      </c>
      <c r="M12" s="52">
        <f t="shared" si="7"/>
        <v>0</v>
      </c>
      <c r="N12" s="153">
        <f t="shared" si="8"/>
        <v>0</v>
      </c>
      <c r="O12" s="155">
        <v>1.60404040368E+16</v>
      </c>
      <c r="P12" s="58">
        <f t="shared" si="9"/>
        <v>1.60404040368E+16</v>
      </c>
      <c r="Q12" s="52">
        <f t="shared" si="10"/>
        <v>0</v>
      </c>
      <c r="R12" s="153">
        <f t="shared" si="11"/>
        <v>0</v>
      </c>
      <c r="S12" s="155">
        <v>267340067280000</v>
      </c>
      <c r="T12" s="58">
        <f t="shared" si="12"/>
        <v>267340067280000</v>
      </c>
      <c r="U12" s="52">
        <f t="shared" si="13"/>
        <v>0</v>
      </c>
      <c r="V12" s="153">
        <f t="shared" si="14"/>
        <v>0</v>
      </c>
      <c r="W12" s="155">
        <v>566461522637612</v>
      </c>
      <c r="X12" s="58">
        <f t="shared" si="15"/>
        <v>566461522637612.12</v>
      </c>
      <c r="Y12" s="52">
        <f t="shared" si="16"/>
        <v>0</v>
      </c>
      <c r="Z12" s="153">
        <f t="shared" si="17"/>
        <v>0</v>
      </c>
      <c r="AA12" s="155">
        <v>9441025377294</v>
      </c>
      <c r="AB12" s="58">
        <f t="shared" si="18"/>
        <v>9441025377293.5352</v>
      </c>
      <c r="AC12" s="26">
        <f t="shared" si="19"/>
        <v>0.46484375</v>
      </c>
      <c r="AD12" s="107">
        <f t="shared" si="20"/>
        <v>4.9236574569324696E-12</v>
      </c>
      <c r="AE12" s="155">
        <v>157350422955</v>
      </c>
      <c r="AF12" s="58">
        <f t="shared" si="21"/>
        <v>157350422954.89224</v>
      </c>
      <c r="AG12" s="52">
        <f t="shared" si="22"/>
        <v>0.107757568359375</v>
      </c>
      <c r="AH12" s="153">
        <f t="shared" si="23"/>
        <v>6.8482541283200707E-11</v>
      </c>
    </row>
    <row r="13" spans="2:34" ht="15.75" thickBot="1" x14ac:dyDescent="0.3">
      <c r="B13" s="47">
        <v>-654</v>
      </c>
      <c r="C13" s="155">
        <v>-2354400</v>
      </c>
      <c r="D13" s="26">
        <f t="shared" si="0"/>
        <v>-2354400</v>
      </c>
      <c r="E13" s="52">
        <f t="shared" si="1"/>
        <v>0</v>
      </c>
      <c r="F13" s="52">
        <f t="shared" si="2"/>
        <v>0</v>
      </c>
      <c r="G13" s="155">
        <v>-39240</v>
      </c>
      <c r="H13" s="26">
        <f t="shared" si="3"/>
        <v>-39240</v>
      </c>
      <c r="I13" s="52">
        <f t="shared" si="4"/>
        <v>0</v>
      </c>
      <c r="J13" s="52">
        <f t="shared" si="5"/>
        <v>0</v>
      </c>
      <c r="K13" s="155">
        <v>-654000</v>
      </c>
      <c r="L13" s="26">
        <f t="shared" si="6"/>
        <v>-654000</v>
      </c>
      <c r="M13" s="52">
        <f t="shared" si="7"/>
        <v>0</v>
      </c>
      <c r="N13" s="153">
        <f t="shared" si="8"/>
        <v>0</v>
      </c>
      <c r="O13" s="155">
        <v>-2354400000</v>
      </c>
      <c r="P13" s="58">
        <f t="shared" si="9"/>
        <v>-2354400000</v>
      </c>
      <c r="Q13" s="52">
        <f t="shared" si="10"/>
        <v>0</v>
      </c>
      <c r="R13" s="153">
        <f t="shared" si="11"/>
        <v>0</v>
      </c>
      <c r="S13" s="155">
        <v>-39240000</v>
      </c>
      <c r="T13" s="58">
        <f t="shared" si="12"/>
        <v>-39240000</v>
      </c>
      <c r="U13" s="52">
        <f t="shared" si="13"/>
        <v>0</v>
      </c>
      <c r="V13" s="153">
        <f t="shared" si="14"/>
        <v>0</v>
      </c>
      <c r="W13" s="155">
        <v>-83144851</v>
      </c>
      <c r="X13" s="58">
        <f t="shared" si="15"/>
        <v>-83144851.329072729</v>
      </c>
      <c r="Y13" s="52">
        <f t="shared" si="16"/>
        <v>0.3290727287530899</v>
      </c>
      <c r="Z13" s="153">
        <f t="shared" si="17"/>
        <v>-3.9578244893442388E-7</v>
      </c>
      <c r="AA13" s="155">
        <v>-1385748</v>
      </c>
      <c r="AB13" s="58">
        <f t="shared" si="18"/>
        <v>-1385747.522151212</v>
      </c>
      <c r="AC13" s="26">
        <f t="shared" si="19"/>
        <v>-0.47784878802485764</v>
      </c>
      <c r="AD13" s="107">
        <f t="shared" si="20"/>
        <v>3.4483106077148376E-5</v>
      </c>
      <c r="AE13" s="155">
        <v>-23095.8</v>
      </c>
      <c r="AF13" s="58">
        <f t="shared" si="21"/>
        <v>-23095.792035853534</v>
      </c>
      <c r="AG13" s="52">
        <f t="shared" si="22"/>
        <v>-7.9641464653832372E-3</v>
      </c>
      <c r="AH13" s="153">
        <f t="shared" si="23"/>
        <v>3.4483106069797587E-5</v>
      </c>
    </row>
    <row r="14" spans="2:34" ht="15.75" thickBot="1" x14ac:dyDescent="0.3">
      <c r="B14" s="74">
        <v>0.65469999999999995</v>
      </c>
      <c r="C14" s="158">
        <v>2356.92</v>
      </c>
      <c r="D14" s="59">
        <f t="shared" si="0"/>
        <v>2356.9199999999996</v>
      </c>
      <c r="E14" s="57">
        <f t="shared" si="1"/>
        <v>0</v>
      </c>
      <c r="F14" s="57">
        <f t="shared" si="2"/>
        <v>0</v>
      </c>
      <c r="G14" s="156">
        <v>39.281999999999996</v>
      </c>
      <c r="H14" s="59">
        <f t="shared" si="3"/>
        <v>39.281999999999996</v>
      </c>
      <c r="I14" s="57">
        <f t="shared" si="4"/>
        <v>0</v>
      </c>
      <c r="J14" s="57">
        <f t="shared" si="5"/>
        <v>0</v>
      </c>
      <c r="K14" s="158">
        <v>654.70000000000005</v>
      </c>
      <c r="L14" s="59">
        <f t="shared" si="6"/>
        <v>654.69999999999993</v>
      </c>
      <c r="M14" s="57">
        <f t="shared" si="7"/>
        <v>0</v>
      </c>
      <c r="N14" s="163">
        <f t="shared" si="8"/>
        <v>0</v>
      </c>
      <c r="O14" s="158">
        <v>2356920</v>
      </c>
      <c r="P14" s="58">
        <f t="shared" si="9"/>
        <v>2356919.9999999995</v>
      </c>
      <c r="Q14" s="57">
        <f t="shared" si="10"/>
        <v>0</v>
      </c>
      <c r="R14" s="163">
        <f t="shared" si="11"/>
        <v>0</v>
      </c>
      <c r="S14" s="158">
        <v>39282</v>
      </c>
      <c r="T14" s="58">
        <f t="shared" si="12"/>
        <v>39281.999999999993</v>
      </c>
      <c r="U14" s="57">
        <f t="shared" si="13"/>
        <v>0</v>
      </c>
      <c r="V14" s="163">
        <f t="shared" si="14"/>
        <v>0</v>
      </c>
      <c r="W14" s="158">
        <v>83233.8</v>
      </c>
      <c r="X14" s="58">
        <f t="shared" si="15"/>
        <v>83233.844289210858</v>
      </c>
      <c r="Y14" s="57">
        <f t="shared" si="16"/>
        <v>-4.4289210854913108E-2</v>
      </c>
      <c r="Z14" s="163">
        <f t="shared" si="17"/>
        <v>-5.3210579462150437E-5</v>
      </c>
      <c r="AA14" s="158">
        <v>1387.23</v>
      </c>
      <c r="AB14" s="58">
        <f t="shared" si="18"/>
        <v>1387.2307381535145</v>
      </c>
      <c r="AC14" s="59">
        <f t="shared" si="19"/>
        <v>-7.3815351447592548E-4</v>
      </c>
      <c r="AD14" s="109">
        <f t="shared" si="20"/>
        <v>-5.3210579478540904E-5</v>
      </c>
      <c r="AE14" s="158">
        <v>23.1205</v>
      </c>
      <c r="AF14" s="58">
        <f t="shared" si="21"/>
        <v>23.120512302558573</v>
      </c>
      <c r="AG14" s="57">
        <f t="shared" si="22"/>
        <v>-1.2302558573651368E-5</v>
      </c>
      <c r="AH14" s="163">
        <f t="shared" si="23"/>
        <v>-5.321057947444329E-5</v>
      </c>
    </row>
    <row r="15" spans="2:34" ht="15.75" thickBot="1" x14ac:dyDescent="0.3">
      <c r="C15" s="165"/>
      <c r="D15" s="165"/>
      <c r="E15" s="164"/>
      <c r="F15" s="164"/>
      <c r="G15" s="165"/>
      <c r="H15" s="165"/>
      <c r="I15" s="164"/>
      <c r="J15" s="164"/>
      <c r="K15" s="165"/>
      <c r="L15" s="165"/>
      <c r="M15" s="164"/>
      <c r="N15" s="164"/>
      <c r="O15" s="165"/>
      <c r="P15" s="165"/>
      <c r="Q15" s="164"/>
      <c r="R15" s="164"/>
      <c r="S15" s="165"/>
      <c r="T15" s="165"/>
      <c r="U15" s="164"/>
      <c r="V15" s="164"/>
      <c r="W15" s="165"/>
      <c r="X15" s="165"/>
      <c r="Y15" s="164"/>
      <c r="Z15" s="164"/>
      <c r="AA15" s="165"/>
      <c r="AB15" s="165"/>
      <c r="AC15" s="165"/>
      <c r="AD15" s="165"/>
      <c r="AE15" s="165"/>
      <c r="AF15" s="165"/>
      <c r="AG15" s="164"/>
      <c r="AH15" s="164"/>
    </row>
    <row r="16" spans="2:34" x14ac:dyDescent="0.25">
      <c r="B16" s="341" t="s">
        <v>10</v>
      </c>
      <c r="C16" s="166" t="s">
        <v>14</v>
      </c>
      <c r="D16" s="168" t="s">
        <v>14</v>
      </c>
      <c r="E16" s="343" t="s">
        <v>354</v>
      </c>
      <c r="F16" s="352" t="s">
        <v>355</v>
      </c>
      <c r="G16" s="166" t="s">
        <v>14</v>
      </c>
      <c r="H16" s="168" t="s">
        <v>14</v>
      </c>
      <c r="I16" s="343" t="s">
        <v>354</v>
      </c>
      <c r="J16" s="352" t="s">
        <v>355</v>
      </c>
      <c r="K16" s="166" t="s">
        <v>14</v>
      </c>
      <c r="L16" s="168" t="s">
        <v>14</v>
      </c>
      <c r="M16" s="343" t="s">
        <v>354</v>
      </c>
      <c r="N16" s="357" t="s">
        <v>355</v>
      </c>
      <c r="O16" s="166" t="s">
        <v>14</v>
      </c>
      <c r="P16" s="168" t="s">
        <v>14</v>
      </c>
      <c r="Q16" s="343" t="s">
        <v>354</v>
      </c>
      <c r="R16" s="357" t="s">
        <v>355</v>
      </c>
      <c r="S16" s="166" t="s">
        <v>14</v>
      </c>
      <c r="T16" s="168" t="s">
        <v>14</v>
      </c>
      <c r="U16" s="343" t="s">
        <v>354</v>
      </c>
      <c r="V16" s="357" t="s">
        <v>355</v>
      </c>
      <c r="W16" s="166" t="s">
        <v>14</v>
      </c>
      <c r="X16" s="168" t="s">
        <v>14</v>
      </c>
      <c r="Y16" s="343" t="s">
        <v>354</v>
      </c>
      <c r="Z16" s="357" t="s">
        <v>355</v>
      </c>
      <c r="AA16" s="166" t="s">
        <v>14</v>
      </c>
      <c r="AB16" s="168" t="s">
        <v>14</v>
      </c>
      <c r="AC16" s="381" t="s">
        <v>354</v>
      </c>
      <c r="AD16" s="384" t="s">
        <v>355</v>
      </c>
      <c r="AE16" s="166" t="s">
        <v>14</v>
      </c>
      <c r="AF16" s="168" t="s">
        <v>14</v>
      </c>
      <c r="AG16" s="343" t="s">
        <v>354</v>
      </c>
      <c r="AH16" s="357" t="s">
        <v>355</v>
      </c>
    </row>
    <row r="17" spans="2:34" ht="15.75" thickBot="1" x14ac:dyDescent="0.3">
      <c r="B17" s="342"/>
      <c r="C17" s="167" t="s">
        <v>290</v>
      </c>
      <c r="D17" s="169" t="s">
        <v>291</v>
      </c>
      <c r="E17" s="344"/>
      <c r="F17" s="353"/>
      <c r="G17" s="167" t="s">
        <v>290</v>
      </c>
      <c r="H17" s="169" t="s">
        <v>291</v>
      </c>
      <c r="I17" s="344"/>
      <c r="J17" s="353"/>
      <c r="K17" s="167" t="s">
        <v>290</v>
      </c>
      <c r="L17" s="169" t="s">
        <v>291</v>
      </c>
      <c r="M17" s="344"/>
      <c r="N17" s="358"/>
      <c r="O17" s="167" t="s">
        <v>290</v>
      </c>
      <c r="P17" s="169" t="s">
        <v>291</v>
      </c>
      <c r="Q17" s="344"/>
      <c r="R17" s="358"/>
      <c r="S17" s="167" t="s">
        <v>290</v>
      </c>
      <c r="T17" s="169" t="s">
        <v>291</v>
      </c>
      <c r="U17" s="344"/>
      <c r="V17" s="358"/>
      <c r="W17" s="167" t="s">
        <v>290</v>
      </c>
      <c r="X17" s="169" t="s">
        <v>291</v>
      </c>
      <c r="Y17" s="344"/>
      <c r="Z17" s="358"/>
      <c r="AA17" s="167" t="s">
        <v>290</v>
      </c>
      <c r="AB17" s="169" t="s">
        <v>291</v>
      </c>
      <c r="AC17" s="382"/>
      <c r="AD17" s="385"/>
      <c r="AE17" s="167" t="s">
        <v>290</v>
      </c>
      <c r="AF17" s="169" t="s">
        <v>291</v>
      </c>
      <c r="AG17" s="344"/>
      <c r="AH17" s="358"/>
    </row>
    <row r="18" spans="2:34" ht="15.75" thickBot="1" x14ac:dyDescent="0.3">
      <c r="B18" s="346" t="s">
        <v>71</v>
      </c>
      <c r="C18" s="363" t="s">
        <v>70</v>
      </c>
      <c r="D18" s="177" t="s">
        <v>70</v>
      </c>
      <c r="E18" s="344"/>
      <c r="F18" s="354"/>
      <c r="G18" s="363" t="s">
        <v>72</v>
      </c>
      <c r="H18" s="177" t="s">
        <v>72</v>
      </c>
      <c r="I18" s="344"/>
      <c r="J18" s="354"/>
      <c r="K18" s="363" t="s">
        <v>69</v>
      </c>
      <c r="L18" s="177" t="s">
        <v>69</v>
      </c>
      <c r="M18" s="344"/>
      <c r="N18" s="358"/>
      <c r="O18" s="363" t="s">
        <v>564</v>
      </c>
      <c r="P18" s="177" t="s">
        <v>564</v>
      </c>
      <c r="Q18" s="344"/>
      <c r="R18" s="358"/>
      <c r="S18" s="363" t="s">
        <v>566</v>
      </c>
      <c r="T18" s="177" t="s">
        <v>566</v>
      </c>
      <c r="U18" s="344"/>
      <c r="V18" s="358"/>
      <c r="W18" s="363" t="s">
        <v>571</v>
      </c>
      <c r="X18" s="177" t="s">
        <v>571</v>
      </c>
      <c r="Y18" s="344"/>
      <c r="Z18" s="358"/>
      <c r="AA18" s="363" t="s">
        <v>570</v>
      </c>
      <c r="AB18" s="177" t="s">
        <v>570</v>
      </c>
      <c r="AC18" s="382"/>
      <c r="AD18" s="385"/>
      <c r="AE18" s="363" t="s">
        <v>574</v>
      </c>
      <c r="AF18" s="177" t="s">
        <v>574</v>
      </c>
      <c r="AG18" s="344"/>
      <c r="AH18" s="358"/>
    </row>
    <row r="19" spans="2:34" ht="30.75" thickBot="1" x14ac:dyDescent="0.3">
      <c r="B19" s="347"/>
      <c r="C19" s="364"/>
      <c r="D19" s="208" t="s">
        <v>243</v>
      </c>
      <c r="E19" s="345"/>
      <c r="F19" s="345"/>
      <c r="G19" s="364"/>
      <c r="H19" s="208" t="s">
        <v>242</v>
      </c>
      <c r="I19" s="345"/>
      <c r="J19" s="345"/>
      <c r="K19" s="364"/>
      <c r="L19" s="210" t="s">
        <v>241</v>
      </c>
      <c r="M19" s="345"/>
      <c r="N19" s="359"/>
      <c r="O19" s="364"/>
      <c r="P19" s="210" t="s">
        <v>568</v>
      </c>
      <c r="Q19" s="345"/>
      <c r="R19" s="359"/>
      <c r="S19" s="364"/>
      <c r="T19" s="210" t="s">
        <v>569</v>
      </c>
      <c r="U19" s="345"/>
      <c r="V19" s="359"/>
      <c r="W19" s="364"/>
      <c r="X19" s="222" t="s">
        <v>595</v>
      </c>
      <c r="Y19" s="345"/>
      <c r="Z19" s="359"/>
      <c r="AA19" s="364"/>
      <c r="AB19" s="222" t="s">
        <v>576</v>
      </c>
      <c r="AC19" s="383"/>
      <c r="AD19" s="386"/>
      <c r="AE19" s="364"/>
      <c r="AF19" s="210" t="s">
        <v>577</v>
      </c>
      <c r="AG19" s="345"/>
      <c r="AH19" s="359"/>
    </row>
    <row r="20" spans="2:34" ht="15.75" thickBot="1" x14ac:dyDescent="0.3">
      <c r="B20" s="44">
        <v>1</v>
      </c>
      <c r="C20" s="154">
        <v>3.6</v>
      </c>
      <c r="D20" s="58">
        <f>L20*3600</f>
        <v>3.6</v>
      </c>
      <c r="E20" s="54">
        <f>C20-D20</f>
        <v>0</v>
      </c>
      <c r="F20" s="54">
        <f>(100*E20)/D20</f>
        <v>0</v>
      </c>
      <c r="G20" s="157">
        <v>0.06</v>
      </c>
      <c r="H20" s="58">
        <f>L20*60</f>
        <v>0.06</v>
      </c>
      <c r="I20" s="54">
        <f>G20-H20</f>
        <v>0</v>
      </c>
      <c r="J20" s="54">
        <f>(100*I20)/H20</f>
        <v>0</v>
      </c>
      <c r="K20" s="157">
        <v>1E-3</v>
      </c>
      <c r="L20" s="58">
        <f>B20/1000</f>
        <v>1E-3</v>
      </c>
      <c r="M20" s="54">
        <f>K20-L20</f>
        <v>0</v>
      </c>
      <c r="N20" s="162">
        <f>(100*M20)/L20</f>
        <v>0</v>
      </c>
      <c r="O20" s="157">
        <v>3600</v>
      </c>
      <c r="P20" s="58">
        <f>$B20*3600</f>
        <v>3600</v>
      </c>
      <c r="Q20" s="54">
        <f>O20-P20</f>
        <v>0</v>
      </c>
      <c r="R20" s="162">
        <f>(100*Q20)/P20</f>
        <v>0</v>
      </c>
      <c r="S20" s="157">
        <v>60</v>
      </c>
      <c r="T20" s="58">
        <f>$B20*60</f>
        <v>60</v>
      </c>
      <c r="U20" s="54">
        <f>S20-T20</f>
        <v>0</v>
      </c>
      <c r="V20" s="162">
        <f>(100*U20)/T20</f>
        <v>0</v>
      </c>
      <c r="W20" s="157">
        <v>127.133</v>
      </c>
      <c r="X20" s="58">
        <f>$B20/ (POWER(0.3048, 3)*1000)*3600</f>
        <v>127.1328001973589</v>
      </c>
      <c r="Y20" s="54">
        <f>W20-X20</f>
        <v>1.9980264109165091E-4</v>
      </c>
      <c r="Z20" s="162">
        <f>(100*Y20)/X20</f>
        <v>1.5716057601301985E-4</v>
      </c>
      <c r="AA20" s="157">
        <v>2.1188799999999999</v>
      </c>
      <c r="AB20" s="58">
        <f>$B20/(POWER(0.3048, 3)*1000)*60</f>
        <v>2.1188800032893154</v>
      </c>
      <c r="AC20" s="58">
        <f>AA20-AB20</f>
        <v>-3.2893154866542318E-9</v>
      </c>
      <c r="AD20" s="108">
        <f>(100*AC20)/AB20</f>
        <v>-1.5523840338046286E-7</v>
      </c>
      <c r="AE20" s="157">
        <v>3.5314699999999997E-2</v>
      </c>
      <c r="AF20" s="58">
        <f>$B20/(POWER(0.3048, 3)*1000)</f>
        <v>3.5314666721488586E-2</v>
      </c>
      <c r="AG20" s="54">
        <f>AE20-AF20</f>
        <v>3.327851141182725E-8</v>
      </c>
      <c r="AH20" s="162">
        <f>(100*AG20)/AF20</f>
        <v>9.4234250245883375E-5</v>
      </c>
    </row>
    <row r="21" spans="2:34" ht="15.75" thickBot="1" x14ac:dyDescent="0.3">
      <c r="B21" s="47">
        <v>987</v>
      </c>
      <c r="C21" s="155">
        <v>3553.2</v>
      </c>
      <c r="D21" s="26">
        <f t="shared" ref="D21:D25" si="24">L21*3600</f>
        <v>3553.2</v>
      </c>
      <c r="E21" s="52">
        <f t="shared" ref="E21:E25" si="25">C21-D21</f>
        <v>0</v>
      </c>
      <c r="F21" s="52">
        <f t="shared" ref="F21:F25" si="26">(100*E21)/D21</f>
        <v>0</v>
      </c>
      <c r="G21" s="155">
        <v>59.22</v>
      </c>
      <c r="H21" s="26">
        <f t="shared" ref="H21:H25" si="27">L21*60</f>
        <v>59.22</v>
      </c>
      <c r="I21" s="52">
        <f t="shared" ref="I21:I25" si="28">G21-H21</f>
        <v>0</v>
      </c>
      <c r="J21" s="52">
        <f t="shared" ref="J21:J25" si="29">(100*I21)/H21</f>
        <v>0</v>
      </c>
      <c r="K21" s="155">
        <v>0.98699999999999999</v>
      </c>
      <c r="L21" s="26">
        <f t="shared" ref="L21:L25" si="30">B21/1000</f>
        <v>0.98699999999999999</v>
      </c>
      <c r="M21" s="52">
        <f t="shared" ref="M21:M25" si="31">K21-L21</f>
        <v>0</v>
      </c>
      <c r="N21" s="153">
        <f t="shared" ref="N21:N25" si="32">(100*M21)/L21</f>
        <v>0</v>
      </c>
      <c r="O21" s="155">
        <v>3553200</v>
      </c>
      <c r="P21" s="58">
        <f t="shared" ref="P21:P25" si="33">$B21*3600</f>
        <v>3553200</v>
      </c>
      <c r="Q21" s="52">
        <f t="shared" ref="Q21:Q25" si="34">O21-P21</f>
        <v>0</v>
      </c>
      <c r="R21" s="153">
        <f t="shared" ref="R21:R25" si="35">(100*Q21)/P21</f>
        <v>0</v>
      </c>
      <c r="S21" s="155">
        <v>59220</v>
      </c>
      <c r="T21" s="58">
        <f t="shared" ref="T21:T25" si="36">$B21*60</f>
        <v>59220</v>
      </c>
      <c r="U21" s="52">
        <f t="shared" ref="U21:U25" si="37">S21-T21</f>
        <v>0</v>
      </c>
      <c r="V21" s="153">
        <f t="shared" ref="V21:V25" si="38">(100*U21)/T21</f>
        <v>0</v>
      </c>
      <c r="W21" s="155">
        <v>125480</v>
      </c>
      <c r="X21" s="58">
        <f t="shared" ref="X21:X25" si="39">$B21/ (POWER(0.3048, 3)*1000)*3600</f>
        <v>125480.07379479325</v>
      </c>
      <c r="Y21" s="52">
        <f t="shared" ref="Y21:Y25" si="40">W21-X21</f>
        <v>-7.379479325027205E-2</v>
      </c>
      <c r="Z21" s="153">
        <f t="shared" ref="Z21:Z25" si="41">(100*Y21)/X21</f>
        <v>-5.8809969598004918E-5</v>
      </c>
      <c r="AA21" s="155">
        <v>2091.33</v>
      </c>
      <c r="AB21" s="58">
        <f t="shared" ref="AB21:AB25" si="42">$B21/(POWER(0.3048, 3)*1000)*60</f>
        <v>2091.3345632465544</v>
      </c>
      <c r="AC21" s="26">
        <f t="shared" ref="AC21:AC25" si="43">AA21-AB21</f>
        <v>-4.5632465544258594E-3</v>
      </c>
      <c r="AD21" s="107">
        <f t="shared" ref="AD21:AD25" si="44">(100*AC21)/AB21</f>
        <v>-2.1819782614513616E-4</v>
      </c>
      <c r="AE21" s="155">
        <v>34.855600000000003</v>
      </c>
      <c r="AF21" s="58">
        <f t="shared" ref="AF21:AF25" si="45">$B21/(POWER(0.3048, 3)*1000)</f>
        <v>34.855576054109235</v>
      </c>
      <c r="AG21" s="52">
        <f t="shared" ref="AG21:AG25" si="46">AE21-AF21</f>
        <v>2.3945890767151923E-5</v>
      </c>
      <c r="AH21" s="153">
        <f t="shared" ref="AH21:AH25" si="47">(100*AG21)/AF21</f>
        <v>6.8700315639537012E-5</v>
      </c>
    </row>
    <row r="22" spans="2:34" ht="15.75" thickBot="1" x14ac:dyDescent="0.3">
      <c r="B22" s="47">
        <v>5987</v>
      </c>
      <c r="C22" s="155">
        <v>21553.200000000001</v>
      </c>
      <c r="D22" s="26">
        <f t="shared" si="24"/>
        <v>21553.200000000001</v>
      </c>
      <c r="E22" s="52">
        <f t="shared" si="25"/>
        <v>0</v>
      </c>
      <c r="F22" s="52">
        <f t="shared" si="26"/>
        <v>0</v>
      </c>
      <c r="G22" s="155">
        <v>359.22</v>
      </c>
      <c r="H22" s="26">
        <f t="shared" si="27"/>
        <v>359.22</v>
      </c>
      <c r="I22" s="52">
        <f t="shared" si="28"/>
        <v>0</v>
      </c>
      <c r="J22" s="52">
        <f t="shared" si="29"/>
        <v>0</v>
      </c>
      <c r="K22" s="159">
        <v>5.9870000000000001</v>
      </c>
      <c r="L22" s="26">
        <f t="shared" si="30"/>
        <v>5.9870000000000001</v>
      </c>
      <c r="M22" s="52">
        <f t="shared" si="31"/>
        <v>0</v>
      </c>
      <c r="N22" s="153">
        <f t="shared" si="32"/>
        <v>0</v>
      </c>
      <c r="O22" s="159">
        <v>21553200</v>
      </c>
      <c r="P22" s="58">
        <f t="shared" si="33"/>
        <v>21553200</v>
      </c>
      <c r="Q22" s="52">
        <f t="shared" si="34"/>
        <v>0</v>
      </c>
      <c r="R22" s="153">
        <f t="shared" si="35"/>
        <v>0</v>
      </c>
      <c r="S22" s="159">
        <v>359220</v>
      </c>
      <c r="T22" s="58">
        <f t="shared" si="36"/>
        <v>359220</v>
      </c>
      <c r="U22" s="52">
        <f t="shared" si="37"/>
        <v>0</v>
      </c>
      <c r="V22" s="153">
        <f t="shared" si="38"/>
        <v>0</v>
      </c>
      <c r="W22" s="159">
        <v>761144</v>
      </c>
      <c r="X22" s="58">
        <f t="shared" si="39"/>
        <v>761144.07478158781</v>
      </c>
      <c r="Y22" s="52">
        <f t="shared" si="40"/>
        <v>-7.4781587813049555E-2</v>
      </c>
      <c r="Z22" s="153">
        <f t="shared" si="41"/>
        <v>-9.8248925913938598E-6</v>
      </c>
      <c r="AA22" s="159">
        <v>12685.7</v>
      </c>
      <c r="AB22" s="58">
        <f t="shared" si="42"/>
        <v>12685.734579693129</v>
      </c>
      <c r="AC22" s="26">
        <f t="shared" si="43"/>
        <v>-3.4579693128762301E-2</v>
      </c>
      <c r="AD22" s="107">
        <f t="shared" si="44"/>
        <v>-2.7258723498847467E-4</v>
      </c>
      <c r="AE22" s="159">
        <v>211.429</v>
      </c>
      <c r="AF22" s="58">
        <f t="shared" si="45"/>
        <v>211.42890966155215</v>
      </c>
      <c r="AG22" s="52">
        <f t="shared" si="46"/>
        <v>9.0338447847670977E-5</v>
      </c>
      <c r="AH22" s="153">
        <f t="shared" si="47"/>
        <v>4.2727575898812294E-5</v>
      </c>
    </row>
    <row r="23" spans="2:34" ht="15.75" thickBot="1" x14ac:dyDescent="0.3">
      <c r="B23" s="47">
        <v>4455667788</v>
      </c>
      <c r="C23" s="155">
        <v>16040404037</v>
      </c>
      <c r="D23" s="26">
        <f t="shared" si="24"/>
        <v>16040404036.799999</v>
      </c>
      <c r="E23" s="52">
        <f t="shared" si="25"/>
        <v>0.20000076293945313</v>
      </c>
      <c r="F23" s="52">
        <f t="shared" si="26"/>
        <v>1.2468561420311488E-9</v>
      </c>
      <c r="G23" s="155">
        <v>267340067</v>
      </c>
      <c r="H23" s="26">
        <f t="shared" si="27"/>
        <v>267340067.27999997</v>
      </c>
      <c r="I23" s="52">
        <f t="shared" si="28"/>
        <v>-0.27999997138977051</v>
      </c>
      <c r="J23" s="52">
        <f t="shared" si="29"/>
        <v>-1.0473550569451721E-7</v>
      </c>
      <c r="K23" s="155">
        <v>4455668</v>
      </c>
      <c r="L23" s="26">
        <f t="shared" si="30"/>
        <v>4455667.7879999997</v>
      </c>
      <c r="M23" s="52">
        <f t="shared" si="31"/>
        <v>0.21200000029057264</v>
      </c>
      <c r="N23" s="153">
        <f t="shared" si="32"/>
        <v>4.7579848942403393E-6</v>
      </c>
      <c r="O23" s="155">
        <v>16040404036800</v>
      </c>
      <c r="P23" s="58">
        <f t="shared" si="33"/>
        <v>16040404036800</v>
      </c>
      <c r="Q23" s="52">
        <f t="shared" si="34"/>
        <v>0</v>
      </c>
      <c r="R23" s="153">
        <f t="shared" si="35"/>
        <v>0</v>
      </c>
      <c r="S23" s="155">
        <v>267340067280</v>
      </c>
      <c r="T23" s="58">
        <f t="shared" si="36"/>
        <v>267340067280</v>
      </c>
      <c r="U23" s="52">
        <f t="shared" si="37"/>
        <v>0</v>
      </c>
      <c r="V23" s="153">
        <f t="shared" si="38"/>
        <v>0</v>
      </c>
      <c r="W23" s="155">
        <v>566461522638</v>
      </c>
      <c r="X23" s="58">
        <f t="shared" si="39"/>
        <v>566461522637.61206</v>
      </c>
      <c r="Y23" s="52">
        <f t="shared" si="40"/>
        <v>0.387939453125</v>
      </c>
      <c r="Z23" s="153">
        <f t="shared" si="41"/>
        <v>6.8484696245322966E-11</v>
      </c>
      <c r="AA23" s="155">
        <v>9441025377</v>
      </c>
      <c r="AB23" s="58">
        <f t="shared" si="42"/>
        <v>9441025377.2935352</v>
      </c>
      <c r="AC23" s="26">
        <f t="shared" si="43"/>
        <v>-0.29353523254394531</v>
      </c>
      <c r="AD23" s="107">
        <f t="shared" si="44"/>
        <v>-3.1091456787090349E-9</v>
      </c>
      <c r="AE23" s="155">
        <v>157350423</v>
      </c>
      <c r="AF23" s="58">
        <f t="shared" si="45"/>
        <v>157350422.95489225</v>
      </c>
      <c r="AG23" s="52">
        <f t="shared" si="46"/>
        <v>4.5107752084732056E-2</v>
      </c>
      <c r="AH23" s="153">
        <f t="shared" si="47"/>
        <v>2.8667067579261053E-8</v>
      </c>
    </row>
    <row r="24" spans="2:34" ht="15.75" thickBot="1" x14ac:dyDescent="0.3">
      <c r="B24" s="47">
        <v>-654</v>
      </c>
      <c r="C24" s="155">
        <v>-2354.4</v>
      </c>
      <c r="D24" s="26">
        <f t="shared" si="24"/>
        <v>-2354.4</v>
      </c>
      <c r="E24" s="52">
        <f t="shared" si="25"/>
        <v>0</v>
      </c>
      <c r="F24" s="52">
        <f t="shared" si="26"/>
        <v>0</v>
      </c>
      <c r="G24" s="155">
        <v>-39.24</v>
      </c>
      <c r="H24" s="26">
        <f t="shared" si="27"/>
        <v>-39.24</v>
      </c>
      <c r="I24" s="52">
        <f t="shared" si="28"/>
        <v>0</v>
      </c>
      <c r="J24" s="52">
        <f t="shared" si="29"/>
        <v>0</v>
      </c>
      <c r="K24" s="155">
        <v>-0.65400000000000003</v>
      </c>
      <c r="L24" s="26">
        <f t="shared" si="30"/>
        <v>-0.65400000000000003</v>
      </c>
      <c r="M24" s="52">
        <f t="shared" si="31"/>
        <v>0</v>
      </c>
      <c r="N24" s="153">
        <f t="shared" si="32"/>
        <v>0</v>
      </c>
      <c r="O24" s="155">
        <v>-2354400</v>
      </c>
      <c r="P24" s="58">
        <f t="shared" si="33"/>
        <v>-2354400</v>
      </c>
      <c r="Q24" s="52">
        <f t="shared" si="34"/>
        <v>0</v>
      </c>
      <c r="R24" s="153">
        <f t="shared" si="35"/>
        <v>0</v>
      </c>
      <c r="S24" s="155">
        <v>-39240</v>
      </c>
      <c r="T24" s="58">
        <f t="shared" si="36"/>
        <v>-39240</v>
      </c>
      <c r="U24" s="52">
        <f t="shared" si="37"/>
        <v>0</v>
      </c>
      <c r="V24" s="153">
        <f t="shared" si="38"/>
        <v>0</v>
      </c>
      <c r="W24" s="155">
        <v>-83144.899999999994</v>
      </c>
      <c r="X24" s="58">
        <f t="shared" si="39"/>
        <v>-83144.851329072728</v>
      </c>
      <c r="Y24" s="52">
        <f t="shared" si="40"/>
        <v>-4.8670927266357467E-2</v>
      </c>
      <c r="Z24" s="153">
        <f t="shared" si="41"/>
        <v>5.8537511930506049E-5</v>
      </c>
      <c r="AA24" s="155">
        <v>-1385.75</v>
      </c>
      <c r="AB24" s="58">
        <f t="shared" si="42"/>
        <v>-1385.747522151212</v>
      </c>
      <c r="AC24" s="26">
        <f t="shared" si="43"/>
        <v>-2.4778487879757449E-3</v>
      </c>
      <c r="AD24" s="107">
        <f t="shared" si="44"/>
        <v>1.7880954130296208E-4</v>
      </c>
      <c r="AE24" s="155">
        <v>-23.095800000000001</v>
      </c>
      <c r="AF24" s="58">
        <f t="shared" si="45"/>
        <v>-23.095792035853535</v>
      </c>
      <c r="AG24" s="52">
        <f t="shared" si="46"/>
        <v>-7.9641464658664063E-6</v>
      </c>
      <c r="AH24" s="153">
        <f t="shared" si="47"/>
        <v>3.4483106071889609E-5</v>
      </c>
    </row>
    <row r="25" spans="2:34" ht="15.75" thickBot="1" x14ac:dyDescent="0.3">
      <c r="B25" s="74">
        <v>0.65469999999999995</v>
      </c>
      <c r="C25" s="158">
        <v>2.3569200000000001</v>
      </c>
      <c r="D25" s="59">
        <f t="shared" si="24"/>
        <v>2.3569199999999997</v>
      </c>
      <c r="E25" s="57">
        <f t="shared" si="25"/>
        <v>0</v>
      </c>
      <c r="F25" s="57">
        <f t="shared" si="26"/>
        <v>0</v>
      </c>
      <c r="G25" s="156">
        <v>3.9281999999999997E-2</v>
      </c>
      <c r="H25" s="59">
        <f t="shared" si="27"/>
        <v>3.9281999999999997E-2</v>
      </c>
      <c r="I25" s="57">
        <f t="shared" si="28"/>
        <v>0</v>
      </c>
      <c r="J25" s="57">
        <f t="shared" si="29"/>
        <v>0</v>
      </c>
      <c r="K25" s="158">
        <v>6.5470000000000003E-4</v>
      </c>
      <c r="L25" s="59">
        <f t="shared" si="30"/>
        <v>6.5469999999999992E-4</v>
      </c>
      <c r="M25" s="57">
        <f t="shared" si="31"/>
        <v>0</v>
      </c>
      <c r="N25" s="163">
        <f t="shared" si="32"/>
        <v>0</v>
      </c>
      <c r="O25" s="158">
        <v>2356.92</v>
      </c>
      <c r="P25" s="58">
        <f t="shared" si="33"/>
        <v>2356.9199999999996</v>
      </c>
      <c r="Q25" s="57">
        <f t="shared" si="34"/>
        <v>0</v>
      </c>
      <c r="R25" s="163">
        <f t="shared" si="35"/>
        <v>0</v>
      </c>
      <c r="S25" s="158">
        <v>39.281999999999996</v>
      </c>
      <c r="T25" s="58">
        <f t="shared" si="36"/>
        <v>39.281999999999996</v>
      </c>
      <c r="U25" s="57">
        <f t="shared" si="37"/>
        <v>0</v>
      </c>
      <c r="V25" s="163">
        <f t="shared" si="38"/>
        <v>0</v>
      </c>
      <c r="W25" s="158">
        <v>83.233800000000002</v>
      </c>
      <c r="X25" s="58">
        <f t="shared" si="39"/>
        <v>83.233844289210865</v>
      </c>
      <c r="Y25" s="57">
        <f t="shared" si="40"/>
        <v>-4.4289210862302753E-5</v>
      </c>
      <c r="Z25" s="163">
        <f t="shared" si="41"/>
        <v>-5.3210579471028609E-5</v>
      </c>
      <c r="AA25" s="158">
        <v>1.38723</v>
      </c>
      <c r="AB25" s="58">
        <f t="shared" si="42"/>
        <v>1.3872307381535145</v>
      </c>
      <c r="AC25" s="59">
        <f t="shared" si="43"/>
        <v>-7.3815351453454525E-7</v>
      </c>
      <c r="AD25" s="109">
        <f t="shared" si="44"/>
        <v>-5.3210579482766575E-5</v>
      </c>
      <c r="AE25" s="158">
        <v>2.3120499999999999E-2</v>
      </c>
      <c r="AF25" s="58">
        <f t="shared" si="45"/>
        <v>2.3120512302558575E-2</v>
      </c>
      <c r="AG25" s="57">
        <f t="shared" si="46"/>
        <v>-1.2302558576038347E-8</v>
      </c>
      <c r="AH25" s="163">
        <f t="shared" si="47"/>
        <v>-5.3210579484767362E-5</v>
      </c>
    </row>
    <row r="26" spans="2:34" ht="15.75" thickBot="1" x14ac:dyDescent="0.3">
      <c r="C26" s="165"/>
      <c r="D26" s="165"/>
      <c r="E26" s="164"/>
      <c r="F26" s="164"/>
      <c r="G26" s="165"/>
      <c r="H26" s="165"/>
      <c r="I26" s="164"/>
      <c r="J26" s="164"/>
      <c r="K26" s="165"/>
      <c r="L26" s="165"/>
      <c r="M26" s="164"/>
      <c r="N26" s="164"/>
      <c r="O26" s="165"/>
      <c r="P26" s="165"/>
      <c r="Q26" s="164"/>
      <c r="R26" s="164"/>
      <c r="S26" s="165"/>
      <c r="T26" s="165"/>
      <c r="U26" s="164"/>
      <c r="V26" s="164"/>
      <c r="W26" s="165"/>
      <c r="X26" s="165"/>
      <c r="Y26" s="164"/>
      <c r="Z26" s="164"/>
      <c r="AA26" s="165"/>
      <c r="AB26" s="165"/>
      <c r="AC26" s="165"/>
      <c r="AD26" s="165"/>
      <c r="AE26" s="165"/>
      <c r="AF26" s="165"/>
      <c r="AG26" s="164"/>
      <c r="AH26" s="164"/>
    </row>
    <row r="27" spans="2:34" x14ac:dyDescent="0.25">
      <c r="B27" s="341" t="s">
        <v>10</v>
      </c>
      <c r="C27" s="166" t="s">
        <v>14</v>
      </c>
      <c r="D27" s="168" t="s">
        <v>14</v>
      </c>
      <c r="E27" s="343" t="s">
        <v>354</v>
      </c>
      <c r="F27" s="352" t="s">
        <v>355</v>
      </c>
      <c r="G27" s="166" t="s">
        <v>14</v>
      </c>
      <c r="H27" s="168" t="s">
        <v>14</v>
      </c>
      <c r="I27" s="343" t="s">
        <v>354</v>
      </c>
      <c r="J27" s="352" t="s">
        <v>355</v>
      </c>
      <c r="K27" s="166" t="s">
        <v>14</v>
      </c>
      <c r="L27" s="168" t="s">
        <v>14</v>
      </c>
      <c r="M27" s="343" t="s">
        <v>354</v>
      </c>
      <c r="N27" s="357" t="s">
        <v>355</v>
      </c>
      <c r="O27" s="166" t="s">
        <v>14</v>
      </c>
      <c r="P27" s="168" t="s">
        <v>14</v>
      </c>
      <c r="Q27" s="343" t="s">
        <v>354</v>
      </c>
      <c r="R27" s="357" t="s">
        <v>355</v>
      </c>
      <c r="S27" s="166" t="s">
        <v>14</v>
      </c>
      <c r="T27" s="168" t="s">
        <v>14</v>
      </c>
      <c r="U27" s="343" t="s">
        <v>354</v>
      </c>
      <c r="V27" s="357" t="s">
        <v>355</v>
      </c>
      <c r="W27" s="166" t="s">
        <v>14</v>
      </c>
      <c r="X27" s="168" t="s">
        <v>14</v>
      </c>
      <c r="Y27" s="343" t="s">
        <v>354</v>
      </c>
      <c r="Z27" s="357" t="s">
        <v>355</v>
      </c>
      <c r="AA27" s="166" t="s">
        <v>14</v>
      </c>
      <c r="AB27" s="168" t="s">
        <v>14</v>
      </c>
      <c r="AC27" s="381" t="s">
        <v>354</v>
      </c>
      <c r="AD27" s="384" t="s">
        <v>355</v>
      </c>
      <c r="AE27" s="166" t="s">
        <v>14</v>
      </c>
      <c r="AF27" s="168" t="s">
        <v>14</v>
      </c>
      <c r="AG27" s="343" t="s">
        <v>354</v>
      </c>
      <c r="AH27" s="357" t="s">
        <v>355</v>
      </c>
    </row>
    <row r="28" spans="2:34" ht="15.75" thickBot="1" x14ac:dyDescent="0.3">
      <c r="B28" s="342"/>
      <c r="C28" s="167" t="s">
        <v>290</v>
      </c>
      <c r="D28" s="169" t="s">
        <v>291</v>
      </c>
      <c r="E28" s="344"/>
      <c r="F28" s="353"/>
      <c r="G28" s="167" t="s">
        <v>290</v>
      </c>
      <c r="H28" s="169" t="s">
        <v>291</v>
      </c>
      <c r="I28" s="344"/>
      <c r="J28" s="353"/>
      <c r="K28" s="167" t="s">
        <v>290</v>
      </c>
      <c r="L28" s="169" t="s">
        <v>291</v>
      </c>
      <c r="M28" s="344"/>
      <c r="N28" s="358"/>
      <c r="O28" s="167" t="s">
        <v>290</v>
      </c>
      <c r="P28" s="169" t="s">
        <v>291</v>
      </c>
      <c r="Q28" s="344"/>
      <c r="R28" s="358"/>
      <c r="S28" s="167" t="s">
        <v>290</v>
      </c>
      <c r="T28" s="169" t="s">
        <v>291</v>
      </c>
      <c r="U28" s="344"/>
      <c r="V28" s="358"/>
      <c r="W28" s="167" t="s">
        <v>290</v>
      </c>
      <c r="X28" s="169" t="s">
        <v>291</v>
      </c>
      <c r="Y28" s="344"/>
      <c r="Z28" s="358"/>
      <c r="AA28" s="167" t="s">
        <v>290</v>
      </c>
      <c r="AB28" s="169" t="s">
        <v>291</v>
      </c>
      <c r="AC28" s="382"/>
      <c r="AD28" s="385"/>
      <c r="AE28" s="167" t="s">
        <v>290</v>
      </c>
      <c r="AF28" s="169" t="s">
        <v>291</v>
      </c>
      <c r="AG28" s="344"/>
      <c r="AH28" s="358"/>
    </row>
    <row r="29" spans="2:34" ht="15.75" thickBot="1" x14ac:dyDescent="0.3">
      <c r="B29" s="346" t="s">
        <v>70</v>
      </c>
      <c r="C29" s="363" t="s">
        <v>71</v>
      </c>
      <c r="D29" s="177" t="s">
        <v>71</v>
      </c>
      <c r="E29" s="344"/>
      <c r="F29" s="354"/>
      <c r="G29" s="363" t="s">
        <v>72</v>
      </c>
      <c r="H29" s="177" t="s">
        <v>72</v>
      </c>
      <c r="I29" s="344"/>
      <c r="J29" s="354"/>
      <c r="K29" s="363" t="s">
        <v>69</v>
      </c>
      <c r="L29" s="177" t="s">
        <v>69</v>
      </c>
      <c r="M29" s="344"/>
      <c r="N29" s="358"/>
      <c r="O29" s="363" t="s">
        <v>564</v>
      </c>
      <c r="P29" s="177" t="s">
        <v>564</v>
      </c>
      <c r="Q29" s="344"/>
      <c r="R29" s="358"/>
      <c r="S29" s="363" t="s">
        <v>566</v>
      </c>
      <c r="T29" s="177" t="s">
        <v>579</v>
      </c>
      <c r="U29" s="344"/>
      <c r="V29" s="358"/>
      <c r="W29" s="363" t="s">
        <v>571</v>
      </c>
      <c r="X29" s="177" t="s">
        <v>571</v>
      </c>
      <c r="Y29" s="344"/>
      <c r="Z29" s="358"/>
      <c r="AA29" s="363" t="s">
        <v>570</v>
      </c>
      <c r="AB29" s="177" t="s">
        <v>570</v>
      </c>
      <c r="AC29" s="382"/>
      <c r="AD29" s="385"/>
      <c r="AE29" s="363" t="s">
        <v>574</v>
      </c>
      <c r="AF29" s="177" t="s">
        <v>574</v>
      </c>
      <c r="AG29" s="344"/>
      <c r="AH29" s="358"/>
    </row>
    <row r="30" spans="2:34" ht="45.75" thickBot="1" x14ac:dyDescent="0.3">
      <c r="B30" s="347"/>
      <c r="C30" s="364"/>
      <c r="D30" s="222" t="s">
        <v>244</v>
      </c>
      <c r="E30" s="345"/>
      <c r="F30" s="345"/>
      <c r="G30" s="364"/>
      <c r="H30" s="222" t="s">
        <v>245</v>
      </c>
      <c r="I30" s="345"/>
      <c r="J30" s="345"/>
      <c r="K30" s="364"/>
      <c r="L30" s="210" t="s">
        <v>240</v>
      </c>
      <c r="M30" s="345"/>
      <c r="N30" s="359"/>
      <c r="O30" s="364"/>
      <c r="P30" s="210" t="s">
        <v>578</v>
      </c>
      <c r="Q30" s="345"/>
      <c r="R30" s="359"/>
      <c r="S30" s="364"/>
      <c r="T30" s="222" t="s">
        <v>580</v>
      </c>
      <c r="U30" s="345"/>
      <c r="V30" s="359"/>
      <c r="W30" s="364"/>
      <c r="X30" s="210" t="s">
        <v>583</v>
      </c>
      <c r="Y30" s="345"/>
      <c r="Z30" s="359"/>
      <c r="AA30" s="364"/>
      <c r="AB30" s="222" t="s">
        <v>584</v>
      </c>
      <c r="AC30" s="383"/>
      <c r="AD30" s="386"/>
      <c r="AE30" s="364"/>
      <c r="AF30" s="222" t="s">
        <v>585</v>
      </c>
      <c r="AG30" s="345"/>
      <c r="AH30" s="359"/>
    </row>
    <row r="31" spans="2:34" ht="15.75" thickBot="1" x14ac:dyDescent="0.3">
      <c r="B31" s="44">
        <v>1</v>
      </c>
      <c r="C31" s="154">
        <v>0.27777800000000002</v>
      </c>
      <c r="D31" s="58">
        <f>L31*1000</f>
        <v>0.27777777777777779</v>
      </c>
      <c r="E31" s="54">
        <f>C31-D31</f>
        <v>2.2222222223478028E-7</v>
      </c>
      <c r="F31" s="54">
        <f>(100*E31)/D31</f>
        <v>8.0000000004520899E-5</v>
      </c>
      <c r="G31" s="157">
        <v>1.66667E-2</v>
      </c>
      <c r="H31" s="58">
        <f>L31*60</f>
        <v>1.6666666666666666E-2</v>
      </c>
      <c r="I31" s="54">
        <f>G31-H31</f>
        <v>3.3333333333135373E-8</v>
      </c>
      <c r="J31" s="54">
        <f>(100*I31)/H31</f>
        <v>1.9999999999881224E-4</v>
      </c>
      <c r="K31" s="157">
        <v>2.7777800000000001E-4</v>
      </c>
      <c r="L31" s="58">
        <f>B31/3600</f>
        <v>2.7777777777777778E-4</v>
      </c>
      <c r="M31" s="54">
        <f>K31-L31</f>
        <v>2.2222222223174451E-10</v>
      </c>
      <c r="N31" s="162">
        <f>(100*M31)/L31</f>
        <v>8.0000000003428023E-5</v>
      </c>
      <c r="O31" s="157">
        <v>1000</v>
      </c>
      <c r="P31" s="58">
        <f>$B31*1000</f>
        <v>1000</v>
      </c>
      <c r="Q31" s="54">
        <f>O31-P31</f>
        <v>0</v>
      </c>
      <c r="R31" s="162">
        <f>(100*Q31)/P31</f>
        <v>0</v>
      </c>
      <c r="S31" s="157">
        <v>16.666699999999999</v>
      </c>
      <c r="T31" s="58">
        <f>$B31*1000/60</f>
        <v>16.666666666666668</v>
      </c>
      <c r="U31" s="54">
        <f>S31-T31</f>
        <v>3.3333333330887172E-5</v>
      </c>
      <c r="V31" s="162">
        <f>(100*U31)/T31</f>
        <v>1.99999999985323E-4</v>
      </c>
      <c r="W31" s="157">
        <v>35.314700000000002</v>
      </c>
      <c r="X31" s="58">
        <f>$B31/POWER(0.3048,3)</f>
        <v>35.314666721488585</v>
      </c>
      <c r="Y31" s="54">
        <f>W31-X31</f>
        <v>3.3278511416767742E-5</v>
      </c>
      <c r="Z31" s="162">
        <f>(100*Y31)/X31</f>
        <v>9.4234250259873283E-5</v>
      </c>
      <c r="AA31" s="157">
        <v>0.58857800000000005</v>
      </c>
      <c r="AB31" s="58">
        <f>$B31/POWER(0.3048,3)/60</f>
        <v>0.58857777869147643</v>
      </c>
      <c r="AC31" s="54">
        <f>AA31-AB31</f>
        <v>2.2130852361801345E-7</v>
      </c>
      <c r="AD31" s="162">
        <f>(100*AC31)/AB31</f>
        <v>3.7600557076759782E-5</v>
      </c>
      <c r="AE31" s="157">
        <v>9.8096299999999997E-3</v>
      </c>
      <c r="AF31" s="58">
        <f>$B31/POWER(0.3048,3)/3600</f>
        <v>9.8096296448579399E-3</v>
      </c>
      <c r="AG31" s="54">
        <f>AE31-AF31</f>
        <v>3.5514205985742731E-10</v>
      </c>
      <c r="AH31" s="162">
        <f>(100*AG31)/AF31</f>
        <v>3.6203411618458746E-6</v>
      </c>
    </row>
    <row r="32" spans="2:34" ht="15.75" thickBot="1" x14ac:dyDescent="0.3">
      <c r="B32" s="47">
        <v>987</v>
      </c>
      <c r="C32" s="155">
        <v>274.16699999999997</v>
      </c>
      <c r="D32" s="26">
        <f t="shared" ref="D32:D36" si="48">L32*1000</f>
        <v>274.16666666666669</v>
      </c>
      <c r="E32" s="52">
        <f t="shared" ref="E32:E36" si="49">C32-D32</f>
        <v>3.3333333328755543E-4</v>
      </c>
      <c r="F32" s="52">
        <f t="shared" ref="F32:F36" si="50">(100*E32)/D32</f>
        <v>1.2158054709576489E-4</v>
      </c>
      <c r="G32" s="155">
        <v>16.45</v>
      </c>
      <c r="H32" s="26">
        <f t="shared" ref="H32:H36" si="51">L32*60</f>
        <v>16.45</v>
      </c>
      <c r="I32" s="52">
        <f t="shared" ref="I32:I36" si="52">G32-H32</f>
        <v>0</v>
      </c>
      <c r="J32" s="52">
        <f t="shared" ref="J32:J36" si="53">(100*I32)/H32</f>
        <v>0</v>
      </c>
      <c r="K32" s="155">
        <v>0.27416699999999999</v>
      </c>
      <c r="L32" s="26">
        <f t="shared" ref="L32:L36" si="54">B32/3600</f>
        <v>0.27416666666666667</v>
      </c>
      <c r="M32" s="52">
        <f t="shared" ref="M32:M36" si="55">K32-L32</f>
        <v>3.3333333332441484E-7</v>
      </c>
      <c r="N32" s="153">
        <f t="shared" ref="N32:N36" si="56">(100*M32)/L32</f>
        <v>1.2158054710920906E-4</v>
      </c>
      <c r="O32" s="155">
        <v>987000</v>
      </c>
      <c r="P32" s="58">
        <f t="shared" ref="P32:P36" si="57">$B32*1000</f>
        <v>987000</v>
      </c>
      <c r="Q32" s="52">
        <f t="shared" ref="Q32:Q36" si="58">O32-P32</f>
        <v>0</v>
      </c>
      <c r="R32" s="153">
        <f t="shared" ref="R32:R36" si="59">(100*Q32)/P32</f>
        <v>0</v>
      </c>
      <c r="S32" s="155">
        <v>16450</v>
      </c>
      <c r="T32" s="58">
        <f t="shared" ref="T32:T36" si="60">$B32*1000/60</f>
        <v>16450</v>
      </c>
      <c r="U32" s="52">
        <f t="shared" ref="U32:U36" si="61">S32-T32</f>
        <v>0</v>
      </c>
      <c r="V32" s="153">
        <f t="shared" ref="V32:V36" si="62">(100*U32)/T32</f>
        <v>0</v>
      </c>
      <c r="W32" s="155">
        <v>34855.599999999999</v>
      </c>
      <c r="X32" s="58">
        <f t="shared" ref="X32:X36" si="63">$B32/POWER(0.3048,3)</f>
        <v>34855.576054109231</v>
      </c>
      <c r="Y32" s="52">
        <f t="shared" ref="Y32:Y36" si="64">W32-X32</f>
        <v>2.3945890767208766E-2</v>
      </c>
      <c r="Z32" s="153">
        <f t="shared" ref="Z32:Z36" si="65">(100*Y32)/X32</f>
        <v>6.8700315639700103E-5</v>
      </c>
      <c r="AA32" s="155">
        <v>580.92600000000004</v>
      </c>
      <c r="AB32" s="58">
        <f t="shared" ref="AB32:AB36" si="66">$B32/POWER(0.3048,3)/60</f>
        <v>580.92626756848722</v>
      </c>
      <c r="AC32" s="52">
        <f t="shared" ref="AC32:AC36" si="67">AA32-AB32</f>
        <v>-2.6756848717468529E-4</v>
      </c>
      <c r="AD32" s="153">
        <f t="shared" ref="AD32:AD36" si="68">(100*AC32)/AB32</f>
        <v>-4.6058941058839414E-5</v>
      </c>
      <c r="AE32" s="155">
        <v>9.6821000000000002</v>
      </c>
      <c r="AF32" s="58">
        <f t="shared" ref="AF32:AF36" si="69">$B32/POWER(0.3048,3)/3600</f>
        <v>9.682104459474786</v>
      </c>
      <c r="AG32" s="52">
        <f t="shared" ref="AG32:AG36" si="70">AE32-AF32</f>
        <v>-4.4594747858894834E-6</v>
      </c>
      <c r="AH32" s="153">
        <f t="shared" ref="AH32:AH36" si="71">(100*AG32)/AF32</f>
        <v>-4.605894105517006E-5</v>
      </c>
    </row>
    <row r="33" spans="2:34" ht="15.75" thickBot="1" x14ac:dyDescent="0.3">
      <c r="B33" s="47">
        <v>5987</v>
      </c>
      <c r="C33" s="155">
        <v>1663.06</v>
      </c>
      <c r="D33" s="26">
        <f t="shared" si="48"/>
        <v>1663.0555555555554</v>
      </c>
      <c r="E33" s="52">
        <f t="shared" si="49"/>
        <v>4.4444444445161935E-3</v>
      </c>
      <c r="F33" s="52">
        <f t="shared" si="50"/>
        <v>2.6724569901884578E-4</v>
      </c>
      <c r="G33" s="155">
        <v>99.783299999999997</v>
      </c>
      <c r="H33" s="26">
        <f t="shared" si="51"/>
        <v>99.783333333333331</v>
      </c>
      <c r="I33" s="52">
        <f t="shared" si="52"/>
        <v>-3.3333333334439885E-5</v>
      </c>
      <c r="J33" s="52">
        <f t="shared" si="53"/>
        <v>-3.340571237792539E-5</v>
      </c>
      <c r="K33" s="159">
        <v>1.66306</v>
      </c>
      <c r="L33" s="26">
        <f t="shared" si="54"/>
        <v>1.6630555555555555</v>
      </c>
      <c r="M33" s="52">
        <f t="shared" si="55"/>
        <v>4.4444444444735609E-6</v>
      </c>
      <c r="N33" s="153">
        <f t="shared" si="56"/>
        <v>2.672456990162823E-4</v>
      </c>
      <c r="O33" s="159">
        <v>5987000</v>
      </c>
      <c r="P33" s="58">
        <f t="shared" si="57"/>
        <v>5987000</v>
      </c>
      <c r="Q33" s="52">
        <f t="shared" si="58"/>
        <v>0</v>
      </c>
      <c r="R33" s="153">
        <f t="shared" si="59"/>
        <v>0</v>
      </c>
      <c r="S33" s="159">
        <v>99783.3</v>
      </c>
      <c r="T33" s="58">
        <f t="shared" si="60"/>
        <v>99783.333333333328</v>
      </c>
      <c r="U33" s="52">
        <f t="shared" si="61"/>
        <v>-3.3333333325572312E-2</v>
      </c>
      <c r="V33" s="153">
        <f t="shared" si="62"/>
        <v>-3.3405712369038564E-5</v>
      </c>
      <c r="W33" s="159">
        <v>211429</v>
      </c>
      <c r="X33" s="58">
        <f t="shared" si="63"/>
        <v>211428.90966155217</v>
      </c>
      <c r="Y33" s="52">
        <f t="shared" si="64"/>
        <v>9.0338447829708457E-2</v>
      </c>
      <c r="Z33" s="153">
        <f t="shared" si="65"/>
        <v>4.272757589031652E-5</v>
      </c>
      <c r="AA33" s="159">
        <v>3523.82</v>
      </c>
      <c r="AB33" s="58">
        <f t="shared" si="66"/>
        <v>3523.8151610258697</v>
      </c>
      <c r="AC33" s="52">
        <f t="shared" si="67"/>
        <v>4.8389741305072675E-3</v>
      </c>
      <c r="AD33" s="153">
        <f t="shared" si="68"/>
        <v>1.3732201915773933E-4</v>
      </c>
      <c r="AE33" s="159">
        <v>58.7303</v>
      </c>
      <c r="AF33" s="58">
        <f t="shared" si="69"/>
        <v>58.73025268376449</v>
      </c>
      <c r="AG33" s="52">
        <f t="shared" si="70"/>
        <v>4.7316235509242688E-5</v>
      </c>
      <c r="AH33" s="153">
        <f t="shared" si="71"/>
        <v>8.0565353198834246E-5</v>
      </c>
    </row>
    <row r="34" spans="2:34" ht="15.75" thickBot="1" x14ac:dyDescent="0.3">
      <c r="B34" s="47">
        <v>4455667788</v>
      </c>
      <c r="C34" s="159">
        <v>1237685497</v>
      </c>
      <c r="D34" s="26">
        <f t="shared" si="48"/>
        <v>1237685496.6666665</v>
      </c>
      <c r="E34" s="52">
        <f t="shared" si="49"/>
        <v>0.33333349227905273</v>
      </c>
      <c r="F34" s="52">
        <f t="shared" si="50"/>
        <v>2.6932002772658015E-8</v>
      </c>
      <c r="G34" s="155">
        <v>74261130</v>
      </c>
      <c r="H34" s="26">
        <f t="shared" si="51"/>
        <v>74261129.799999997</v>
      </c>
      <c r="I34" s="52">
        <f t="shared" si="52"/>
        <v>0.20000000298023224</v>
      </c>
      <c r="J34" s="52">
        <f t="shared" si="53"/>
        <v>2.6931990331802392E-7</v>
      </c>
      <c r="K34" s="155">
        <v>1237685</v>
      </c>
      <c r="L34" s="26">
        <f t="shared" si="54"/>
        <v>1237685.4966666666</v>
      </c>
      <c r="M34" s="52">
        <f t="shared" si="55"/>
        <v>-0.49666666658595204</v>
      </c>
      <c r="N34" s="153">
        <f t="shared" si="56"/>
        <v>-4.0128664989900445E-5</v>
      </c>
      <c r="O34" s="155">
        <v>4455667788000</v>
      </c>
      <c r="P34" s="58">
        <f t="shared" si="57"/>
        <v>4455667788000</v>
      </c>
      <c r="Q34" s="52">
        <f t="shared" si="58"/>
        <v>0</v>
      </c>
      <c r="R34" s="153">
        <f t="shared" si="59"/>
        <v>0</v>
      </c>
      <c r="S34" s="155">
        <v>74261129800</v>
      </c>
      <c r="T34" s="58">
        <f t="shared" si="60"/>
        <v>74261129800</v>
      </c>
      <c r="U34" s="52">
        <f t="shared" si="61"/>
        <v>0</v>
      </c>
      <c r="V34" s="153">
        <f t="shared" si="62"/>
        <v>0</v>
      </c>
      <c r="W34" s="155">
        <v>157350422955</v>
      </c>
      <c r="X34" s="58">
        <f t="shared" si="63"/>
        <v>157350422954.89224</v>
      </c>
      <c r="Y34" s="52">
        <f t="shared" si="64"/>
        <v>0.107757568359375</v>
      </c>
      <c r="Z34" s="153">
        <f t="shared" si="65"/>
        <v>6.8482541283200707E-11</v>
      </c>
      <c r="AA34" s="155">
        <v>2622507049</v>
      </c>
      <c r="AB34" s="58">
        <f t="shared" si="66"/>
        <v>2622507049.2482042</v>
      </c>
      <c r="AC34" s="52">
        <f t="shared" si="67"/>
        <v>-0.24820423126220703</v>
      </c>
      <c r="AD34" s="153">
        <f t="shared" si="68"/>
        <v>-9.4643875726991809E-9</v>
      </c>
      <c r="AE34" s="155">
        <v>43708451</v>
      </c>
      <c r="AF34" s="58">
        <f t="shared" si="69"/>
        <v>43708450.820803404</v>
      </c>
      <c r="AG34" s="52">
        <f t="shared" si="70"/>
        <v>0.17919659614562988</v>
      </c>
      <c r="AH34" s="153">
        <f t="shared" si="71"/>
        <v>4.0998157743065048E-7</v>
      </c>
    </row>
    <row r="35" spans="2:34" ht="15.75" thickBot="1" x14ac:dyDescent="0.3">
      <c r="B35" s="47">
        <v>-654</v>
      </c>
      <c r="C35" s="155">
        <v>-181.667</v>
      </c>
      <c r="D35" s="26">
        <f t="shared" si="48"/>
        <v>-181.66666666666666</v>
      </c>
      <c r="E35" s="52">
        <f t="shared" si="49"/>
        <v>-3.3333333334439885E-4</v>
      </c>
      <c r="F35" s="52">
        <f t="shared" si="50"/>
        <v>1.8348623853820122E-4</v>
      </c>
      <c r="G35" s="155">
        <v>-10.9</v>
      </c>
      <c r="H35" s="26">
        <f t="shared" si="51"/>
        <v>-10.9</v>
      </c>
      <c r="I35" s="52">
        <f t="shared" si="52"/>
        <v>0</v>
      </c>
      <c r="J35" s="52">
        <f t="shared" si="53"/>
        <v>0</v>
      </c>
      <c r="K35" s="155">
        <v>-0.181667</v>
      </c>
      <c r="L35" s="26">
        <f t="shared" si="54"/>
        <v>-0.18166666666666667</v>
      </c>
      <c r="M35" s="52">
        <f t="shared" si="55"/>
        <v>-3.3333333332441484E-7</v>
      </c>
      <c r="N35" s="153">
        <f t="shared" si="56"/>
        <v>1.8348623852720082E-4</v>
      </c>
      <c r="O35" s="155">
        <v>-654000</v>
      </c>
      <c r="P35" s="58">
        <f t="shared" si="57"/>
        <v>-654000</v>
      </c>
      <c r="Q35" s="52">
        <f t="shared" si="58"/>
        <v>0</v>
      </c>
      <c r="R35" s="153">
        <f t="shared" si="59"/>
        <v>0</v>
      </c>
      <c r="S35" s="155">
        <v>-10900</v>
      </c>
      <c r="T35" s="58">
        <f t="shared" si="60"/>
        <v>-10900</v>
      </c>
      <c r="U35" s="52">
        <f t="shared" si="61"/>
        <v>0</v>
      </c>
      <c r="V35" s="153">
        <f t="shared" si="62"/>
        <v>0</v>
      </c>
      <c r="W35" s="155">
        <v>-23095.8</v>
      </c>
      <c r="X35" s="58">
        <f t="shared" si="63"/>
        <v>-23095.792035853534</v>
      </c>
      <c r="Y35" s="52">
        <f t="shared" si="64"/>
        <v>-7.9641464653832372E-3</v>
      </c>
      <c r="Z35" s="153">
        <f t="shared" si="65"/>
        <v>3.4483106069797587E-5</v>
      </c>
      <c r="AA35" s="155">
        <v>-384.93</v>
      </c>
      <c r="AB35" s="58">
        <f t="shared" si="66"/>
        <v>-384.92986726422555</v>
      </c>
      <c r="AC35" s="52">
        <f t="shared" si="67"/>
        <v>-1.3273577445716001E-4</v>
      </c>
      <c r="AD35" s="153">
        <f t="shared" si="68"/>
        <v>3.4483106078657917E-5</v>
      </c>
      <c r="AE35" s="155">
        <v>-6.4154999999999998</v>
      </c>
      <c r="AF35" s="58">
        <f t="shared" si="69"/>
        <v>-6.4154977877370927</v>
      </c>
      <c r="AG35" s="52">
        <f t="shared" si="70"/>
        <v>-2.2122629070864264E-6</v>
      </c>
      <c r="AH35" s="153">
        <f t="shared" si="71"/>
        <v>3.4483106070351356E-5</v>
      </c>
    </row>
    <row r="36" spans="2:34" ht="15.75" thickBot="1" x14ac:dyDescent="0.3">
      <c r="B36" s="74">
        <v>0.65469999999999995</v>
      </c>
      <c r="C36" s="158">
        <v>0.18186099999999999</v>
      </c>
      <c r="D36" s="59">
        <f t="shared" si="48"/>
        <v>0.18186111111111111</v>
      </c>
      <c r="E36" s="57">
        <f t="shared" si="49"/>
        <v>-1.1111111111739014E-7</v>
      </c>
      <c r="F36" s="57">
        <f t="shared" si="50"/>
        <v>-6.1096685508264017E-5</v>
      </c>
      <c r="G36" s="156">
        <v>1.09117E-2</v>
      </c>
      <c r="H36" s="59">
        <f t="shared" si="51"/>
        <v>1.0911666666666667E-2</v>
      </c>
      <c r="I36" s="57">
        <f t="shared" si="52"/>
        <v>3.3333333333135373E-8</v>
      </c>
      <c r="J36" s="57">
        <f t="shared" si="53"/>
        <v>3.054834275222426E-4</v>
      </c>
      <c r="K36" s="158">
        <v>1.8186100000000001E-4</v>
      </c>
      <c r="L36" s="59">
        <f t="shared" si="54"/>
        <v>1.818611111111111E-4</v>
      </c>
      <c r="M36" s="57">
        <f t="shared" si="55"/>
        <v>-1.111111110887672E-10</v>
      </c>
      <c r="N36" s="163">
        <f t="shared" si="56"/>
        <v>-6.1096685492525115E-5</v>
      </c>
      <c r="O36" s="158">
        <v>654.70000000000005</v>
      </c>
      <c r="P36" s="58">
        <f t="shared" si="57"/>
        <v>654.69999999999993</v>
      </c>
      <c r="Q36" s="57">
        <f t="shared" si="58"/>
        <v>0</v>
      </c>
      <c r="R36" s="163">
        <f t="shared" si="59"/>
        <v>0</v>
      </c>
      <c r="S36" s="158">
        <v>10.9117</v>
      </c>
      <c r="T36" s="58">
        <f t="shared" si="60"/>
        <v>10.911666666666665</v>
      </c>
      <c r="U36" s="57">
        <f t="shared" si="61"/>
        <v>3.3333333334439885E-5</v>
      </c>
      <c r="V36" s="163">
        <f t="shared" si="62"/>
        <v>3.0548342753419788E-4</v>
      </c>
      <c r="W36" s="158">
        <v>23.1205</v>
      </c>
      <c r="X36" s="58">
        <f t="shared" si="63"/>
        <v>23.120512302558573</v>
      </c>
      <c r="Y36" s="57">
        <f t="shared" si="64"/>
        <v>-1.2302558573651368E-5</v>
      </c>
      <c r="Z36" s="163">
        <f t="shared" si="65"/>
        <v>-5.321057947444329E-5</v>
      </c>
      <c r="AA36" s="158">
        <v>0.38534200000000002</v>
      </c>
      <c r="AB36" s="58">
        <f t="shared" si="66"/>
        <v>0.38534187170930956</v>
      </c>
      <c r="AC36" s="57">
        <f t="shared" si="67"/>
        <v>1.2829069045983132E-7</v>
      </c>
      <c r="AD36" s="163">
        <f t="shared" si="68"/>
        <v>3.3292694066896003E-5</v>
      </c>
      <c r="AE36" s="158">
        <v>6.4223600000000002E-3</v>
      </c>
      <c r="AF36" s="58">
        <f t="shared" si="69"/>
        <v>6.4223645284884924E-3</v>
      </c>
      <c r="AG36" s="57">
        <f t="shared" si="70"/>
        <v>-4.5284884921809043E-9</v>
      </c>
      <c r="AH36" s="163">
        <f t="shared" si="71"/>
        <v>-7.0511234173851645E-5</v>
      </c>
    </row>
    <row r="37" spans="2:34" ht="15.75" thickBot="1" x14ac:dyDescent="0.3">
      <c r="C37" s="165"/>
      <c r="D37" s="165"/>
      <c r="E37" s="164"/>
      <c r="F37" s="164"/>
      <c r="G37" s="165"/>
      <c r="H37" s="165"/>
      <c r="I37" s="164"/>
      <c r="J37" s="164"/>
      <c r="K37" s="165"/>
      <c r="L37" s="165"/>
      <c r="M37" s="164"/>
      <c r="N37" s="164"/>
      <c r="O37" s="165"/>
      <c r="P37" s="165"/>
      <c r="Q37" s="164"/>
      <c r="R37" s="164"/>
      <c r="S37" s="165"/>
      <c r="T37" s="165"/>
      <c r="U37" s="164"/>
      <c r="V37" s="164"/>
      <c r="W37" s="165"/>
      <c r="X37" s="165"/>
      <c r="Y37" s="164"/>
      <c r="Z37" s="164"/>
      <c r="AA37" s="165"/>
      <c r="AB37" s="165"/>
      <c r="AC37" s="164"/>
      <c r="AD37" s="164"/>
      <c r="AE37" s="165"/>
      <c r="AF37" s="165"/>
      <c r="AG37" s="164"/>
      <c r="AH37" s="164"/>
    </row>
    <row r="38" spans="2:34" x14ac:dyDescent="0.25">
      <c r="B38" s="341" t="s">
        <v>10</v>
      </c>
      <c r="C38" s="166" t="s">
        <v>14</v>
      </c>
      <c r="D38" s="168" t="s">
        <v>14</v>
      </c>
      <c r="E38" s="343" t="s">
        <v>354</v>
      </c>
      <c r="F38" s="352" t="s">
        <v>355</v>
      </c>
      <c r="G38" s="166" t="s">
        <v>14</v>
      </c>
      <c r="H38" s="168" t="s">
        <v>14</v>
      </c>
      <c r="I38" s="343" t="s">
        <v>354</v>
      </c>
      <c r="J38" s="352" t="s">
        <v>355</v>
      </c>
      <c r="K38" s="166" t="s">
        <v>14</v>
      </c>
      <c r="L38" s="168" t="s">
        <v>14</v>
      </c>
      <c r="M38" s="343" t="s">
        <v>354</v>
      </c>
      <c r="N38" s="357" t="s">
        <v>355</v>
      </c>
      <c r="O38" s="166" t="s">
        <v>14</v>
      </c>
      <c r="P38" s="168" t="s">
        <v>14</v>
      </c>
      <c r="Q38" s="343" t="s">
        <v>354</v>
      </c>
      <c r="R38" s="357" t="s">
        <v>355</v>
      </c>
      <c r="S38" s="166" t="s">
        <v>14</v>
      </c>
      <c r="T38" s="168" t="s">
        <v>14</v>
      </c>
      <c r="U38" s="343" t="s">
        <v>354</v>
      </c>
      <c r="V38" s="357" t="s">
        <v>355</v>
      </c>
      <c r="W38" s="166" t="s">
        <v>14</v>
      </c>
      <c r="X38" s="168" t="s">
        <v>14</v>
      </c>
      <c r="Y38" s="343" t="s">
        <v>354</v>
      </c>
      <c r="Z38" s="357" t="s">
        <v>355</v>
      </c>
      <c r="AA38" s="166" t="s">
        <v>14</v>
      </c>
      <c r="AB38" s="168" t="s">
        <v>14</v>
      </c>
      <c r="AC38" s="343" t="s">
        <v>354</v>
      </c>
      <c r="AD38" s="357" t="s">
        <v>355</v>
      </c>
      <c r="AE38" s="166" t="s">
        <v>14</v>
      </c>
      <c r="AF38" s="168" t="s">
        <v>14</v>
      </c>
      <c r="AG38" s="343" t="s">
        <v>354</v>
      </c>
      <c r="AH38" s="357" t="s">
        <v>355</v>
      </c>
    </row>
    <row r="39" spans="2:34" ht="15.75" thickBot="1" x14ac:dyDescent="0.3">
      <c r="B39" s="342"/>
      <c r="C39" s="167" t="s">
        <v>290</v>
      </c>
      <c r="D39" s="169" t="s">
        <v>291</v>
      </c>
      <c r="E39" s="344"/>
      <c r="F39" s="353"/>
      <c r="G39" s="167" t="s">
        <v>290</v>
      </c>
      <c r="H39" s="169" t="s">
        <v>291</v>
      </c>
      <c r="I39" s="344"/>
      <c r="J39" s="353"/>
      <c r="K39" s="167" t="s">
        <v>290</v>
      </c>
      <c r="L39" s="169" t="s">
        <v>291</v>
      </c>
      <c r="M39" s="344"/>
      <c r="N39" s="358"/>
      <c r="O39" s="167" t="s">
        <v>290</v>
      </c>
      <c r="P39" s="169" t="s">
        <v>291</v>
      </c>
      <c r="Q39" s="344"/>
      <c r="R39" s="358"/>
      <c r="S39" s="167" t="s">
        <v>290</v>
      </c>
      <c r="T39" s="169" t="s">
        <v>291</v>
      </c>
      <c r="U39" s="344"/>
      <c r="V39" s="358"/>
      <c r="W39" s="167" t="s">
        <v>290</v>
      </c>
      <c r="X39" s="169" t="s">
        <v>291</v>
      </c>
      <c r="Y39" s="344"/>
      <c r="Z39" s="358"/>
      <c r="AA39" s="167" t="s">
        <v>290</v>
      </c>
      <c r="AB39" s="169" t="s">
        <v>291</v>
      </c>
      <c r="AC39" s="344"/>
      <c r="AD39" s="358"/>
      <c r="AE39" s="167" t="s">
        <v>290</v>
      </c>
      <c r="AF39" s="169" t="s">
        <v>291</v>
      </c>
      <c r="AG39" s="344"/>
      <c r="AH39" s="358"/>
    </row>
    <row r="40" spans="2:34" ht="15.75" thickBot="1" x14ac:dyDescent="0.3">
      <c r="B40" s="346" t="s">
        <v>72</v>
      </c>
      <c r="C40" s="363" t="s">
        <v>71</v>
      </c>
      <c r="D40" s="177" t="s">
        <v>71</v>
      </c>
      <c r="E40" s="344"/>
      <c r="F40" s="354"/>
      <c r="G40" s="363" t="s">
        <v>70</v>
      </c>
      <c r="H40" s="177" t="s">
        <v>70</v>
      </c>
      <c r="I40" s="344"/>
      <c r="J40" s="354"/>
      <c r="K40" s="363" t="s">
        <v>69</v>
      </c>
      <c r="L40" s="177" t="s">
        <v>69</v>
      </c>
      <c r="M40" s="344"/>
      <c r="N40" s="358"/>
      <c r="O40" s="363" t="s">
        <v>564</v>
      </c>
      <c r="P40" s="177" t="s">
        <v>564</v>
      </c>
      <c r="Q40" s="344"/>
      <c r="R40" s="358"/>
      <c r="S40" s="363" t="s">
        <v>566</v>
      </c>
      <c r="T40" s="177" t="s">
        <v>566</v>
      </c>
      <c r="U40" s="344"/>
      <c r="V40" s="358"/>
      <c r="W40" s="363" t="s">
        <v>571</v>
      </c>
      <c r="X40" s="177" t="s">
        <v>571</v>
      </c>
      <c r="Y40" s="344"/>
      <c r="Z40" s="358"/>
      <c r="AA40" s="363" t="s">
        <v>570</v>
      </c>
      <c r="AB40" s="177" t="s">
        <v>570</v>
      </c>
      <c r="AC40" s="344"/>
      <c r="AD40" s="358"/>
      <c r="AE40" s="363" t="s">
        <v>574</v>
      </c>
      <c r="AF40" s="177" t="s">
        <v>574</v>
      </c>
      <c r="AG40" s="344"/>
      <c r="AH40" s="358"/>
    </row>
    <row r="41" spans="2:34" ht="45.75" thickBot="1" x14ac:dyDescent="0.3">
      <c r="B41" s="347"/>
      <c r="C41" s="364"/>
      <c r="D41" s="222" t="s">
        <v>246</v>
      </c>
      <c r="E41" s="345"/>
      <c r="F41" s="345"/>
      <c r="G41" s="364"/>
      <c r="H41" s="222" t="s">
        <v>247</v>
      </c>
      <c r="I41" s="345"/>
      <c r="J41" s="345"/>
      <c r="K41" s="364"/>
      <c r="L41" s="222" t="s">
        <v>248</v>
      </c>
      <c r="M41" s="345"/>
      <c r="N41" s="359"/>
      <c r="O41" s="364"/>
      <c r="P41" s="222" t="s">
        <v>582</v>
      </c>
      <c r="Q41" s="345"/>
      <c r="R41" s="359"/>
      <c r="S41" s="364"/>
      <c r="T41" s="222" t="s">
        <v>581</v>
      </c>
      <c r="U41" s="345"/>
      <c r="V41" s="359"/>
      <c r="W41" s="364"/>
      <c r="X41" s="222" t="s">
        <v>586</v>
      </c>
      <c r="Y41" s="345"/>
      <c r="Z41" s="359"/>
      <c r="AA41" s="364"/>
      <c r="AB41" s="222" t="s">
        <v>587</v>
      </c>
      <c r="AC41" s="345"/>
      <c r="AD41" s="359"/>
      <c r="AE41" s="364"/>
      <c r="AF41" s="222" t="s">
        <v>588</v>
      </c>
      <c r="AG41" s="345"/>
      <c r="AH41" s="359"/>
    </row>
    <row r="42" spans="2:34" ht="15.75" thickBot="1" x14ac:dyDescent="0.3">
      <c r="B42" s="44">
        <v>1</v>
      </c>
      <c r="C42" s="154">
        <v>16.666699999999999</v>
      </c>
      <c r="D42" s="58">
        <f>L42*1000</f>
        <v>16.666666666666668</v>
      </c>
      <c r="E42" s="54">
        <f>C42-D42</f>
        <v>3.3333333330887172E-5</v>
      </c>
      <c r="F42" s="54">
        <f>(100*E42)/D42</f>
        <v>1.99999999985323E-4</v>
      </c>
      <c r="G42" s="157">
        <v>60</v>
      </c>
      <c r="H42" s="58">
        <f>L42*3600</f>
        <v>60</v>
      </c>
      <c r="I42" s="54">
        <f>G42-H42</f>
        <v>0</v>
      </c>
      <c r="J42" s="54">
        <f>(100*I42)/H42</f>
        <v>0</v>
      </c>
      <c r="K42" s="157">
        <v>1.66667E-2</v>
      </c>
      <c r="L42" s="58">
        <f>B42/60</f>
        <v>1.6666666666666666E-2</v>
      </c>
      <c r="M42" s="54">
        <f>K42-L42</f>
        <v>3.3333333333135373E-8</v>
      </c>
      <c r="N42" s="162">
        <f>(100*M42)/L42</f>
        <v>1.9999999999881224E-4</v>
      </c>
      <c r="O42" s="157">
        <v>60000</v>
      </c>
      <c r="P42" s="58">
        <f>$B42*1000*60</f>
        <v>60000</v>
      </c>
      <c r="Q42" s="54">
        <f>O42-P42</f>
        <v>0</v>
      </c>
      <c r="R42" s="162">
        <f>(100*Q42)/P42</f>
        <v>0</v>
      </c>
      <c r="S42" s="157">
        <v>1000</v>
      </c>
      <c r="T42" s="58">
        <f>$B42*1000</f>
        <v>1000</v>
      </c>
      <c r="U42" s="54">
        <f>S42-T42</f>
        <v>0</v>
      </c>
      <c r="V42" s="162">
        <f>(100*U42)/T42</f>
        <v>0</v>
      </c>
      <c r="W42" s="157">
        <v>2118.88</v>
      </c>
      <c r="X42" s="58">
        <f>$B42/POWER(0.3048,3)*60</f>
        <v>2118.880003289315</v>
      </c>
      <c r="Y42" s="54">
        <f>W42-X42</f>
        <v>-3.2893149182200432E-6</v>
      </c>
      <c r="Z42" s="162">
        <f>(100*Y42)/X42</f>
        <v>-1.5523837655335666E-7</v>
      </c>
      <c r="AA42" s="157">
        <v>35.314700000000002</v>
      </c>
      <c r="AB42" s="58">
        <f>$B42/POWER(0.3048,3)</f>
        <v>35.314666721488585</v>
      </c>
      <c r="AC42" s="54">
        <f>AA42-AB42</f>
        <v>3.3278511416767742E-5</v>
      </c>
      <c r="AD42" s="162">
        <f>(100*AC42)/AB42</f>
        <v>9.4234250259873283E-5</v>
      </c>
      <c r="AE42" s="157">
        <v>0.58857800000000005</v>
      </c>
      <c r="AF42" s="58">
        <f>$B42/POWER(0.3048,3)/60</f>
        <v>0.58857777869147643</v>
      </c>
      <c r="AG42" s="54">
        <f>AE42-AF42</f>
        <v>2.2130852361801345E-7</v>
      </c>
      <c r="AH42" s="162">
        <f>(100*AG42)/AF42</f>
        <v>3.7600557076759782E-5</v>
      </c>
    </row>
    <row r="43" spans="2:34" ht="15.75" thickBot="1" x14ac:dyDescent="0.3">
      <c r="B43" s="47">
        <v>987</v>
      </c>
      <c r="C43" s="155">
        <v>16450</v>
      </c>
      <c r="D43" s="26">
        <f t="shared" ref="D43:D47" si="72">L43*1000</f>
        <v>16450</v>
      </c>
      <c r="E43" s="52">
        <f t="shared" ref="E43:E47" si="73">C43-D43</f>
        <v>0</v>
      </c>
      <c r="F43" s="52">
        <f t="shared" ref="F43:F47" si="74">(100*E43)/D43</f>
        <v>0</v>
      </c>
      <c r="G43" s="155">
        <v>59220</v>
      </c>
      <c r="H43" s="26">
        <f t="shared" ref="H43:H47" si="75">L43*3600</f>
        <v>59220</v>
      </c>
      <c r="I43" s="52">
        <f t="shared" ref="I43:I47" si="76">G43-H43</f>
        <v>0</v>
      </c>
      <c r="J43" s="52">
        <f t="shared" ref="J43:J47" si="77">(100*I43)/H43</f>
        <v>0</v>
      </c>
      <c r="K43" s="155">
        <v>16.45</v>
      </c>
      <c r="L43" s="26">
        <f t="shared" ref="L43:L47" si="78">B43/60</f>
        <v>16.45</v>
      </c>
      <c r="M43" s="52">
        <f t="shared" ref="M43:M47" si="79">K43-L43</f>
        <v>0</v>
      </c>
      <c r="N43" s="153">
        <f t="shared" ref="N43:N47" si="80">(100*M43)/L43</f>
        <v>0</v>
      </c>
      <c r="O43" s="155">
        <v>59220000</v>
      </c>
      <c r="P43" s="58">
        <f t="shared" ref="P43:P47" si="81">$B43*1000*60</f>
        <v>59220000</v>
      </c>
      <c r="Q43" s="52">
        <f t="shared" ref="Q43:Q47" si="82">O43-P43</f>
        <v>0</v>
      </c>
      <c r="R43" s="153">
        <f t="shared" ref="R43:R47" si="83">(100*Q43)/P43</f>
        <v>0</v>
      </c>
      <c r="S43" s="155">
        <v>987000</v>
      </c>
      <c r="T43" s="58">
        <f t="shared" ref="T43:T47" si="84">$B43*1000</f>
        <v>987000</v>
      </c>
      <c r="U43" s="52">
        <f t="shared" ref="U43:U47" si="85">S43-T43</f>
        <v>0</v>
      </c>
      <c r="V43" s="153">
        <f t="shared" ref="V43:V47" si="86">(100*U43)/T43</f>
        <v>0</v>
      </c>
      <c r="W43" s="155">
        <v>2091335</v>
      </c>
      <c r="X43" s="58">
        <f t="shared" ref="X43:X47" si="87">$B43/POWER(0.3048,3)*60</f>
        <v>2091334.5632465538</v>
      </c>
      <c r="Y43" s="52">
        <f t="shared" ref="Y43:Y47" si="88">W43-X43</f>
        <v>0.43675344623625278</v>
      </c>
      <c r="Z43" s="153">
        <f t="shared" ref="Z43:Z47" si="89">(100*Y43)/X43</f>
        <v>2.0883958688955241E-5</v>
      </c>
      <c r="AA43" s="155">
        <v>34855.599999999999</v>
      </c>
      <c r="AB43" s="58">
        <f t="shared" ref="AB43:AB47" si="90">$B43/POWER(0.3048,3)</f>
        <v>34855.576054109231</v>
      </c>
      <c r="AC43" s="52">
        <f t="shared" ref="AC43:AC47" si="91">AA43-AB43</f>
        <v>2.3945890767208766E-2</v>
      </c>
      <c r="AD43" s="153">
        <f t="shared" ref="AD43:AD47" si="92">(100*AC43)/AB43</f>
        <v>6.8700315639700103E-5</v>
      </c>
      <c r="AE43" s="155">
        <v>580.92600000000004</v>
      </c>
      <c r="AF43" s="58">
        <f t="shared" ref="AF43:AF47" si="93">$B43/POWER(0.3048,3)/60</f>
        <v>580.92626756848722</v>
      </c>
      <c r="AG43" s="52">
        <f t="shared" ref="AG43:AG47" si="94">AE43-AF43</f>
        <v>-2.6756848717468529E-4</v>
      </c>
      <c r="AH43" s="153">
        <f t="shared" ref="AH43:AH47" si="95">(100*AG43)/AF43</f>
        <v>-4.6058941058839414E-5</v>
      </c>
    </row>
    <row r="44" spans="2:34" ht="15.75" thickBot="1" x14ac:dyDescent="0.3">
      <c r="B44" s="47">
        <v>5987</v>
      </c>
      <c r="C44" s="155">
        <v>99783.3</v>
      </c>
      <c r="D44" s="26">
        <f t="shared" si="72"/>
        <v>99783.333333333328</v>
      </c>
      <c r="E44" s="52">
        <f t="shared" si="73"/>
        <v>-3.3333333325572312E-2</v>
      </c>
      <c r="F44" s="52">
        <f t="shared" si="74"/>
        <v>-3.3405712369038564E-5</v>
      </c>
      <c r="G44" s="155">
        <v>359220</v>
      </c>
      <c r="H44" s="26">
        <f t="shared" si="75"/>
        <v>359220</v>
      </c>
      <c r="I44" s="52">
        <f t="shared" si="76"/>
        <v>0</v>
      </c>
      <c r="J44" s="52">
        <f t="shared" si="77"/>
        <v>0</v>
      </c>
      <c r="K44" s="159">
        <v>99.783299999999997</v>
      </c>
      <c r="L44" s="26">
        <f t="shared" si="78"/>
        <v>99.783333333333331</v>
      </c>
      <c r="M44" s="52">
        <f t="shared" si="79"/>
        <v>-3.3333333334439885E-5</v>
      </c>
      <c r="N44" s="153">
        <f t="shared" si="80"/>
        <v>-3.340571237792539E-5</v>
      </c>
      <c r="O44" s="159">
        <v>359220000</v>
      </c>
      <c r="P44" s="58">
        <f t="shared" si="81"/>
        <v>359220000</v>
      </c>
      <c r="Q44" s="52">
        <f t="shared" si="82"/>
        <v>0</v>
      </c>
      <c r="R44" s="153">
        <f t="shared" si="83"/>
        <v>0</v>
      </c>
      <c r="S44" s="159">
        <v>5987000</v>
      </c>
      <c r="T44" s="58">
        <f t="shared" si="84"/>
        <v>5987000</v>
      </c>
      <c r="U44" s="52">
        <f t="shared" si="85"/>
        <v>0</v>
      </c>
      <c r="V44" s="153">
        <f t="shared" si="86"/>
        <v>0</v>
      </c>
      <c r="W44" s="159">
        <v>12685735</v>
      </c>
      <c r="X44" s="58">
        <f t="shared" si="87"/>
        <v>12685734.579693131</v>
      </c>
      <c r="Y44" s="52">
        <f t="shared" si="88"/>
        <v>0.42030686885118484</v>
      </c>
      <c r="Z44" s="153">
        <f t="shared" si="89"/>
        <v>3.31322452169224E-6</v>
      </c>
      <c r="AA44" s="159">
        <v>211429</v>
      </c>
      <c r="AB44" s="58">
        <f t="shared" si="90"/>
        <v>211428.90966155217</v>
      </c>
      <c r="AC44" s="52">
        <f t="shared" si="91"/>
        <v>9.0338447829708457E-2</v>
      </c>
      <c r="AD44" s="153">
        <f t="shared" si="92"/>
        <v>4.272757589031652E-5</v>
      </c>
      <c r="AE44" s="159">
        <v>3523.82</v>
      </c>
      <c r="AF44" s="58">
        <f t="shared" si="93"/>
        <v>3523.8151610258697</v>
      </c>
      <c r="AG44" s="52">
        <f t="shared" si="94"/>
        <v>4.8389741305072675E-3</v>
      </c>
      <c r="AH44" s="153">
        <f t="shared" si="95"/>
        <v>1.3732201915773933E-4</v>
      </c>
    </row>
    <row r="45" spans="2:34" ht="15.75" thickBot="1" x14ac:dyDescent="0.3">
      <c r="B45" s="47">
        <v>4455667788</v>
      </c>
      <c r="C45" s="159">
        <v>74261129800</v>
      </c>
      <c r="D45" s="26">
        <f t="shared" si="72"/>
        <v>74261129800</v>
      </c>
      <c r="E45" s="52">
        <f t="shared" si="73"/>
        <v>0</v>
      </c>
      <c r="F45" s="52">
        <f t="shared" si="74"/>
        <v>0</v>
      </c>
      <c r="G45" s="155">
        <v>267340067280</v>
      </c>
      <c r="H45" s="26">
        <f t="shared" si="75"/>
        <v>267340067280</v>
      </c>
      <c r="I45" s="52">
        <f t="shared" si="76"/>
        <v>0</v>
      </c>
      <c r="J45" s="52">
        <f t="shared" si="77"/>
        <v>0</v>
      </c>
      <c r="K45" s="155">
        <v>74261130</v>
      </c>
      <c r="L45" s="26">
        <f t="shared" si="78"/>
        <v>74261129.799999997</v>
      </c>
      <c r="M45" s="52">
        <f t="shared" si="79"/>
        <v>0.20000000298023224</v>
      </c>
      <c r="N45" s="153">
        <f t="shared" si="80"/>
        <v>2.6931990331802392E-7</v>
      </c>
      <c r="O45" s="155">
        <v>267340067280000</v>
      </c>
      <c r="P45" s="58">
        <f t="shared" si="81"/>
        <v>267340067280000</v>
      </c>
      <c r="Q45" s="52">
        <f t="shared" si="82"/>
        <v>0</v>
      </c>
      <c r="R45" s="153">
        <f t="shared" si="83"/>
        <v>0</v>
      </c>
      <c r="S45" s="155">
        <v>4455667788000</v>
      </c>
      <c r="T45" s="58">
        <f t="shared" si="84"/>
        <v>4455667788000</v>
      </c>
      <c r="U45" s="52">
        <f t="shared" si="85"/>
        <v>0</v>
      </c>
      <c r="V45" s="153">
        <f t="shared" si="86"/>
        <v>0</v>
      </c>
      <c r="W45" s="155">
        <v>9441025377294</v>
      </c>
      <c r="X45" s="58">
        <f t="shared" si="87"/>
        <v>9441025377293.5352</v>
      </c>
      <c r="Y45" s="52">
        <f t="shared" si="88"/>
        <v>0.46484375</v>
      </c>
      <c r="Z45" s="153">
        <f t="shared" si="89"/>
        <v>4.9236574569324696E-12</v>
      </c>
      <c r="AA45" s="155">
        <v>157350422955</v>
      </c>
      <c r="AB45" s="58">
        <f t="shared" si="90"/>
        <v>157350422954.89224</v>
      </c>
      <c r="AC45" s="52">
        <f t="shared" si="91"/>
        <v>0.107757568359375</v>
      </c>
      <c r="AD45" s="153">
        <f t="shared" si="92"/>
        <v>6.8482541283200707E-11</v>
      </c>
      <c r="AE45" s="155">
        <v>2622507049</v>
      </c>
      <c r="AF45" s="58">
        <f t="shared" si="93"/>
        <v>2622507049.2482042</v>
      </c>
      <c r="AG45" s="52">
        <f t="shared" si="94"/>
        <v>-0.24820423126220703</v>
      </c>
      <c r="AH45" s="153">
        <f t="shared" si="95"/>
        <v>-9.4643875726991809E-9</v>
      </c>
    </row>
    <row r="46" spans="2:34" ht="15.75" thickBot="1" x14ac:dyDescent="0.3">
      <c r="B46" s="47">
        <v>-654</v>
      </c>
      <c r="C46" s="155">
        <v>-10900</v>
      </c>
      <c r="D46" s="26">
        <f t="shared" si="72"/>
        <v>-10900</v>
      </c>
      <c r="E46" s="52">
        <f t="shared" si="73"/>
        <v>0</v>
      </c>
      <c r="F46" s="52">
        <f t="shared" si="74"/>
        <v>0</v>
      </c>
      <c r="G46" s="155">
        <v>-39240</v>
      </c>
      <c r="H46" s="26">
        <f t="shared" si="75"/>
        <v>-39240</v>
      </c>
      <c r="I46" s="52">
        <f t="shared" si="76"/>
        <v>0</v>
      </c>
      <c r="J46" s="52">
        <f t="shared" si="77"/>
        <v>0</v>
      </c>
      <c r="K46" s="155">
        <v>-10.9</v>
      </c>
      <c r="L46" s="26">
        <f t="shared" si="78"/>
        <v>-10.9</v>
      </c>
      <c r="M46" s="52">
        <f t="shared" si="79"/>
        <v>0</v>
      </c>
      <c r="N46" s="153">
        <f t="shared" si="80"/>
        <v>0</v>
      </c>
      <c r="O46" s="155">
        <v>-39240000</v>
      </c>
      <c r="P46" s="58">
        <f t="shared" si="81"/>
        <v>-39240000</v>
      </c>
      <c r="Q46" s="52">
        <f t="shared" si="82"/>
        <v>0</v>
      </c>
      <c r="R46" s="153">
        <f t="shared" si="83"/>
        <v>0</v>
      </c>
      <c r="S46" s="155">
        <v>-654000</v>
      </c>
      <c r="T46" s="58">
        <f t="shared" si="84"/>
        <v>-654000</v>
      </c>
      <c r="U46" s="52">
        <f t="shared" si="85"/>
        <v>0</v>
      </c>
      <c r="V46" s="153">
        <f t="shared" si="86"/>
        <v>0</v>
      </c>
      <c r="W46" s="155">
        <v>-1385748</v>
      </c>
      <c r="X46" s="58">
        <f t="shared" si="87"/>
        <v>-1385747.522151212</v>
      </c>
      <c r="Y46" s="52">
        <f t="shared" si="88"/>
        <v>-0.47784878802485764</v>
      </c>
      <c r="Z46" s="153">
        <f t="shared" si="89"/>
        <v>3.4483106077148376E-5</v>
      </c>
      <c r="AA46" s="155">
        <v>-23095.8</v>
      </c>
      <c r="AB46" s="58">
        <f t="shared" si="90"/>
        <v>-23095.792035853534</v>
      </c>
      <c r="AC46" s="52">
        <f t="shared" si="91"/>
        <v>-7.9641464653832372E-3</v>
      </c>
      <c r="AD46" s="153">
        <f t="shared" si="92"/>
        <v>3.4483106069797587E-5</v>
      </c>
      <c r="AE46" s="155">
        <v>-384.93</v>
      </c>
      <c r="AF46" s="58">
        <f t="shared" si="93"/>
        <v>-384.92986726422555</v>
      </c>
      <c r="AG46" s="52">
        <f t="shared" si="94"/>
        <v>-1.3273577445716001E-4</v>
      </c>
      <c r="AH46" s="153">
        <f t="shared" si="95"/>
        <v>3.4483106078657917E-5</v>
      </c>
    </row>
    <row r="47" spans="2:34" ht="15.75" thickBot="1" x14ac:dyDescent="0.3">
      <c r="B47" s="74">
        <v>0.65469999999999995</v>
      </c>
      <c r="C47" s="158">
        <v>10.9117</v>
      </c>
      <c r="D47" s="59">
        <f t="shared" si="72"/>
        <v>10.911666666666665</v>
      </c>
      <c r="E47" s="57">
        <f t="shared" si="73"/>
        <v>3.3333333334439885E-5</v>
      </c>
      <c r="F47" s="57">
        <f t="shared" si="74"/>
        <v>3.0548342753419788E-4</v>
      </c>
      <c r="G47" s="156">
        <v>39.281999999999996</v>
      </c>
      <c r="H47" s="59">
        <f t="shared" si="75"/>
        <v>39.281999999999996</v>
      </c>
      <c r="I47" s="57">
        <f t="shared" si="76"/>
        <v>0</v>
      </c>
      <c r="J47" s="57">
        <f t="shared" si="77"/>
        <v>0</v>
      </c>
      <c r="K47" s="158">
        <v>1.09117E-2</v>
      </c>
      <c r="L47" s="59">
        <f t="shared" si="78"/>
        <v>1.0911666666666665E-2</v>
      </c>
      <c r="M47" s="57">
        <f t="shared" si="79"/>
        <v>3.3333333334870097E-8</v>
      </c>
      <c r="N47" s="163">
        <f t="shared" si="80"/>
        <v>3.0548342753814053E-4</v>
      </c>
      <c r="O47" s="158">
        <v>39282</v>
      </c>
      <c r="P47" s="58">
        <f t="shared" si="81"/>
        <v>39281.999999999993</v>
      </c>
      <c r="Q47" s="57">
        <f t="shared" si="82"/>
        <v>0</v>
      </c>
      <c r="R47" s="163">
        <f t="shared" si="83"/>
        <v>0</v>
      </c>
      <c r="S47" s="158">
        <v>654.70000000000005</v>
      </c>
      <c r="T47" s="58">
        <f t="shared" si="84"/>
        <v>654.69999999999993</v>
      </c>
      <c r="U47" s="57">
        <f t="shared" si="85"/>
        <v>0</v>
      </c>
      <c r="V47" s="163">
        <f t="shared" si="86"/>
        <v>0</v>
      </c>
      <c r="W47" s="158">
        <v>1387.23</v>
      </c>
      <c r="X47" s="58">
        <f t="shared" si="87"/>
        <v>1387.2307381535145</v>
      </c>
      <c r="Y47" s="57">
        <f t="shared" si="88"/>
        <v>-7.3815351447592548E-4</v>
      </c>
      <c r="Z47" s="163">
        <f t="shared" si="89"/>
        <v>-5.3210579478540904E-5</v>
      </c>
      <c r="AA47" s="158">
        <v>23.1205</v>
      </c>
      <c r="AB47" s="58">
        <f t="shared" si="90"/>
        <v>23.120512302558573</v>
      </c>
      <c r="AC47" s="57">
        <f t="shared" si="91"/>
        <v>-1.2302558573651368E-5</v>
      </c>
      <c r="AD47" s="163">
        <f t="shared" si="92"/>
        <v>-5.321057947444329E-5</v>
      </c>
      <c r="AE47" s="158">
        <v>0.38534200000000002</v>
      </c>
      <c r="AF47" s="58">
        <f t="shared" si="93"/>
        <v>0.38534187170930956</v>
      </c>
      <c r="AG47" s="57">
        <f t="shared" si="94"/>
        <v>1.2829069045983132E-7</v>
      </c>
      <c r="AH47" s="163">
        <f t="shared" si="95"/>
        <v>3.3292694066896003E-5</v>
      </c>
    </row>
    <row r="48" spans="2:34" ht="15.75" thickBot="1" x14ac:dyDescent="0.3">
      <c r="C48" s="165"/>
      <c r="D48" s="165"/>
      <c r="E48" s="180"/>
      <c r="F48" s="180"/>
      <c r="G48" s="181"/>
      <c r="H48" s="165"/>
      <c r="I48" s="164"/>
      <c r="J48" s="164"/>
      <c r="K48" s="165"/>
      <c r="L48" s="165"/>
      <c r="M48" s="164"/>
      <c r="N48" s="164"/>
      <c r="O48" s="165"/>
      <c r="P48" s="165"/>
      <c r="Q48" s="164"/>
      <c r="R48" s="164"/>
      <c r="S48" s="165"/>
      <c r="T48" s="165"/>
      <c r="U48" s="164"/>
      <c r="V48" s="164"/>
      <c r="W48" s="165"/>
      <c r="X48" s="165"/>
      <c r="Y48" s="164"/>
      <c r="Z48" s="164"/>
      <c r="AA48" s="165"/>
      <c r="AB48" s="165"/>
      <c r="AC48" s="164"/>
      <c r="AD48" s="164"/>
      <c r="AE48" s="165"/>
      <c r="AF48" s="165"/>
      <c r="AG48" s="164"/>
      <c r="AH48" s="164"/>
    </row>
    <row r="49" spans="2:34" x14ac:dyDescent="0.25">
      <c r="B49" s="341" t="s">
        <v>10</v>
      </c>
      <c r="C49" s="166" t="s">
        <v>14</v>
      </c>
      <c r="D49" s="168" t="s">
        <v>14</v>
      </c>
      <c r="E49" s="343" t="s">
        <v>354</v>
      </c>
      <c r="F49" s="352" t="s">
        <v>355</v>
      </c>
      <c r="G49" s="166" t="s">
        <v>14</v>
      </c>
      <c r="H49" s="168" t="s">
        <v>14</v>
      </c>
      <c r="I49" s="343" t="s">
        <v>354</v>
      </c>
      <c r="J49" s="352" t="s">
        <v>355</v>
      </c>
      <c r="K49" s="166" t="s">
        <v>14</v>
      </c>
      <c r="L49" s="168" t="s">
        <v>14</v>
      </c>
      <c r="M49" s="343" t="s">
        <v>354</v>
      </c>
      <c r="N49" s="352" t="s">
        <v>355</v>
      </c>
      <c r="O49" s="166" t="s">
        <v>14</v>
      </c>
      <c r="P49" s="168" t="s">
        <v>14</v>
      </c>
      <c r="Q49" s="343" t="s">
        <v>354</v>
      </c>
      <c r="R49" s="352" t="s">
        <v>355</v>
      </c>
      <c r="S49" s="166" t="s">
        <v>14</v>
      </c>
      <c r="T49" s="168" t="s">
        <v>14</v>
      </c>
      <c r="U49" s="343" t="s">
        <v>354</v>
      </c>
      <c r="V49" s="352" t="s">
        <v>355</v>
      </c>
      <c r="W49" s="166" t="s">
        <v>14</v>
      </c>
      <c r="X49" s="168" t="s">
        <v>14</v>
      </c>
      <c r="Y49" s="343" t="s">
        <v>354</v>
      </c>
      <c r="Z49" s="352" t="s">
        <v>355</v>
      </c>
      <c r="AA49" s="166" t="s">
        <v>14</v>
      </c>
      <c r="AB49" s="168" t="s">
        <v>14</v>
      </c>
      <c r="AC49" s="343" t="s">
        <v>354</v>
      </c>
      <c r="AD49" s="352" t="s">
        <v>355</v>
      </c>
      <c r="AE49" s="166" t="s">
        <v>14</v>
      </c>
      <c r="AF49" s="168" t="s">
        <v>14</v>
      </c>
      <c r="AG49" s="343" t="s">
        <v>354</v>
      </c>
      <c r="AH49" s="352" t="s">
        <v>355</v>
      </c>
    </row>
    <row r="50" spans="2:34" ht="15.75" thickBot="1" x14ac:dyDescent="0.3">
      <c r="B50" s="342"/>
      <c r="C50" s="167" t="s">
        <v>290</v>
      </c>
      <c r="D50" s="169" t="s">
        <v>291</v>
      </c>
      <c r="E50" s="344"/>
      <c r="F50" s="353"/>
      <c r="G50" s="167" t="s">
        <v>290</v>
      </c>
      <c r="H50" s="169" t="s">
        <v>291</v>
      </c>
      <c r="I50" s="344"/>
      <c r="J50" s="353"/>
      <c r="K50" s="167" t="s">
        <v>290</v>
      </c>
      <c r="L50" s="169" t="s">
        <v>291</v>
      </c>
      <c r="M50" s="344"/>
      <c r="N50" s="353"/>
      <c r="O50" s="167" t="s">
        <v>290</v>
      </c>
      <c r="P50" s="169" t="s">
        <v>291</v>
      </c>
      <c r="Q50" s="344"/>
      <c r="R50" s="353"/>
      <c r="S50" s="167" t="s">
        <v>290</v>
      </c>
      <c r="T50" s="169" t="s">
        <v>291</v>
      </c>
      <c r="U50" s="344"/>
      <c r="V50" s="353"/>
      <c r="W50" s="167" t="s">
        <v>290</v>
      </c>
      <c r="X50" s="169" t="s">
        <v>291</v>
      </c>
      <c r="Y50" s="344"/>
      <c r="Z50" s="353"/>
      <c r="AA50" s="167" t="s">
        <v>290</v>
      </c>
      <c r="AB50" s="169" t="s">
        <v>291</v>
      </c>
      <c r="AC50" s="344"/>
      <c r="AD50" s="353"/>
      <c r="AE50" s="167" t="s">
        <v>290</v>
      </c>
      <c r="AF50" s="169" t="s">
        <v>291</v>
      </c>
      <c r="AG50" s="344"/>
      <c r="AH50" s="353"/>
    </row>
    <row r="51" spans="2:34" ht="15.75" thickBot="1" x14ac:dyDescent="0.3">
      <c r="B51" s="346" t="s">
        <v>564</v>
      </c>
      <c r="C51" s="363" t="s">
        <v>566</v>
      </c>
      <c r="D51" s="177" t="s">
        <v>566</v>
      </c>
      <c r="E51" s="344"/>
      <c r="F51" s="354"/>
      <c r="G51" s="363" t="s">
        <v>71</v>
      </c>
      <c r="H51" s="177" t="s">
        <v>71</v>
      </c>
      <c r="I51" s="344"/>
      <c r="J51" s="354"/>
      <c r="K51" s="363" t="s">
        <v>70</v>
      </c>
      <c r="L51" s="177" t="s">
        <v>70</v>
      </c>
      <c r="M51" s="344"/>
      <c r="N51" s="354"/>
      <c r="O51" s="363" t="s">
        <v>72</v>
      </c>
      <c r="P51" s="177" t="s">
        <v>72</v>
      </c>
      <c r="Q51" s="344"/>
      <c r="R51" s="354"/>
      <c r="S51" s="363" t="s">
        <v>69</v>
      </c>
      <c r="T51" s="177" t="s">
        <v>69</v>
      </c>
      <c r="U51" s="344"/>
      <c r="V51" s="354"/>
      <c r="W51" s="363" t="s">
        <v>571</v>
      </c>
      <c r="X51" s="177" t="s">
        <v>571</v>
      </c>
      <c r="Y51" s="344"/>
      <c r="Z51" s="354"/>
      <c r="AA51" s="363" t="s">
        <v>570</v>
      </c>
      <c r="AB51" s="177" t="s">
        <v>570</v>
      </c>
      <c r="AC51" s="344"/>
      <c r="AD51" s="354"/>
      <c r="AE51" s="363" t="s">
        <v>574</v>
      </c>
      <c r="AF51" s="177" t="s">
        <v>574</v>
      </c>
      <c r="AG51" s="344"/>
      <c r="AH51" s="354"/>
    </row>
    <row r="52" spans="2:34" ht="30.75" thickBot="1" x14ac:dyDescent="0.3">
      <c r="B52" s="347"/>
      <c r="C52" s="364"/>
      <c r="D52" s="222" t="s">
        <v>589</v>
      </c>
      <c r="E52" s="345"/>
      <c r="F52" s="345"/>
      <c r="G52" s="364"/>
      <c r="H52" s="222" t="s">
        <v>590</v>
      </c>
      <c r="I52" s="345"/>
      <c r="J52" s="345"/>
      <c r="K52" s="364"/>
      <c r="L52" s="222" t="s">
        <v>592</v>
      </c>
      <c r="M52" s="345"/>
      <c r="N52" s="345"/>
      <c r="O52" s="364"/>
      <c r="P52" s="208" t="s">
        <v>593</v>
      </c>
      <c r="Q52" s="345"/>
      <c r="R52" s="345"/>
      <c r="S52" s="364"/>
      <c r="T52" s="208" t="s">
        <v>594</v>
      </c>
      <c r="U52" s="345"/>
      <c r="V52" s="345"/>
      <c r="W52" s="364"/>
      <c r="X52" s="222" t="s">
        <v>596</v>
      </c>
      <c r="Y52" s="345"/>
      <c r="Z52" s="345"/>
      <c r="AA52" s="364"/>
      <c r="AB52" s="208" t="s">
        <v>597</v>
      </c>
      <c r="AC52" s="345"/>
      <c r="AD52" s="345"/>
      <c r="AE52" s="364"/>
      <c r="AF52" s="208" t="s">
        <v>598</v>
      </c>
      <c r="AG52" s="345"/>
      <c r="AH52" s="345"/>
    </row>
    <row r="53" spans="2:34" ht="15.75" thickBot="1" x14ac:dyDescent="0.3">
      <c r="B53" s="44">
        <v>1</v>
      </c>
      <c r="C53" s="154">
        <v>1.66667E-2</v>
      </c>
      <c r="D53" s="58">
        <f>$B53/60</f>
        <v>1.6666666666666666E-2</v>
      </c>
      <c r="E53" s="54">
        <f>C53-D53</f>
        <v>3.3333333333135373E-8</v>
      </c>
      <c r="F53" s="54">
        <f>(100*E53)/D53</f>
        <v>1.9999999999881224E-4</v>
      </c>
      <c r="G53" s="154">
        <v>2.7777800000000001E-4</v>
      </c>
      <c r="H53" s="58">
        <f>$B53/3600</f>
        <v>2.7777777777777778E-4</v>
      </c>
      <c r="I53" s="54">
        <f>G53-H53</f>
        <v>2.2222222223174451E-10</v>
      </c>
      <c r="J53" s="54">
        <f>(100*I53)/H53</f>
        <v>8.0000000003428023E-5</v>
      </c>
      <c r="K53" s="154">
        <v>1E-3</v>
      </c>
      <c r="L53" s="58">
        <f>$B53/1000</f>
        <v>1E-3</v>
      </c>
      <c r="M53" s="54">
        <f>K53-L53</f>
        <v>0</v>
      </c>
      <c r="N53" s="54">
        <f>(100*M53)/L53</f>
        <v>0</v>
      </c>
      <c r="O53" s="154">
        <v>1.6666666666666701E-5</v>
      </c>
      <c r="P53" s="58">
        <f>$B53/1000/60</f>
        <v>1.6666666666666667E-5</v>
      </c>
      <c r="Q53" s="54">
        <f>O53-P53</f>
        <v>3.3881317890172014E-20</v>
      </c>
      <c r="R53" s="54">
        <f>(100*Q53)/P53</f>
        <v>2.0328790734103208E-13</v>
      </c>
      <c r="S53" s="154">
        <v>2.7777777777777802E-7</v>
      </c>
      <c r="T53" s="58">
        <f>$B53/1000/3600</f>
        <v>2.7777777777777776E-7</v>
      </c>
      <c r="U53" s="54">
        <f>S53-T53</f>
        <v>0</v>
      </c>
      <c r="V53" s="54">
        <f>(100*U53)/T53</f>
        <v>0</v>
      </c>
      <c r="W53" s="154">
        <v>3.5314699999999997E-2</v>
      </c>
      <c r="X53" s="58">
        <f>$B53/(POWER(0.3048, 3)*1000)</f>
        <v>3.5314666721488586E-2</v>
      </c>
      <c r="Y53" s="54">
        <f>W53-X53</f>
        <v>3.327851141182725E-8</v>
      </c>
      <c r="Z53" s="54">
        <f>(100*Y53)/X53</f>
        <v>9.4234250245883375E-5</v>
      </c>
      <c r="AA53" s="154">
        <v>5.8857799999999997E-4</v>
      </c>
      <c r="AB53" s="58">
        <f>$B53/(POWER(0.3048, 3)*1000)/60</f>
        <v>5.8857777869147638E-4</v>
      </c>
      <c r="AC53" s="54">
        <f>AA53-AB53</f>
        <v>2.2130852359025788E-10</v>
      </c>
      <c r="AD53" s="54">
        <f>(100*AC53)/AB53</f>
        <v>3.7600557072044078E-5</v>
      </c>
      <c r="AE53" s="154">
        <v>9.8096296448579406E-6</v>
      </c>
      <c r="AF53" s="58">
        <f>$B53/(POWER(0.3048, 3)*1000)/3600</f>
        <v>9.8096296448579406E-6</v>
      </c>
      <c r="AG53" s="54">
        <f>AE53-AF53</f>
        <v>0</v>
      </c>
      <c r="AH53" s="54">
        <f>(100*AG53)/AF53</f>
        <v>0</v>
      </c>
    </row>
    <row r="54" spans="2:34" ht="15.75" thickBot="1" x14ac:dyDescent="0.3">
      <c r="B54" s="47">
        <v>987</v>
      </c>
      <c r="C54" s="155">
        <v>16.45</v>
      </c>
      <c r="D54" s="58">
        <f t="shared" ref="D54:D58" si="96">$B54/60</f>
        <v>16.45</v>
      </c>
      <c r="E54" s="52">
        <f t="shared" ref="E54:E58" si="97">C54-D54</f>
        <v>0</v>
      </c>
      <c r="F54" s="52">
        <f t="shared" ref="F54:F58" si="98">(100*E54)/D54</f>
        <v>0</v>
      </c>
      <c r="G54" s="155">
        <v>0.27416699999999999</v>
      </c>
      <c r="H54" s="58">
        <f t="shared" ref="H54:H58" si="99">$B54/3600</f>
        <v>0.27416666666666667</v>
      </c>
      <c r="I54" s="52">
        <f t="shared" ref="I54:I58" si="100">G54-H54</f>
        <v>3.3333333332441484E-7</v>
      </c>
      <c r="J54" s="52">
        <f t="shared" ref="J54:J58" si="101">(100*I54)/H54</f>
        <v>1.2158054710920906E-4</v>
      </c>
      <c r="K54" s="155">
        <v>0.98699999999999999</v>
      </c>
      <c r="L54" s="58">
        <f t="shared" ref="L54:L58" si="102">$B54/1000</f>
        <v>0.98699999999999999</v>
      </c>
      <c r="M54" s="52">
        <f t="shared" ref="M54:M58" si="103">K54-L54</f>
        <v>0</v>
      </c>
      <c r="N54" s="52">
        <f t="shared" ref="N54:N58" si="104">(100*M54)/L54</f>
        <v>0</v>
      </c>
      <c r="O54" s="155">
        <v>1.6449999999999999E-2</v>
      </c>
      <c r="P54" s="58">
        <f t="shared" ref="P54:P58" si="105">$B54/1000/60</f>
        <v>1.6449999999999999E-2</v>
      </c>
      <c r="Q54" s="52">
        <f t="shared" ref="Q54:Q58" si="106">O54-P54</f>
        <v>0</v>
      </c>
      <c r="R54" s="52">
        <f t="shared" ref="R54:R58" si="107">(100*Q54)/P54</f>
        <v>0</v>
      </c>
      <c r="S54" s="155">
        <v>2.7416700000000002E-4</v>
      </c>
      <c r="T54" s="58">
        <f t="shared" ref="T54:T58" si="108">$B54/1000/3600</f>
        <v>2.7416666666666664E-4</v>
      </c>
      <c r="U54" s="52">
        <f t="shared" ref="U54:U58" si="109">S54-T54</f>
        <v>3.3333333337472182E-10</v>
      </c>
      <c r="V54" s="52">
        <f t="shared" ref="V54:V58" si="110">(100*U54)/T54</f>
        <v>1.2158054712755811E-4</v>
      </c>
      <c r="W54" s="155">
        <v>34.855600000000003</v>
      </c>
      <c r="X54" s="58">
        <f t="shared" ref="X54:X58" si="111">$B54/(POWER(0.3048, 3)*1000)</f>
        <v>34.855576054109235</v>
      </c>
      <c r="Y54" s="52">
        <f t="shared" ref="Y54:Y58" si="112">W54-X54</f>
        <v>2.3945890767151923E-5</v>
      </c>
      <c r="Z54" s="52">
        <f t="shared" ref="Z54:Z58" si="113">(100*Y54)/X54</f>
        <v>6.8700315639537012E-5</v>
      </c>
      <c r="AA54" s="155">
        <v>0.58092600000000005</v>
      </c>
      <c r="AB54" s="58">
        <f t="shared" ref="AB54:AB58" si="114">$B54/(POWER(0.3048, 3)*1000)/60</f>
        <v>0.58092626756848731</v>
      </c>
      <c r="AC54" s="52">
        <f t="shared" ref="AC54:AC58" si="115">AA54-AB54</f>
        <v>-2.6756848725550952E-7</v>
      </c>
      <c r="AD54" s="52">
        <f t="shared" ref="AD54:AD58" si="116">(100*AC54)/AB54</f>
        <v>-4.6058941072752404E-5</v>
      </c>
      <c r="AE54" s="155">
        <v>9.6821000000000008E-3</v>
      </c>
      <c r="AF54" s="58">
        <f t="shared" ref="AF54:AF58" si="117">$B54/(POWER(0.3048, 3)*1000)/3600</f>
        <v>9.6821044594747885E-3</v>
      </c>
      <c r="AG54" s="52">
        <f t="shared" ref="AG54:AG58" si="118">AE54-AF54</f>
        <v>-4.4594747877074736E-9</v>
      </c>
      <c r="AH54" s="52">
        <f t="shared" ref="AH54:AH58" si="119">(100*AG54)/AF54</f>
        <v>-4.6058941073946856E-5</v>
      </c>
    </row>
    <row r="55" spans="2:34" ht="15.75" thickBot="1" x14ac:dyDescent="0.3">
      <c r="B55" s="47">
        <v>5987</v>
      </c>
      <c r="C55" s="155">
        <v>99.783299999999997</v>
      </c>
      <c r="D55" s="58">
        <f t="shared" si="96"/>
        <v>99.783333333333331</v>
      </c>
      <c r="E55" s="52">
        <f t="shared" si="97"/>
        <v>-3.3333333334439885E-5</v>
      </c>
      <c r="F55" s="52">
        <f t="shared" si="98"/>
        <v>-3.340571237792539E-5</v>
      </c>
      <c r="G55" s="155">
        <v>1.66306</v>
      </c>
      <c r="H55" s="58">
        <f t="shared" si="99"/>
        <v>1.6630555555555555</v>
      </c>
      <c r="I55" s="52">
        <f t="shared" si="100"/>
        <v>4.4444444444735609E-6</v>
      </c>
      <c r="J55" s="52">
        <f t="shared" si="101"/>
        <v>2.672456990162823E-4</v>
      </c>
      <c r="K55" s="155">
        <v>5.9870000000000001</v>
      </c>
      <c r="L55" s="58">
        <f t="shared" si="102"/>
        <v>5.9870000000000001</v>
      </c>
      <c r="M55" s="52">
        <f t="shared" si="103"/>
        <v>0</v>
      </c>
      <c r="N55" s="52">
        <f t="shared" si="104"/>
        <v>0</v>
      </c>
      <c r="O55" s="155">
        <v>9.9783300000000005E-2</v>
      </c>
      <c r="P55" s="58">
        <f t="shared" si="105"/>
        <v>9.9783333333333335E-2</v>
      </c>
      <c r="Q55" s="52">
        <f t="shared" si="106"/>
        <v>-3.3333333329665926E-8</v>
      </c>
      <c r="R55" s="52">
        <f t="shared" si="107"/>
        <v>-3.3405712373141063E-5</v>
      </c>
      <c r="S55" s="155">
        <v>1.6630600000000001E-3</v>
      </c>
      <c r="T55" s="58">
        <f t="shared" si="108"/>
        <v>1.6630555555555556E-3</v>
      </c>
      <c r="U55" s="52">
        <f t="shared" si="109"/>
        <v>4.4444444444180498E-9</v>
      </c>
      <c r="V55" s="52">
        <f t="shared" si="110"/>
        <v>2.6724569901294436E-4</v>
      </c>
      <c r="W55" s="155">
        <v>211.429</v>
      </c>
      <c r="X55" s="58">
        <f t="shared" si="111"/>
        <v>211.42890966155215</v>
      </c>
      <c r="Y55" s="52">
        <f t="shared" si="112"/>
        <v>9.0338447847670977E-5</v>
      </c>
      <c r="Z55" s="52">
        <f t="shared" si="113"/>
        <v>4.2727575898812294E-5</v>
      </c>
      <c r="AA55" s="155">
        <v>3.5238200000000002</v>
      </c>
      <c r="AB55" s="58">
        <f t="shared" si="114"/>
        <v>3.5238151610258694</v>
      </c>
      <c r="AC55" s="52">
        <f t="shared" si="115"/>
        <v>4.8389741307275358E-6</v>
      </c>
      <c r="AD55" s="52">
        <f t="shared" si="116"/>
        <v>1.3732201916399019E-4</v>
      </c>
      <c r="AE55" s="155">
        <v>5.8730299999999999E-2</v>
      </c>
      <c r="AF55" s="58">
        <f t="shared" si="117"/>
        <v>5.8730252683764486E-2</v>
      </c>
      <c r="AG55" s="52">
        <f t="shared" si="118"/>
        <v>4.7316235513017446E-8</v>
      </c>
      <c r="AH55" s="52">
        <f t="shared" si="119"/>
        <v>8.0565353205261532E-5</v>
      </c>
    </row>
    <row r="56" spans="2:34" ht="15.75" thickBot="1" x14ac:dyDescent="0.3">
      <c r="B56" s="47">
        <v>4455667788</v>
      </c>
      <c r="C56" s="159">
        <v>74261130</v>
      </c>
      <c r="D56" s="58">
        <f t="shared" si="96"/>
        <v>74261129.799999997</v>
      </c>
      <c r="E56" s="52">
        <f t="shared" si="97"/>
        <v>0.20000000298023224</v>
      </c>
      <c r="F56" s="52">
        <f t="shared" si="98"/>
        <v>2.6931990331802392E-7</v>
      </c>
      <c r="G56" s="159">
        <v>1237685</v>
      </c>
      <c r="H56" s="58">
        <f t="shared" si="99"/>
        <v>1237685.4966666666</v>
      </c>
      <c r="I56" s="52">
        <f t="shared" si="100"/>
        <v>-0.49666666658595204</v>
      </c>
      <c r="J56" s="52">
        <f t="shared" si="101"/>
        <v>-4.0128664989900445E-5</v>
      </c>
      <c r="K56" s="159">
        <v>4455668</v>
      </c>
      <c r="L56" s="58">
        <f t="shared" si="102"/>
        <v>4455667.7879999997</v>
      </c>
      <c r="M56" s="52">
        <f t="shared" si="103"/>
        <v>0.21200000029057264</v>
      </c>
      <c r="N56" s="52">
        <f t="shared" si="104"/>
        <v>4.7579848942403393E-6</v>
      </c>
      <c r="O56" s="159">
        <v>74261.100000000006</v>
      </c>
      <c r="P56" s="58">
        <f t="shared" si="105"/>
        <v>74261.129799999995</v>
      </c>
      <c r="Q56" s="52">
        <f t="shared" si="106"/>
        <v>-2.9799999989336357E-2</v>
      </c>
      <c r="R56" s="52">
        <f t="shared" si="107"/>
        <v>-4.0128664982062199E-5</v>
      </c>
      <c r="S56" s="159">
        <v>1237.69</v>
      </c>
      <c r="T56" s="58">
        <f t="shared" si="108"/>
        <v>1237.6854966666665</v>
      </c>
      <c r="U56" s="52">
        <f t="shared" si="109"/>
        <v>4.5033333335595671E-3</v>
      </c>
      <c r="V56" s="52">
        <f t="shared" si="110"/>
        <v>3.6385118397912398E-4</v>
      </c>
      <c r="W56" s="159">
        <v>157350423</v>
      </c>
      <c r="X56" s="58">
        <f t="shared" si="111"/>
        <v>157350422.95489225</v>
      </c>
      <c r="Y56" s="52">
        <f t="shared" si="112"/>
        <v>4.5107752084732056E-2</v>
      </c>
      <c r="Z56" s="52">
        <f t="shared" si="113"/>
        <v>2.8667067579261053E-8</v>
      </c>
      <c r="AA56" s="159">
        <v>2622507</v>
      </c>
      <c r="AB56" s="58">
        <f t="shared" si="114"/>
        <v>2622507.0492482041</v>
      </c>
      <c r="AC56" s="52">
        <f t="shared" si="115"/>
        <v>-4.9248204100877047E-2</v>
      </c>
      <c r="AD56" s="52">
        <f t="shared" si="116"/>
        <v>-1.8779054994340269E-6</v>
      </c>
      <c r="AE56" s="159">
        <v>43708.5</v>
      </c>
      <c r="AF56" s="58">
        <f t="shared" si="117"/>
        <v>43708.450820803402</v>
      </c>
      <c r="AG56" s="52">
        <f t="shared" si="118"/>
        <v>4.9179196597833652E-2</v>
      </c>
      <c r="AH56" s="52">
        <f t="shared" si="119"/>
        <v>1.1251644859127883E-4</v>
      </c>
    </row>
    <row r="57" spans="2:34" ht="15.75" thickBot="1" x14ac:dyDescent="0.3">
      <c r="B57" s="47">
        <v>-654</v>
      </c>
      <c r="C57" s="155">
        <v>-10.9</v>
      </c>
      <c r="D57" s="58">
        <f t="shared" si="96"/>
        <v>-10.9</v>
      </c>
      <c r="E57" s="52">
        <f t="shared" si="97"/>
        <v>0</v>
      </c>
      <c r="F57" s="52">
        <f t="shared" si="98"/>
        <v>0</v>
      </c>
      <c r="G57" s="155">
        <v>-0.181667</v>
      </c>
      <c r="H57" s="58">
        <f t="shared" si="99"/>
        <v>-0.18166666666666667</v>
      </c>
      <c r="I57" s="52">
        <f t="shared" si="100"/>
        <v>-3.3333333332441484E-7</v>
      </c>
      <c r="J57" s="52">
        <f t="shared" si="101"/>
        <v>1.8348623852720082E-4</v>
      </c>
      <c r="K57" s="155">
        <v>-0.65400000000000003</v>
      </c>
      <c r="L57" s="58">
        <f t="shared" si="102"/>
        <v>-0.65400000000000003</v>
      </c>
      <c r="M57" s="52">
        <f t="shared" si="103"/>
        <v>0</v>
      </c>
      <c r="N57" s="52">
        <f t="shared" si="104"/>
        <v>0</v>
      </c>
      <c r="O57" s="155">
        <v>-1.09E-2</v>
      </c>
      <c r="P57" s="58">
        <f t="shared" si="105"/>
        <v>-1.09E-2</v>
      </c>
      <c r="Q57" s="52">
        <f t="shared" si="106"/>
        <v>0</v>
      </c>
      <c r="R57" s="52">
        <f t="shared" si="107"/>
        <v>0</v>
      </c>
      <c r="S57" s="155">
        <v>-1.8166699999999999E-4</v>
      </c>
      <c r="T57" s="58">
        <f t="shared" si="108"/>
        <v>-1.8166666666666667E-4</v>
      </c>
      <c r="U57" s="52">
        <f t="shared" si="109"/>
        <v>-3.3333333332051171E-10</v>
      </c>
      <c r="V57" s="52">
        <f t="shared" si="110"/>
        <v>1.8348623852505231E-4</v>
      </c>
      <c r="W57" s="155">
        <v>-23.095800000000001</v>
      </c>
      <c r="X57" s="58">
        <f t="shared" si="111"/>
        <v>-23.095792035853535</v>
      </c>
      <c r="Y57" s="52">
        <f t="shared" si="112"/>
        <v>-7.9641464658664063E-6</v>
      </c>
      <c r="Z57" s="52">
        <f t="shared" si="113"/>
        <v>3.4483106071889609E-5</v>
      </c>
      <c r="AA57" s="155">
        <v>-0.38492999999999999</v>
      </c>
      <c r="AB57" s="58">
        <f t="shared" si="114"/>
        <v>-0.38492986726422557</v>
      </c>
      <c r="AC57" s="52">
        <f t="shared" si="115"/>
        <v>-1.3273577442740603E-7</v>
      </c>
      <c r="AD57" s="52">
        <f t="shared" si="116"/>
        <v>3.4483106070928199E-5</v>
      </c>
      <c r="AE57" s="155">
        <v>-6.4155000000000002E-3</v>
      </c>
      <c r="AF57" s="58">
        <f t="shared" si="117"/>
        <v>-6.4154977877370926E-3</v>
      </c>
      <c r="AG57" s="52">
        <f t="shared" si="118"/>
        <v>-2.2122629075860267E-9</v>
      </c>
      <c r="AH57" s="52">
        <f t="shared" si="119"/>
        <v>3.4483106078138754E-5</v>
      </c>
    </row>
    <row r="58" spans="2:34" ht="15.75" thickBot="1" x14ac:dyDescent="0.3">
      <c r="B58" s="74">
        <v>0.65469999999999995</v>
      </c>
      <c r="C58" s="158">
        <v>1.09117E-2</v>
      </c>
      <c r="D58" s="58">
        <f t="shared" si="96"/>
        <v>1.0911666666666665E-2</v>
      </c>
      <c r="E58" s="57">
        <f t="shared" si="97"/>
        <v>3.3333333334870097E-8</v>
      </c>
      <c r="F58" s="57">
        <f t="shared" si="98"/>
        <v>3.0548342753814053E-4</v>
      </c>
      <c r="G58" s="158">
        <v>1.8186100000000001E-4</v>
      </c>
      <c r="H58" s="58">
        <f t="shared" si="99"/>
        <v>1.818611111111111E-4</v>
      </c>
      <c r="I58" s="57">
        <f t="shared" si="100"/>
        <v>-1.111111110887672E-10</v>
      </c>
      <c r="J58" s="57">
        <f t="shared" si="101"/>
        <v>-6.1096685492525115E-5</v>
      </c>
      <c r="K58" s="158">
        <v>6.5470000000000003E-4</v>
      </c>
      <c r="L58" s="58">
        <f t="shared" si="102"/>
        <v>6.5469999999999992E-4</v>
      </c>
      <c r="M58" s="57">
        <f t="shared" si="103"/>
        <v>0</v>
      </c>
      <c r="N58" s="57">
        <f t="shared" si="104"/>
        <v>0</v>
      </c>
      <c r="O58" s="158">
        <v>1.09116666666667E-5</v>
      </c>
      <c r="P58" s="58">
        <f t="shared" si="105"/>
        <v>1.0911666666666666E-5</v>
      </c>
      <c r="Q58" s="57">
        <f t="shared" si="106"/>
        <v>3.3881317890172014E-20</v>
      </c>
      <c r="R58" s="57">
        <f t="shared" si="107"/>
        <v>3.1050543354365677E-13</v>
      </c>
      <c r="S58" s="158">
        <v>1.81861111111111E-7</v>
      </c>
      <c r="T58" s="58">
        <f t="shared" si="108"/>
        <v>1.8186111111111108E-7</v>
      </c>
      <c r="U58" s="57">
        <f t="shared" si="109"/>
        <v>0</v>
      </c>
      <c r="V58" s="57">
        <f t="shared" si="110"/>
        <v>0</v>
      </c>
      <c r="W58" s="158">
        <v>2.3120499999999999E-2</v>
      </c>
      <c r="X58" s="58">
        <f t="shared" si="111"/>
        <v>2.3120512302558575E-2</v>
      </c>
      <c r="Y58" s="57">
        <f t="shared" si="112"/>
        <v>-1.2302558576038347E-8</v>
      </c>
      <c r="Z58" s="57">
        <f t="shared" si="113"/>
        <v>-5.3210579484767362E-5</v>
      </c>
      <c r="AA58" s="158">
        <v>3.85342E-4</v>
      </c>
      <c r="AB58" s="58">
        <f t="shared" si="114"/>
        <v>3.8534187170930959E-4</v>
      </c>
      <c r="AC58" s="57">
        <f t="shared" si="115"/>
        <v>1.282906904082233E-10</v>
      </c>
      <c r="AD58" s="57">
        <f t="shared" si="116"/>
        <v>3.3292694053503213E-5</v>
      </c>
      <c r="AE58" s="158">
        <v>6.4223645284884896E-6</v>
      </c>
      <c r="AF58" s="58">
        <f t="shared" si="117"/>
        <v>6.422364528488493E-6</v>
      </c>
      <c r="AG58" s="57">
        <f t="shared" si="118"/>
        <v>0</v>
      </c>
      <c r="AH58" s="57">
        <f t="shared" si="119"/>
        <v>0</v>
      </c>
    </row>
    <row r="59" spans="2:34" ht="15.75" thickBot="1" x14ac:dyDescent="0.3">
      <c r="C59" s="165"/>
      <c r="D59" s="165"/>
      <c r="E59" s="180"/>
      <c r="F59" s="180"/>
      <c r="G59" s="181"/>
      <c r="H59" s="165"/>
      <c r="I59" s="164"/>
      <c r="J59" s="164"/>
      <c r="K59" s="165"/>
      <c r="L59" s="165"/>
      <c r="M59" s="164"/>
      <c r="N59" s="164"/>
      <c r="O59" s="165"/>
      <c r="P59" s="165"/>
      <c r="Q59" s="164"/>
      <c r="R59" s="164"/>
      <c r="S59" s="165"/>
      <c r="T59" s="165"/>
      <c r="U59" s="164"/>
      <c r="V59" s="164"/>
      <c r="W59" s="165"/>
      <c r="X59" s="165"/>
      <c r="Y59" s="164"/>
      <c r="Z59" s="164"/>
      <c r="AA59" s="165"/>
      <c r="AB59" s="165"/>
      <c r="AC59" s="164"/>
      <c r="AD59" s="164"/>
      <c r="AE59" s="165"/>
      <c r="AF59" s="165"/>
      <c r="AG59" s="164"/>
      <c r="AH59" s="164"/>
    </row>
    <row r="60" spans="2:34" x14ac:dyDescent="0.25">
      <c r="B60" s="341" t="s">
        <v>10</v>
      </c>
      <c r="C60" s="166" t="s">
        <v>14</v>
      </c>
      <c r="D60" s="168" t="s">
        <v>14</v>
      </c>
      <c r="E60" s="343" t="s">
        <v>354</v>
      </c>
      <c r="F60" s="352" t="s">
        <v>355</v>
      </c>
      <c r="G60" s="166" t="s">
        <v>14</v>
      </c>
      <c r="H60" s="168" t="s">
        <v>14</v>
      </c>
      <c r="I60" s="343" t="s">
        <v>354</v>
      </c>
      <c r="J60" s="352" t="s">
        <v>355</v>
      </c>
      <c r="K60" s="166" t="s">
        <v>14</v>
      </c>
      <c r="L60" s="168" t="s">
        <v>14</v>
      </c>
      <c r="M60" s="343" t="s">
        <v>354</v>
      </c>
      <c r="N60" s="352" t="s">
        <v>355</v>
      </c>
      <c r="O60" s="166" t="s">
        <v>14</v>
      </c>
      <c r="P60" s="168" t="s">
        <v>14</v>
      </c>
      <c r="Q60" s="343" t="s">
        <v>354</v>
      </c>
      <c r="R60" s="352" t="s">
        <v>355</v>
      </c>
      <c r="S60" s="166" t="s">
        <v>14</v>
      </c>
      <c r="T60" s="168" t="s">
        <v>14</v>
      </c>
      <c r="U60" s="343" t="s">
        <v>354</v>
      </c>
      <c r="V60" s="352" t="s">
        <v>355</v>
      </c>
      <c r="W60" s="166" t="s">
        <v>14</v>
      </c>
      <c r="X60" s="168" t="s">
        <v>14</v>
      </c>
      <c r="Y60" s="343" t="s">
        <v>354</v>
      </c>
      <c r="Z60" s="352" t="s">
        <v>355</v>
      </c>
      <c r="AA60" s="166" t="s">
        <v>14</v>
      </c>
      <c r="AB60" s="168" t="s">
        <v>14</v>
      </c>
      <c r="AC60" s="343" t="s">
        <v>354</v>
      </c>
      <c r="AD60" s="352" t="s">
        <v>355</v>
      </c>
      <c r="AE60" s="166" t="s">
        <v>14</v>
      </c>
      <c r="AF60" s="168" t="s">
        <v>14</v>
      </c>
      <c r="AG60" s="343" t="s">
        <v>354</v>
      </c>
      <c r="AH60" s="352" t="s">
        <v>355</v>
      </c>
    </row>
    <row r="61" spans="2:34" ht="15.75" thickBot="1" x14ac:dyDescent="0.3">
      <c r="B61" s="342"/>
      <c r="C61" s="167" t="s">
        <v>290</v>
      </c>
      <c r="D61" s="169" t="s">
        <v>291</v>
      </c>
      <c r="E61" s="344"/>
      <c r="F61" s="353"/>
      <c r="G61" s="167" t="s">
        <v>290</v>
      </c>
      <c r="H61" s="169" t="s">
        <v>291</v>
      </c>
      <c r="I61" s="344"/>
      <c r="J61" s="353"/>
      <c r="K61" s="167" t="s">
        <v>290</v>
      </c>
      <c r="L61" s="169" t="s">
        <v>291</v>
      </c>
      <c r="M61" s="344"/>
      <c r="N61" s="353"/>
      <c r="O61" s="167" t="s">
        <v>290</v>
      </c>
      <c r="P61" s="169" t="s">
        <v>291</v>
      </c>
      <c r="Q61" s="344"/>
      <c r="R61" s="353"/>
      <c r="S61" s="167" t="s">
        <v>290</v>
      </c>
      <c r="T61" s="169" t="s">
        <v>291</v>
      </c>
      <c r="U61" s="344"/>
      <c r="V61" s="353"/>
      <c r="W61" s="167" t="s">
        <v>290</v>
      </c>
      <c r="X61" s="169" t="s">
        <v>291</v>
      </c>
      <c r="Y61" s="344"/>
      <c r="Z61" s="353"/>
      <c r="AA61" s="167" t="s">
        <v>290</v>
      </c>
      <c r="AB61" s="169" t="s">
        <v>291</v>
      </c>
      <c r="AC61" s="344"/>
      <c r="AD61" s="353"/>
      <c r="AE61" s="167" t="s">
        <v>290</v>
      </c>
      <c r="AF61" s="169" t="s">
        <v>291</v>
      </c>
      <c r="AG61" s="344"/>
      <c r="AH61" s="353"/>
    </row>
    <row r="62" spans="2:34" ht="15.75" thickBot="1" x14ac:dyDescent="0.3">
      <c r="B62" s="346" t="s">
        <v>566</v>
      </c>
      <c r="C62" s="363" t="s">
        <v>564</v>
      </c>
      <c r="D62" s="177" t="s">
        <v>564</v>
      </c>
      <c r="E62" s="344"/>
      <c r="F62" s="354"/>
      <c r="G62" s="363" t="s">
        <v>71</v>
      </c>
      <c r="H62" s="177" t="s">
        <v>71</v>
      </c>
      <c r="I62" s="344"/>
      <c r="J62" s="354"/>
      <c r="K62" s="363" t="s">
        <v>70</v>
      </c>
      <c r="L62" s="177" t="s">
        <v>70</v>
      </c>
      <c r="M62" s="344"/>
      <c r="N62" s="354"/>
      <c r="O62" s="363" t="s">
        <v>72</v>
      </c>
      <c r="P62" s="177" t="s">
        <v>72</v>
      </c>
      <c r="Q62" s="344"/>
      <c r="R62" s="354"/>
      <c r="S62" s="363" t="s">
        <v>69</v>
      </c>
      <c r="T62" s="177" t="s">
        <v>69</v>
      </c>
      <c r="U62" s="344"/>
      <c r="V62" s="354"/>
      <c r="W62" s="363" t="s">
        <v>571</v>
      </c>
      <c r="X62" s="177" t="s">
        <v>571</v>
      </c>
      <c r="Y62" s="344"/>
      <c r="Z62" s="354"/>
      <c r="AA62" s="363" t="s">
        <v>570</v>
      </c>
      <c r="AB62" s="177" t="s">
        <v>570</v>
      </c>
      <c r="AC62" s="344"/>
      <c r="AD62" s="354"/>
      <c r="AE62" s="363" t="s">
        <v>574</v>
      </c>
      <c r="AF62" s="177" t="s">
        <v>574</v>
      </c>
      <c r="AG62" s="344"/>
      <c r="AH62" s="354"/>
    </row>
    <row r="63" spans="2:34" ht="30.75" thickBot="1" x14ac:dyDescent="0.3">
      <c r="B63" s="347"/>
      <c r="C63" s="364"/>
      <c r="D63" s="222" t="s">
        <v>605</v>
      </c>
      <c r="E63" s="345"/>
      <c r="F63" s="345"/>
      <c r="G63" s="364"/>
      <c r="H63" s="222" t="s">
        <v>591</v>
      </c>
      <c r="I63" s="345"/>
      <c r="J63" s="345"/>
      <c r="K63" s="364"/>
      <c r="L63" s="208" t="s">
        <v>599</v>
      </c>
      <c r="M63" s="345"/>
      <c r="N63" s="345"/>
      <c r="O63" s="364"/>
      <c r="P63" s="222" t="s">
        <v>600</v>
      </c>
      <c r="Q63" s="345"/>
      <c r="R63" s="345"/>
      <c r="S63" s="364"/>
      <c r="T63" s="208" t="s">
        <v>601</v>
      </c>
      <c r="U63" s="345"/>
      <c r="V63" s="345"/>
      <c r="W63" s="364"/>
      <c r="X63" s="208" t="s">
        <v>602</v>
      </c>
      <c r="Y63" s="345"/>
      <c r="Z63" s="345"/>
      <c r="AA63" s="364"/>
      <c r="AB63" s="222" t="s">
        <v>603</v>
      </c>
      <c r="AC63" s="345"/>
      <c r="AD63" s="345"/>
      <c r="AE63" s="364"/>
      <c r="AF63" s="208" t="s">
        <v>604</v>
      </c>
      <c r="AG63" s="345"/>
      <c r="AH63" s="345"/>
    </row>
    <row r="64" spans="2:34" ht="15.75" thickBot="1" x14ac:dyDescent="0.3">
      <c r="B64" s="44">
        <v>1</v>
      </c>
      <c r="C64" s="154">
        <v>60</v>
      </c>
      <c r="D64" s="58">
        <f>$B64*60</f>
        <v>60</v>
      </c>
      <c r="E64" s="54">
        <f>C64-D64</f>
        <v>0</v>
      </c>
      <c r="F64" s="54">
        <f>(100*E64)/D64</f>
        <v>0</v>
      </c>
      <c r="G64" s="154">
        <v>1.66667E-2</v>
      </c>
      <c r="H64" s="58">
        <f>$B64/60</f>
        <v>1.6666666666666666E-2</v>
      </c>
      <c r="I64" s="54">
        <f>G64-H64</f>
        <v>3.3333333333135373E-8</v>
      </c>
      <c r="J64" s="54">
        <f>(100*I64)/H64</f>
        <v>1.9999999999881224E-4</v>
      </c>
      <c r="K64" s="154">
        <v>0.06</v>
      </c>
      <c r="L64" s="58">
        <f>$B64/1000*60</f>
        <v>0.06</v>
      </c>
      <c r="M64" s="54">
        <f>K64-L64</f>
        <v>0</v>
      </c>
      <c r="N64" s="54">
        <f>(100*M64)/L64</f>
        <v>0</v>
      </c>
      <c r="O64" s="154">
        <v>1E-3</v>
      </c>
      <c r="P64" s="58">
        <f>$B64/1000</f>
        <v>1E-3</v>
      </c>
      <c r="Q64" s="54">
        <f>O64-P64</f>
        <v>0</v>
      </c>
      <c r="R64" s="54">
        <f>(100*Q64)/P64</f>
        <v>0</v>
      </c>
      <c r="S64" s="154">
        <v>1.6666666666666701E-5</v>
      </c>
      <c r="T64" s="58">
        <f>$B64/1000/60</f>
        <v>1.6666666666666667E-5</v>
      </c>
      <c r="U64" s="54">
        <f>S64-T64</f>
        <v>3.3881317890172014E-20</v>
      </c>
      <c r="V64" s="54">
        <f>(100*U64)/T64</f>
        <v>2.0328790734103208E-13</v>
      </c>
      <c r="W64" s="154">
        <v>2.1188799999999999</v>
      </c>
      <c r="X64" s="58">
        <f>$B64/(POWER(0.3048, 3)*1000)*60</f>
        <v>2.1188800032893154</v>
      </c>
      <c r="Y64" s="54">
        <f>W64-X64</f>
        <v>-3.2893154866542318E-9</v>
      </c>
      <c r="Z64" s="54">
        <f>(100*Y64)/X64</f>
        <v>-1.5523840338046286E-7</v>
      </c>
      <c r="AA64" s="154">
        <v>3.5314699999999997E-2</v>
      </c>
      <c r="AB64" s="58">
        <f>$B64/(POWER(0.3048, 3)*1000)</f>
        <v>3.5314666721488586E-2</v>
      </c>
      <c r="AC64" s="54">
        <f>AA64-AB64</f>
        <v>3.327851141182725E-8</v>
      </c>
      <c r="AD64" s="54">
        <f>(100*AC64)/AB64</f>
        <v>9.4234250245883375E-5</v>
      </c>
      <c r="AE64" s="154">
        <v>5.8857799999999997E-4</v>
      </c>
      <c r="AF64" s="58">
        <f>$B64/(POWER(0.3048, 3)*1000)/60</f>
        <v>5.8857777869147638E-4</v>
      </c>
      <c r="AG64" s="54">
        <f>AE64-AF64</f>
        <v>2.2130852359025788E-10</v>
      </c>
      <c r="AH64" s="54">
        <f>(100*AG64)/AF64</f>
        <v>3.7600557072044078E-5</v>
      </c>
    </row>
    <row r="65" spans="2:34" ht="15.75" thickBot="1" x14ac:dyDescent="0.3">
      <c r="B65" s="47">
        <v>987</v>
      </c>
      <c r="C65" s="155">
        <v>59220</v>
      </c>
      <c r="D65" s="58">
        <f t="shared" ref="D65:D69" si="120">$B65*60</f>
        <v>59220</v>
      </c>
      <c r="E65" s="52">
        <f t="shared" ref="E65:E69" si="121">C65-D65</f>
        <v>0</v>
      </c>
      <c r="F65" s="52">
        <f t="shared" ref="F65:F69" si="122">(100*E65)/D65</f>
        <v>0</v>
      </c>
      <c r="G65" s="155">
        <v>16.45</v>
      </c>
      <c r="H65" s="58">
        <f t="shared" ref="H65:H69" si="123">$B65/60</f>
        <v>16.45</v>
      </c>
      <c r="I65" s="52">
        <f t="shared" ref="I65:I69" si="124">G65-H65</f>
        <v>0</v>
      </c>
      <c r="J65" s="52">
        <f t="shared" ref="J65:J69" si="125">(100*I65)/H65</f>
        <v>0</v>
      </c>
      <c r="K65" s="155">
        <v>59.22</v>
      </c>
      <c r="L65" s="58">
        <f t="shared" ref="L65:L69" si="126">$B65/1000*60</f>
        <v>59.22</v>
      </c>
      <c r="M65" s="52">
        <f t="shared" ref="M65:M69" si="127">K65-L65</f>
        <v>0</v>
      </c>
      <c r="N65" s="52">
        <f t="shared" ref="N65:N69" si="128">(100*M65)/L65</f>
        <v>0</v>
      </c>
      <c r="O65" s="155">
        <v>0.98699999999999999</v>
      </c>
      <c r="P65" s="58">
        <f t="shared" ref="P65:P69" si="129">$B65/1000</f>
        <v>0.98699999999999999</v>
      </c>
      <c r="Q65" s="52">
        <f t="shared" ref="Q65:Q69" si="130">O65-P65</f>
        <v>0</v>
      </c>
      <c r="R65" s="52">
        <f t="shared" ref="R65:R69" si="131">(100*Q65)/P65</f>
        <v>0</v>
      </c>
      <c r="S65" s="155">
        <v>1.6449999999999999E-2</v>
      </c>
      <c r="T65" s="58">
        <f t="shared" ref="T65:T69" si="132">$B65/1000/60</f>
        <v>1.6449999999999999E-2</v>
      </c>
      <c r="U65" s="52">
        <f t="shared" ref="U65:U69" si="133">S65-T65</f>
        <v>0</v>
      </c>
      <c r="V65" s="52">
        <f t="shared" ref="V65:V69" si="134">(100*U65)/T65</f>
        <v>0</v>
      </c>
      <c r="W65" s="155">
        <v>2091.33</v>
      </c>
      <c r="X65" s="58">
        <f t="shared" ref="X65:X69" si="135">$B65/(POWER(0.3048, 3)*1000)*60</f>
        <v>2091.3345632465544</v>
      </c>
      <c r="Y65" s="52">
        <f t="shared" ref="Y65:Y69" si="136">W65-X65</f>
        <v>-4.5632465544258594E-3</v>
      </c>
      <c r="Z65" s="52">
        <f t="shared" ref="Z65:Z69" si="137">(100*Y65)/X65</f>
        <v>-2.1819782614513616E-4</v>
      </c>
      <c r="AA65" s="155">
        <v>34.855600000000003</v>
      </c>
      <c r="AB65" s="58">
        <f t="shared" ref="AB65:AB69" si="138">$B65/(POWER(0.3048, 3)*1000)</f>
        <v>34.855576054109235</v>
      </c>
      <c r="AC65" s="52">
        <f t="shared" ref="AC65:AC69" si="139">AA65-AB65</f>
        <v>2.3945890767151923E-5</v>
      </c>
      <c r="AD65" s="52">
        <f t="shared" ref="AD65:AD69" si="140">(100*AC65)/AB65</f>
        <v>6.8700315639537012E-5</v>
      </c>
      <c r="AE65" s="155">
        <v>0.58092600000000005</v>
      </c>
      <c r="AF65" s="58">
        <f t="shared" ref="AF65:AF69" si="141">$B65/(POWER(0.3048, 3)*1000)/60</f>
        <v>0.58092626756848731</v>
      </c>
      <c r="AG65" s="52">
        <f t="shared" ref="AG65:AG69" si="142">AE65-AF65</f>
        <v>-2.6756848725550952E-7</v>
      </c>
      <c r="AH65" s="52">
        <f t="shared" ref="AH65:AH69" si="143">(100*AG65)/AF65</f>
        <v>-4.6058941072752404E-5</v>
      </c>
    </row>
    <row r="66" spans="2:34" ht="15.75" thickBot="1" x14ac:dyDescent="0.3">
      <c r="B66" s="47">
        <v>5987</v>
      </c>
      <c r="C66" s="155">
        <v>359220</v>
      </c>
      <c r="D66" s="58">
        <f t="shared" si="120"/>
        <v>359220</v>
      </c>
      <c r="E66" s="52">
        <f t="shared" si="121"/>
        <v>0</v>
      </c>
      <c r="F66" s="52">
        <f t="shared" si="122"/>
        <v>0</v>
      </c>
      <c r="G66" s="155">
        <v>99.783299999999997</v>
      </c>
      <c r="H66" s="58">
        <f t="shared" si="123"/>
        <v>99.783333333333331</v>
      </c>
      <c r="I66" s="52">
        <f t="shared" si="124"/>
        <v>-3.3333333334439885E-5</v>
      </c>
      <c r="J66" s="52">
        <f t="shared" si="125"/>
        <v>-3.340571237792539E-5</v>
      </c>
      <c r="K66" s="155">
        <v>359.22</v>
      </c>
      <c r="L66" s="58">
        <f t="shared" si="126"/>
        <v>359.22</v>
      </c>
      <c r="M66" s="52">
        <f t="shared" si="127"/>
        <v>0</v>
      </c>
      <c r="N66" s="52">
        <f t="shared" si="128"/>
        <v>0</v>
      </c>
      <c r="O66" s="155">
        <v>5.9870000000000001</v>
      </c>
      <c r="P66" s="58">
        <f t="shared" si="129"/>
        <v>5.9870000000000001</v>
      </c>
      <c r="Q66" s="52">
        <f t="shared" si="130"/>
        <v>0</v>
      </c>
      <c r="R66" s="52">
        <f t="shared" si="131"/>
        <v>0</v>
      </c>
      <c r="S66" s="155">
        <v>9.9783300000000005E-2</v>
      </c>
      <c r="T66" s="58">
        <f t="shared" si="132"/>
        <v>9.9783333333333335E-2</v>
      </c>
      <c r="U66" s="52">
        <f t="shared" si="133"/>
        <v>-3.3333333329665926E-8</v>
      </c>
      <c r="V66" s="52">
        <f t="shared" si="134"/>
        <v>-3.3405712373141063E-5</v>
      </c>
      <c r="W66" s="155">
        <v>12685.7</v>
      </c>
      <c r="X66" s="58">
        <f t="shared" si="135"/>
        <v>12685.734579693129</v>
      </c>
      <c r="Y66" s="52">
        <f t="shared" si="136"/>
        <v>-3.4579693128762301E-2</v>
      </c>
      <c r="Z66" s="52">
        <f t="shared" si="137"/>
        <v>-2.7258723498847467E-4</v>
      </c>
      <c r="AA66" s="155">
        <v>211.429</v>
      </c>
      <c r="AB66" s="58">
        <f t="shared" si="138"/>
        <v>211.42890966155215</v>
      </c>
      <c r="AC66" s="52">
        <f t="shared" si="139"/>
        <v>9.0338447847670977E-5</v>
      </c>
      <c r="AD66" s="52">
        <f t="shared" si="140"/>
        <v>4.2727575898812294E-5</v>
      </c>
      <c r="AE66" s="155">
        <v>3.5238200000000002</v>
      </c>
      <c r="AF66" s="58">
        <f t="shared" si="141"/>
        <v>3.5238151610258694</v>
      </c>
      <c r="AG66" s="52">
        <f t="shared" si="142"/>
        <v>4.8389741307275358E-6</v>
      </c>
      <c r="AH66" s="52">
        <f t="shared" si="143"/>
        <v>1.3732201916399019E-4</v>
      </c>
    </row>
    <row r="67" spans="2:34" ht="15.75" thickBot="1" x14ac:dyDescent="0.3">
      <c r="B67" s="47">
        <v>4455667788</v>
      </c>
      <c r="C67" s="159">
        <v>267340067280</v>
      </c>
      <c r="D67" s="58">
        <f t="shared" si="120"/>
        <v>267340067280</v>
      </c>
      <c r="E67" s="52">
        <f t="shared" si="121"/>
        <v>0</v>
      </c>
      <c r="F67" s="52">
        <f t="shared" si="122"/>
        <v>0</v>
      </c>
      <c r="G67" s="159">
        <v>74261130</v>
      </c>
      <c r="H67" s="58">
        <f t="shared" si="123"/>
        <v>74261129.799999997</v>
      </c>
      <c r="I67" s="52">
        <f t="shared" si="124"/>
        <v>0.20000000298023224</v>
      </c>
      <c r="J67" s="52">
        <f t="shared" si="125"/>
        <v>2.6931990331802392E-7</v>
      </c>
      <c r="K67" s="159">
        <v>267340067</v>
      </c>
      <c r="L67" s="58">
        <f t="shared" si="126"/>
        <v>267340067.27999997</v>
      </c>
      <c r="M67" s="52">
        <f t="shared" si="127"/>
        <v>-0.27999997138977051</v>
      </c>
      <c r="N67" s="52">
        <f t="shared" si="128"/>
        <v>-1.0473550569451721E-7</v>
      </c>
      <c r="O67" s="159">
        <v>4455668</v>
      </c>
      <c r="P67" s="58">
        <f t="shared" si="129"/>
        <v>4455667.7879999997</v>
      </c>
      <c r="Q67" s="52">
        <f t="shared" si="130"/>
        <v>0.21200000029057264</v>
      </c>
      <c r="R67" s="52">
        <f t="shared" si="131"/>
        <v>4.7579848942403393E-6</v>
      </c>
      <c r="S67" s="159">
        <v>74261.100000000006</v>
      </c>
      <c r="T67" s="58">
        <f t="shared" si="132"/>
        <v>74261.129799999995</v>
      </c>
      <c r="U67" s="52">
        <f t="shared" si="133"/>
        <v>-2.9799999989336357E-2</v>
      </c>
      <c r="V67" s="52">
        <f t="shared" si="134"/>
        <v>-4.0128664982062199E-5</v>
      </c>
      <c r="W67" s="159">
        <v>9441025377</v>
      </c>
      <c r="X67" s="58">
        <f t="shared" si="135"/>
        <v>9441025377.2935352</v>
      </c>
      <c r="Y67" s="52">
        <f t="shared" si="136"/>
        <v>-0.29353523254394531</v>
      </c>
      <c r="Z67" s="52">
        <f t="shared" si="137"/>
        <v>-3.1091456787090349E-9</v>
      </c>
      <c r="AA67" s="159">
        <v>157350423</v>
      </c>
      <c r="AB67" s="58">
        <f t="shared" si="138"/>
        <v>157350422.95489225</v>
      </c>
      <c r="AC67" s="52">
        <f t="shared" si="139"/>
        <v>4.5107752084732056E-2</v>
      </c>
      <c r="AD67" s="52">
        <f t="shared" si="140"/>
        <v>2.8667067579261053E-8</v>
      </c>
      <c r="AE67" s="159">
        <v>2622507</v>
      </c>
      <c r="AF67" s="58">
        <f t="shared" si="141"/>
        <v>2622507.0492482041</v>
      </c>
      <c r="AG67" s="52">
        <f t="shared" si="142"/>
        <v>-4.9248204100877047E-2</v>
      </c>
      <c r="AH67" s="52">
        <f t="shared" si="143"/>
        <v>-1.8779054994340269E-6</v>
      </c>
    </row>
    <row r="68" spans="2:34" ht="15.75" thickBot="1" x14ac:dyDescent="0.3">
      <c r="B68" s="47">
        <v>-654</v>
      </c>
      <c r="C68" s="155">
        <v>-39240</v>
      </c>
      <c r="D68" s="58">
        <f t="shared" si="120"/>
        <v>-39240</v>
      </c>
      <c r="E68" s="52">
        <f t="shared" si="121"/>
        <v>0</v>
      </c>
      <c r="F68" s="52">
        <f t="shared" si="122"/>
        <v>0</v>
      </c>
      <c r="G68" s="155">
        <v>-10.9</v>
      </c>
      <c r="H68" s="58">
        <f t="shared" si="123"/>
        <v>-10.9</v>
      </c>
      <c r="I68" s="52">
        <f t="shared" si="124"/>
        <v>0</v>
      </c>
      <c r="J68" s="52">
        <f t="shared" si="125"/>
        <v>0</v>
      </c>
      <c r="K68" s="155">
        <v>-39.24</v>
      </c>
      <c r="L68" s="58">
        <f t="shared" si="126"/>
        <v>-39.24</v>
      </c>
      <c r="M68" s="52">
        <f t="shared" si="127"/>
        <v>0</v>
      </c>
      <c r="N68" s="52">
        <f t="shared" si="128"/>
        <v>0</v>
      </c>
      <c r="O68" s="155">
        <v>-0.65400000000000003</v>
      </c>
      <c r="P68" s="58">
        <f t="shared" si="129"/>
        <v>-0.65400000000000003</v>
      </c>
      <c r="Q68" s="52">
        <f t="shared" si="130"/>
        <v>0</v>
      </c>
      <c r="R68" s="52">
        <f t="shared" si="131"/>
        <v>0</v>
      </c>
      <c r="S68" s="155">
        <v>-1.09E-2</v>
      </c>
      <c r="T68" s="58">
        <f t="shared" si="132"/>
        <v>-1.09E-2</v>
      </c>
      <c r="U68" s="52">
        <f t="shared" si="133"/>
        <v>0</v>
      </c>
      <c r="V68" s="52">
        <f t="shared" si="134"/>
        <v>0</v>
      </c>
      <c r="W68" s="155">
        <v>-1385.75</v>
      </c>
      <c r="X68" s="58">
        <f t="shared" si="135"/>
        <v>-1385.747522151212</v>
      </c>
      <c r="Y68" s="52">
        <f t="shared" si="136"/>
        <v>-2.4778487879757449E-3</v>
      </c>
      <c r="Z68" s="52">
        <f t="shared" si="137"/>
        <v>1.7880954130296208E-4</v>
      </c>
      <c r="AA68" s="155">
        <v>-23.095800000000001</v>
      </c>
      <c r="AB68" s="58">
        <f t="shared" si="138"/>
        <v>-23.095792035853535</v>
      </c>
      <c r="AC68" s="52">
        <f t="shared" si="139"/>
        <v>-7.9641464658664063E-6</v>
      </c>
      <c r="AD68" s="52">
        <f t="shared" si="140"/>
        <v>3.4483106071889609E-5</v>
      </c>
      <c r="AE68" s="155">
        <v>-0.38492999999999999</v>
      </c>
      <c r="AF68" s="58">
        <f t="shared" si="141"/>
        <v>-0.38492986726422557</v>
      </c>
      <c r="AG68" s="52">
        <f t="shared" si="142"/>
        <v>-1.3273577442740603E-7</v>
      </c>
      <c r="AH68" s="52">
        <f t="shared" si="143"/>
        <v>3.4483106070928199E-5</v>
      </c>
    </row>
    <row r="69" spans="2:34" ht="15.75" thickBot="1" x14ac:dyDescent="0.3">
      <c r="B69" s="74">
        <v>0.65469999999999995</v>
      </c>
      <c r="C69" s="158">
        <v>39.281999999999996</v>
      </c>
      <c r="D69" s="58">
        <f t="shared" si="120"/>
        <v>39.281999999999996</v>
      </c>
      <c r="E69" s="57">
        <f t="shared" si="121"/>
        <v>0</v>
      </c>
      <c r="F69" s="57">
        <f t="shared" si="122"/>
        <v>0</v>
      </c>
      <c r="G69" s="158">
        <v>1.09117E-2</v>
      </c>
      <c r="H69" s="58">
        <f t="shared" si="123"/>
        <v>1.0911666666666665E-2</v>
      </c>
      <c r="I69" s="57">
        <f t="shared" si="124"/>
        <v>3.3333333334870097E-8</v>
      </c>
      <c r="J69" s="57">
        <f t="shared" si="125"/>
        <v>3.0548342753814053E-4</v>
      </c>
      <c r="K69" s="158">
        <v>3.9281999999999997E-2</v>
      </c>
      <c r="L69" s="58">
        <f t="shared" si="126"/>
        <v>3.9281999999999997E-2</v>
      </c>
      <c r="M69" s="57">
        <f t="shared" si="127"/>
        <v>0</v>
      </c>
      <c r="N69" s="57">
        <f t="shared" si="128"/>
        <v>0</v>
      </c>
      <c r="O69" s="158">
        <v>6.5470000000000003E-4</v>
      </c>
      <c r="P69" s="58">
        <f t="shared" si="129"/>
        <v>6.5469999999999992E-4</v>
      </c>
      <c r="Q69" s="57">
        <f t="shared" si="130"/>
        <v>0</v>
      </c>
      <c r="R69" s="57">
        <f t="shared" si="131"/>
        <v>0</v>
      </c>
      <c r="S69" s="158">
        <v>1.09116666666667E-5</v>
      </c>
      <c r="T69" s="58">
        <f t="shared" si="132"/>
        <v>1.0911666666666666E-5</v>
      </c>
      <c r="U69" s="57">
        <f t="shared" si="133"/>
        <v>3.3881317890172014E-20</v>
      </c>
      <c r="V69" s="57">
        <f t="shared" si="134"/>
        <v>3.1050543354365677E-13</v>
      </c>
      <c r="W69" s="158">
        <v>1.38723</v>
      </c>
      <c r="X69" s="58">
        <f t="shared" si="135"/>
        <v>1.3872307381535145</v>
      </c>
      <c r="Y69" s="57">
        <f t="shared" si="136"/>
        <v>-7.3815351453454525E-7</v>
      </c>
      <c r="Z69" s="57">
        <f t="shared" si="137"/>
        <v>-5.3210579482766575E-5</v>
      </c>
      <c r="AA69" s="158">
        <v>2.3120499999999999E-2</v>
      </c>
      <c r="AB69" s="58">
        <f t="shared" si="138"/>
        <v>2.3120512302558575E-2</v>
      </c>
      <c r="AC69" s="57">
        <f t="shared" si="139"/>
        <v>-1.2302558576038347E-8</v>
      </c>
      <c r="AD69" s="57">
        <f t="shared" si="140"/>
        <v>-5.3210579484767362E-5</v>
      </c>
      <c r="AE69" s="158">
        <v>3.8493000000000002E-4</v>
      </c>
      <c r="AF69" s="58">
        <f t="shared" si="141"/>
        <v>3.8534187170930959E-4</v>
      </c>
      <c r="AG69" s="57">
        <f t="shared" si="142"/>
        <v>-4.118717093095736E-7</v>
      </c>
      <c r="AH69" s="57">
        <f t="shared" si="143"/>
        <v>-0.10688475339640155</v>
      </c>
    </row>
    <row r="70" spans="2:34" ht="15.75" thickBot="1" x14ac:dyDescent="0.3">
      <c r="C70" s="165"/>
      <c r="D70" s="165"/>
      <c r="E70" s="180"/>
      <c r="F70" s="180"/>
      <c r="G70" s="181"/>
      <c r="H70" s="165"/>
      <c r="I70" s="164"/>
      <c r="J70" s="164"/>
      <c r="K70" s="165"/>
      <c r="L70" s="165"/>
      <c r="M70" s="164"/>
      <c r="N70" s="164"/>
      <c r="O70" s="165"/>
      <c r="P70" s="165"/>
      <c r="Q70" s="164"/>
      <c r="R70" s="164"/>
      <c r="S70" s="165"/>
      <c r="T70" s="165"/>
      <c r="U70" s="164"/>
      <c r="V70" s="164"/>
      <c r="W70" s="165"/>
      <c r="X70" s="165"/>
      <c r="Y70" s="164"/>
      <c r="Z70" s="164"/>
      <c r="AA70" s="165"/>
      <c r="AB70" s="165"/>
      <c r="AC70" s="164"/>
      <c r="AD70" s="164"/>
      <c r="AE70" s="165"/>
      <c r="AF70" s="165"/>
      <c r="AG70" s="164"/>
      <c r="AH70" s="164"/>
    </row>
    <row r="71" spans="2:34" x14ac:dyDescent="0.25">
      <c r="B71" s="341" t="s">
        <v>10</v>
      </c>
      <c r="C71" s="166" t="s">
        <v>14</v>
      </c>
      <c r="D71" s="168" t="s">
        <v>14</v>
      </c>
      <c r="E71" s="343" t="s">
        <v>354</v>
      </c>
      <c r="F71" s="357" t="s">
        <v>355</v>
      </c>
      <c r="G71" s="166" t="s">
        <v>14</v>
      </c>
      <c r="H71" s="168" t="s">
        <v>14</v>
      </c>
      <c r="I71" s="343" t="s">
        <v>354</v>
      </c>
      <c r="J71" s="357" t="s">
        <v>355</v>
      </c>
      <c r="K71" s="166" t="s">
        <v>14</v>
      </c>
      <c r="L71" s="168" t="s">
        <v>14</v>
      </c>
      <c r="M71" s="376" t="s">
        <v>354</v>
      </c>
      <c r="N71" s="378" t="s">
        <v>355</v>
      </c>
      <c r="O71" s="166" t="s">
        <v>14</v>
      </c>
      <c r="P71" s="168" t="s">
        <v>14</v>
      </c>
      <c r="Q71" s="376" t="s">
        <v>354</v>
      </c>
      <c r="R71" s="378" t="s">
        <v>355</v>
      </c>
      <c r="S71" s="166" t="s">
        <v>14</v>
      </c>
      <c r="T71" s="168" t="s">
        <v>14</v>
      </c>
      <c r="U71" s="343" t="s">
        <v>354</v>
      </c>
      <c r="V71" s="352" t="s">
        <v>355</v>
      </c>
      <c r="W71" s="166" t="s">
        <v>14</v>
      </c>
      <c r="X71" s="168" t="s">
        <v>14</v>
      </c>
      <c r="Y71" s="343" t="s">
        <v>354</v>
      </c>
      <c r="Z71" s="352" t="s">
        <v>355</v>
      </c>
      <c r="AA71" s="166" t="s">
        <v>14</v>
      </c>
      <c r="AB71" s="168" t="s">
        <v>14</v>
      </c>
      <c r="AC71" s="343" t="s">
        <v>354</v>
      </c>
      <c r="AD71" s="352" t="s">
        <v>355</v>
      </c>
      <c r="AE71" s="166" t="s">
        <v>14</v>
      </c>
      <c r="AF71" s="168" t="s">
        <v>14</v>
      </c>
      <c r="AG71" s="343" t="s">
        <v>354</v>
      </c>
      <c r="AH71" s="352" t="s">
        <v>355</v>
      </c>
    </row>
    <row r="72" spans="2:34" ht="15.75" thickBot="1" x14ac:dyDescent="0.3">
      <c r="B72" s="342"/>
      <c r="C72" s="167" t="s">
        <v>290</v>
      </c>
      <c r="D72" s="169" t="s">
        <v>291</v>
      </c>
      <c r="E72" s="344"/>
      <c r="F72" s="358"/>
      <c r="G72" s="167" t="s">
        <v>290</v>
      </c>
      <c r="H72" s="169" t="s">
        <v>291</v>
      </c>
      <c r="I72" s="344"/>
      <c r="J72" s="358"/>
      <c r="K72" s="167" t="s">
        <v>290</v>
      </c>
      <c r="L72" s="169" t="s">
        <v>291</v>
      </c>
      <c r="M72" s="373"/>
      <c r="N72" s="379"/>
      <c r="O72" s="167" t="s">
        <v>290</v>
      </c>
      <c r="P72" s="169" t="s">
        <v>291</v>
      </c>
      <c r="Q72" s="373"/>
      <c r="R72" s="379"/>
      <c r="S72" s="167" t="s">
        <v>290</v>
      </c>
      <c r="T72" s="169" t="s">
        <v>291</v>
      </c>
      <c r="U72" s="344"/>
      <c r="V72" s="353"/>
      <c r="W72" s="167" t="s">
        <v>290</v>
      </c>
      <c r="X72" s="169" t="s">
        <v>291</v>
      </c>
      <c r="Y72" s="344"/>
      <c r="Z72" s="353"/>
      <c r="AA72" s="167" t="s">
        <v>290</v>
      </c>
      <c r="AB72" s="169" t="s">
        <v>291</v>
      </c>
      <c r="AC72" s="344"/>
      <c r="AD72" s="353"/>
      <c r="AE72" s="167" t="s">
        <v>290</v>
      </c>
      <c r="AF72" s="169" t="s">
        <v>291</v>
      </c>
      <c r="AG72" s="344"/>
      <c r="AH72" s="353"/>
    </row>
    <row r="73" spans="2:34" ht="15.75" thickBot="1" x14ac:dyDescent="0.3">
      <c r="B73" s="346" t="s">
        <v>571</v>
      </c>
      <c r="C73" s="363" t="s">
        <v>570</v>
      </c>
      <c r="D73" s="177" t="s">
        <v>570</v>
      </c>
      <c r="E73" s="344"/>
      <c r="F73" s="358"/>
      <c r="G73" s="363" t="s">
        <v>574</v>
      </c>
      <c r="H73" s="177" t="s">
        <v>574</v>
      </c>
      <c r="I73" s="344"/>
      <c r="J73" s="358"/>
      <c r="K73" s="363" t="s">
        <v>564</v>
      </c>
      <c r="L73" s="177" t="s">
        <v>564</v>
      </c>
      <c r="M73" s="373"/>
      <c r="N73" s="379"/>
      <c r="O73" s="363" t="s">
        <v>566</v>
      </c>
      <c r="P73" s="177" t="s">
        <v>566</v>
      </c>
      <c r="Q73" s="373"/>
      <c r="R73" s="379"/>
      <c r="S73" s="363" t="s">
        <v>71</v>
      </c>
      <c r="T73" s="177" t="s">
        <v>71</v>
      </c>
      <c r="U73" s="344"/>
      <c r="V73" s="354"/>
      <c r="W73" s="363" t="s">
        <v>70</v>
      </c>
      <c r="X73" s="177" t="s">
        <v>70</v>
      </c>
      <c r="Y73" s="344"/>
      <c r="Z73" s="354"/>
      <c r="AA73" s="363" t="s">
        <v>72</v>
      </c>
      <c r="AB73" s="177" t="s">
        <v>72</v>
      </c>
      <c r="AC73" s="344"/>
      <c r="AD73" s="354"/>
      <c r="AE73" s="363" t="s">
        <v>69</v>
      </c>
      <c r="AF73" s="177" t="s">
        <v>69</v>
      </c>
      <c r="AG73" s="344"/>
      <c r="AH73" s="354"/>
    </row>
    <row r="74" spans="2:34" ht="45.75" thickBot="1" x14ac:dyDescent="0.3">
      <c r="B74" s="347"/>
      <c r="C74" s="364"/>
      <c r="D74" s="222" t="s">
        <v>607</v>
      </c>
      <c r="E74" s="345"/>
      <c r="F74" s="359"/>
      <c r="G74" s="364"/>
      <c r="H74" s="222" t="s">
        <v>608</v>
      </c>
      <c r="I74" s="345"/>
      <c r="J74" s="359"/>
      <c r="K74" s="365"/>
      <c r="L74" s="222" t="s">
        <v>606</v>
      </c>
      <c r="M74" s="377"/>
      <c r="N74" s="380"/>
      <c r="O74" s="365"/>
      <c r="P74" s="222" t="s">
        <v>609</v>
      </c>
      <c r="Q74" s="377"/>
      <c r="R74" s="380"/>
      <c r="S74" s="364"/>
      <c r="T74" s="222" t="s">
        <v>610</v>
      </c>
      <c r="U74" s="345"/>
      <c r="V74" s="345"/>
      <c r="W74" s="364"/>
      <c r="X74" s="222" t="s">
        <v>611</v>
      </c>
      <c r="Y74" s="345"/>
      <c r="Z74" s="345"/>
      <c r="AA74" s="364"/>
      <c r="AB74" s="222" t="s">
        <v>613</v>
      </c>
      <c r="AC74" s="345"/>
      <c r="AD74" s="345"/>
      <c r="AE74" s="364"/>
      <c r="AF74" s="222" t="s">
        <v>612</v>
      </c>
      <c r="AG74" s="345"/>
      <c r="AH74" s="345"/>
    </row>
    <row r="75" spans="2:34" ht="15.75" thickBot="1" x14ac:dyDescent="0.3">
      <c r="B75" s="44">
        <v>1</v>
      </c>
      <c r="C75" s="157">
        <v>1.66667E-2</v>
      </c>
      <c r="D75" s="58">
        <f>$B75/60</f>
        <v>1.6666666666666666E-2</v>
      </c>
      <c r="E75" s="54">
        <f>C75-D75</f>
        <v>3.3333333333135373E-8</v>
      </c>
      <c r="F75" s="162">
        <f>(100*E75)/D75</f>
        <v>1.9999999999881224E-4</v>
      </c>
      <c r="G75" s="157">
        <v>2.7777800000000001E-4</v>
      </c>
      <c r="H75" s="58">
        <f>$B75/3600</f>
        <v>2.7777777777777778E-4</v>
      </c>
      <c r="I75" s="54">
        <f>G75-H75</f>
        <v>2.2222222223174451E-10</v>
      </c>
      <c r="J75" s="162">
        <f>(100*I75)/H75</f>
        <v>8.0000000003428023E-5</v>
      </c>
      <c r="K75" s="154">
        <v>28.316800000000001</v>
      </c>
      <c r="L75" s="58">
        <f>$B75*(POWER(0.3048, 3)*1000)</f>
        <v>28.316846592000005</v>
      </c>
      <c r="M75" s="54">
        <f t="shared" ref="M75:M80" si="144">K75-L75</f>
        <v>-4.6592000003897738E-5</v>
      </c>
      <c r="N75" s="54">
        <f t="shared" ref="N75:N80" si="145">(100*M75)/L75</f>
        <v>-1.6453809520252435E-4</v>
      </c>
      <c r="O75" s="154">
        <v>0.47194700000000001</v>
      </c>
      <c r="P75" s="58">
        <f>$B75*(POWER(0.3048, 3)*1000)/60</f>
        <v>0.47194744320000009</v>
      </c>
      <c r="Q75" s="54">
        <f>O75-P75</f>
        <v>-4.4320000008868377E-7</v>
      </c>
      <c r="R75" s="54">
        <f>(100*Q75)/P75</f>
        <v>-9.3908761764573468E-5</v>
      </c>
      <c r="S75" s="154">
        <v>7.8657899999999992E-3</v>
      </c>
      <c r="T75" s="58">
        <f>$B75*(POWER(0.3048, 3)*1000)/3600</f>
        <v>7.8657907200000016E-3</v>
      </c>
      <c r="U75" s="54">
        <f>S75-T75</f>
        <v>-7.2000000232719241E-10</v>
      </c>
      <c r="V75" s="54">
        <f>(100*U75)/T75</f>
        <v>-9.1535616437960888E-6</v>
      </c>
      <c r="W75" s="154">
        <v>2.83168E-2</v>
      </c>
      <c r="X75" s="58">
        <f>$B75*POWER(0.3048,3)</f>
        <v>2.8316846592000004E-2</v>
      </c>
      <c r="Y75" s="54">
        <f>W75-X75</f>
        <v>-4.6592000004647138E-8</v>
      </c>
      <c r="Z75" s="54">
        <f>(100*Y75)/X75</f>
        <v>-1.6453809520517083E-4</v>
      </c>
      <c r="AA75" s="154">
        <v>4.7194700000000001E-4</v>
      </c>
      <c r="AB75" s="58">
        <f>$B75*POWER(0.3048,3)/60</f>
        <v>4.719474432000001E-4</v>
      </c>
      <c r="AC75" s="54">
        <f>AA75-AB75</f>
        <v>-4.4320000008304591E-10</v>
      </c>
      <c r="AD75" s="54">
        <f>(100*AC75)/AB75</f>
        <v>-9.3908761763378867E-5</v>
      </c>
      <c r="AE75" s="154">
        <v>7.8657907200000004E-6</v>
      </c>
      <c r="AF75" s="58">
        <f>$B75*POWER(0.3048,3)/3600</f>
        <v>7.8657907200000004E-6</v>
      </c>
      <c r="AG75" s="54">
        <f>AE75-AF75</f>
        <v>0</v>
      </c>
      <c r="AH75" s="54">
        <f>(100*AG75)/AF75</f>
        <v>0</v>
      </c>
    </row>
    <row r="76" spans="2:34" ht="15.75" thickBot="1" x14ac:dyDescent="0.3">
      <c r="B76" s="47">
        <v>987</v>
      </c>
      <c r="C76" s="155">
        <v>16.45</v>
      </c>
      <c r="D76" s="58">
        <f t="shared" ref="D76:D80" si="146">$B76/60</f>
        <v>16.45</v>
      </c>
      <c r="E76" s="52">
        <f t="shared" ref="E76:E80" si="147">C76-D76</f>
        <v>0</v>
      </c>
      <c r="F76" s="153">
        <f t="shared" ref="F76:F80" si="148">(100*E76)/D76</f>
        <v>0</v>
      </c>
      <c r="G76" s="155">
        <v>0.27416699999999999</v>
      </c>
      <c r="H76" s="58">
        <f t="shared" ref="H76:H80" si="149">$B76/3600</f>
        <v>0.27416666666666667</v>
      </c>
      <c r="I76" s="52">
        <f t="shared" ref="I76:I80" si="150">G76-H76</f>
        <v>3.3333333332441484E-7</v>
      </c>
      <c r="J76" s="153">
        <f t="shared" ref="J76:J80" si="151">(100*I76)/H76</f>
        <v>1.2158054710920906E-4</v>
      </c>
      <c r="K76" s="155">
        <v>27948.7</v>
      </c>
      <c r="L76" s="58">
        <f t="shared" ref="L76:L80" si="152">$B76*(POWER(0.3048, 3)*1000)</f>
        <v>27948.727586304005</v>
      </c>
      <c r="M76" s="52">
        <f t="shared" si="144"/>
        <v>-2.75863040042168E-2</v>
      </c>
      <c r="N76" s="52">
        <f t="shared" si="145"/>
        <v>-9.8703255520423742E-5</v>
      </c>
      <c r="O76" s="155">
        <v>465.81200000000001</v>
      </c>
      <c r="P76" s="58">
        <f t="shared" ref="P76:P80" si="153">$B76*(POWER(0.3048, 3)*1000)/60</f>
        <v>465.81212643840007</v>
      </c>
      <c r="Q76" s="52">
        <f t="shared" ref="Q76:Q80" si="154">O76-P76</f>
        <v>-1.2643840005921447E-4</v>
      </c>
      <c r="R76" s="52">
        <f t="shared" ref="R76:R80" si="155">(100*Q76)/P76</f>
        <v>-2.7143647166500922E-5</v>
      </c>
      <c r="S76" s="155">
        <v>7.7635399999999999</v>
      </c>
      <c r="T76" s="58">
        <f t="shared" ref="T76:T80" si="156">$B76*(POWER(0.3048, 3)*1000)/3600</f>
        <v>7.763535440640001</v>
      </c>
      <c r="U76" s="52">
        <f t="shared" ref="U76:U80" si="157">S76-T76</f>
        <v>4.5593599988791311E-6</v>
      </c>
      <c r="V76" s="52">
        <f t="shared" ref="V76:V80" si="158">(100*U76)/T76</f>
        <v>5.8727882853630305E-5</v>
      </c>
      <c r="W76" s="155">
        <v>27.948699999999999</v>
      </c>
      <c r="X76" s="58">
        <f t="shared" ref="X76:X80" si="159">$B76*POWER(0.3048,3)</f>
        <v>27.948727586304003</v>
      </c>
      <c r="Y76" s="52">
        <f t="shared" ref="Y76:Y80" si="160">W76-X76</f>
        <v>-2.7586304003790474E-5</v>
      </c>
      <c r="Z76" s="52">
        <f t="shared" ref="Z76:Z80" si="161">(100*Y76)/X76</f>
        <v>-9.8703255518898365E-5</v>
      </c>
      <c r="AA76" s="155">
        <v>0.465812</v>
      </c>
      <c r="AB76" s="58">
        <f t="shared" ref="AB76:AB80" si="162">$B76*POWER(0.3048,3)/60</f>
        <v>0.46581212643840003</v>
      </c>
      <c r="AC76" s="52">
        <f t="shared" ref="AC76:AC80" si="163">AA76-AB76</f>
        <v>-1.2643840002768414E-7</v>
      </c>
      <c r="AD76" s="52">
        <f t="shared" ref="AD76:AD80" si="164">(100*AC76)/AB76</f>
        <v>-2.7143647159732031E-5</v>
      </c>
      <c r="AE76" s="155">
        <v>7.7635400000000002E-3</v>
      </c>
      <c r="AF76" s="58">
        <f t="shared" ref="AF76:AF80" si="165">$B76*POWER(0.3048,3)/3600</f>
        <v>7.7635354406400004E-3</v>
      </c>
      <c r="AG76" s="52">
        <f t="shared" ref="AG76:AG80" si="166">AE76-AF76</f>
        <v>4.5593599997881262E-9</v>
      </c>
      <c r="AH76" s="52">
        <f t="shared" ref="AH76:AH80" si="167">(100*AG76)/AF76</f>
        <v>5.8727882865338828E-5</v>
      </c>
    </row>
    <row r="77" spans="2:34" ht="15.75" thickBot="1" x14ac:dyDescent="0.3">
      <c r="B77" s="47">
        <v>5987</v>
      </c>
      <c r="C77" s="159">
        <v>99.783299999999997</v>
      </c>
      <c r="D77" s="58">
        <f t="shared" si="146"/>
        <v>99.783333333333331</v>
      </c>
      <c r="E77" s="52">
        <f t="shared" si="147"/>
        <v>-3.3333333334439885E-5</v>
      </c>
      <c r="F77" s="153">
        <f t="shared" si="148"/>
        <v>-3.340571237792539E-5</v>
      </c>
      <c r="G77" s="159">
        <v>1.66306</v>
      </c>
      <c r="H77" s="58">
        <f t="shared" si="149"/>
        <v>1.6630555555555555</v>
      </c>
      <c r="I77" s="52">
        <f t="shared" si="150"/>
        <v>4.4444444444735609E-6</v>
      </c>
      <c r="J77" s="153">
        <f t="shared" si="151"/>
        <v>2.672456990162823E-4</v>
      </c>
      <c r="K77" s="155">
        <v>169533</v>
      </c>
      <c r="L77" s="58">
        <f t="shared" si="152"/>
        <v>169532.96054630404</v>
      </c>
      <c r="M77" s="52">
        <f t="shared" si="144"/>
        <v>3.9453695964766666E-2</v>
      </c>
      <c r="N77" s="52">
        <f t="shared" si="145"/>
        <v>2.327199138010145E-5</v>
      </c>
      <c r="O77" s="155">
        <v>2825.55</v>
      </c>
      <c r="P77" s="58">
        <f t="shared" si="153"/>
        <v>2825.5493424384008</v>
      </c>
      <c r="Q77" s="52">
        <f t="shared" si="154"/>
        <v>6.5756159938246128E-4</v>
      </c>
      <c r="R77" s="52">
        <f t="shared" si="155"/>
        <v>2.3271991379028506E-5</v>
      </c>
      <c r="S77" s="155">
        <v>47.092500000000001</v>
      </c>
      <c r="T77" s="58">
        <f t="shared" si="156"/>
        <v>47.092489040640011</v>
      </c>
      <c r="U77" s="52">
        <f t="shared" si="157"/>
        <v>1.0959359990181383E-5</v>
      </c>
      <c r="V77" s="52">
        <f t="shared" si="158"/>
        <v>2.3271991380034388E-5</v>
      </c>
      <c r="W77" s="155">
        <v>169.53299999999999</v>
      </c>
      <c r="X77" s="58">
        <f t="shared" si="159"/>
        <v>169.53296054630403</v>
      </c>
      <c r="Y77" s="52">
        <f t="shared" si="160"/>
        <v>3.9453695961810809E-5</v>
      </c>
      <c r="Z77" s="52">
        <f t="shared" si="161"/>
        <v>2.3271991378357921E-5</v>
      </c>
      <c r="AA77" s="155">
        <v>2.8255499999999998</v>
      </c>
      <c r="AB77" s="58">
        <f t="shared" si="162"/>
        <v>2.8255493424384004</v>
      </c>
      <c r="AC77" s="52">
        <f t="shared" si="163"/>
        <v>6.5756159939311942E-7</v>
      </c>
      <c r="AD77" s="52">
        <f t="shared" si="164"/>
        <v>2.3271991379405717E-5</v>
      </c>
      <c r="AE77" s="155">
        <v>4.7092500000000002E-2</v>
      </c>
      <c r="AF77" s="58">
        <f t="shared" si="165"/>
        <v>4.7092489040640007E-2</v>
      </c>
      <c r="AG77" s="52">
        <f t="shared" si="166"/>
        <v>1.0959359995899032E-8</v>
      </c>
      <c r="AH77" s="52">
        <f t="shared" si="167"/>
        <v>2.3271991392175711E-5</v>
      </c>
    </row>
    <row r="78" spans="2:34" ht="15.75" thickBot="1" x14ac:dyDescent="0.3">
      <c r="B78" s="47">
        <v>4455667788</v>
      </c>
      <c r="C78" s="155">
        <v>74261130</v>
      </c>
      <c r="D78" s="58">
        <f t="shared" si="146"/>
        <v>74261129.799999997</v>
      </c>
      <c r="E78" s="52">
        <f t="shared" si="147"/>
        <v>0.20000000298023224</v>
      </c>
      <c r="F78" s="153">
        <f t="shared" si="148"/>
        <v>2.6931990331802392E-7</v>
      </c>
      <c r="G78" s="155">
        <v>1237685</v>
      </c>
      <c r="H78" s="58">
        <f t="shared" si="149"/>
        <v>1237685.4966666666</v>
      </c>
      <c r="I78" s="52">
        <f t="shared" si="150"/>
        <v>-0.49666666658595204</v>
      </c>
      <c r="J78" s="153">
        <f t="shared" si="151"/>
        <v>-4.0128664989900445E-5</v>
      </c>
      <c r="K78" s="159">
        <v>126170461218</v>
      </c>
      <c r="L78" s="58">
        <f t="shared" si="152"/>
        <v>126170461217.71201</v>
      </c>
      <c r="M78" s="52">
        <f t="shared" si="144"/>
        <v>0.287994384765625</v>
      </c>
      <c r="N78" s="52">
        <f t="shared" si="145"/>
        <v>2.2825816913570567E-10</v>
      </c>
      <c r="O78" s="159">
        <v>2102841020</v>
      </c>
      <c r="P78" s="58">
        <f t="shared" si="153"/>
        <v>2102841020.2952001</v>
      </c>
      <c r="Q78" s="52">
        <f t="shared" si="154"/>
        <v>-0.29520010948181152</v>
      </c>
      <c r="R78" s="52">
        <f t="shared" si="155"/>
        <v>-1.4038156314849273E-8</v>
      </c>
      <c r="S78" s="159">
        <v>35047350</v>
      </c>
      <c r="T78" s="58">
        <f t="shared" si="156"/>
        <v>35047350.338253334</v>
      </c>
      <c r="U78" s="52">
        <f t="shared" si="157"/>
        <v>-0.33825333416461945</v>
      </c>
      <c r="V78" s="52">
        <f t="shared" si="158"/>
        <v>-9.6513240202191305E-7</v>
      </c>
      <c r="W78" s="159">
        <v>126170461</v>
      </c>
      <c r="X78" s="58">
        <f t="shared" si="159"/>
        <v>126170461.217712</v>
      </c>
      <c r="Y78" s="52">
        <f t="shared" si="160"/>
        <v>-0.21771200001239777</v>
      </c>
      <c r="Z78" s="52">
        <f t="shared" si="161"/>
        <v>-1.72553859208557E-7</v>
      </c>
      <c r="AA78" s="159">
        <v>2102841</v>
      </c>
      <c r="AB78" s="58">
        <f t="shared" si="162"/>
        <v>2102841.0202951999</v>
      </c>
      <c r="AC78" s="52">
        <f t="shared" si="163"/>
        <v>-2.0295199938118458E-2</v>
      </c>
      <c r="AD78" s="52">
        <f t="shared" si="164"/>
        <v>-9.6513239670725967E-7</v>
      </c>
      <c r="AE78" s="159">
        <v>35047.4</v>
      </c>
      <c r="AF78" s="58">
        <f t="shared" si="165"/>
        <v>35047.350338253331</v>
      </c>
      <c r="AG78" s="52">
        <f t="shared" si="166"/>
        <v>4.9661746670608409E-2</v>
      </c>
      <c r="AH78" s="52">
        <f t="shared" si="167"/>
        <v>1.4169900489282872E-4</v>
      </c>
    </row>
    <row r="79" spans="2:34" ht="15.75" thickBot="1" x14ac:dyDescent="0.3">
      <c r="B79" s="47">
        <v>-654</v>
      </c>
      <c r="C79" s="155">
        <v>-10.9</v>
      </c>
      <c r="D79" s="58">
        <f t="shared" si="146"/>
        <v>-10.9</v>
      </c>
      <c r="E79" s="52">
        <f t="shared" si="147"/>
        <v>0</v>
      </c>
      <c r="F79" s="153">
        <f t="shared" si="148"/>
        <v>0</v>
      </c>
      <c r="G79" s="155">
        <v>-0.181667</v>
      </c>
      <c r="H79" s="58">
        <f t="shared" si="149"/>
        <v>-0.18166666666666667</v>
      </c>
      <c r="I79" s="52">
        <f t="shared" si="150"/>
        <v>-3.3333333332441484E-7</v>
      </c>
      <c r="J79" s="153">
        <f t="shared" si="151"/>
        <v>1.8348623852720082E-4</v>
      </c>
      <c r="K79" s="155">
        <v>-18519.2</v>
      </c>
      <c r="L79" s="58">
        <f t="shared" si="152"/>
        <v>-18519.217671168004</v>
      </c>
      <c r="M79" s="52">
        <f t="shared" si="144"/>
        <v>1.7671168003289495E-2</v>
      </c>
      <c r="N79" s="52">
        <f t="shared" si="145"/>
        <v>-9.5420704681284615E-5</v>
      </c>
      <c r="O79" s="155">
        <v>-308.654</v>
      </c>
      <c r="P79" s="58">
        <f t="shared" si="153"/>
        <v>-308.65362785280007</v>
      </c>
      <c r="Q79" s="52">
        <f t="shared" si="154"/>
        <v>-3.7214719992562095E-4</v>
      </c>
      <c r="R79" s="52">
        <f t="shared" si="155"/>
        <v>1.2057114070374756E-4</v>
      </c>
      <c r="S79" s="155">
        <v>-5.1442300000000003</v>
      </c>
      <c r="T79" s="58">
        <f t="shared" si="156"/>
        <v>-5.1442271308800009</v>
      </c>
      <c r="U79" s="52">
        <f t="shared" si="157"/>
        <v>-2.8691199993602368E-6</v>
      </c>
      <c r="V79" s="52">
        <f t="shared" si="158"/>
        <v>5.5773587097998698E-5</v>
      </c>
      <c r="W79" s="155">
        <v>-18.519200000000001</v>
      </c>
      <c r="X79" s="58">
        <f t="shared" si="159"/>
        <v>-18.519217671168004</v>
      </c>
      <c r="Y79" s="52">
        <f t="shared" si="160"/>
        <v>1.7671168002664217E-5</v>
      </c>
      <c r="Z79" s="52">
        <f t="shared" si="161"/>
        <v>-9.5420704677908234E-5</v>
      </c>
      <c r="AA79" s="155">
        <v>-0.30865399999999998</v>
      </c>
      <c r="AB79" s="58">
        <f t="shared" si="162"/>
        <v>-0.30865362785280009</v>
      </c>
      <c r="AC79" s="52">
        <f t="shared" si="163"/>
        <v>-3.7214719988964973E-7</v>
      </c>
      <c r="AD79" s="52">
        <f t="shared" si="164"/>
        <v>1.2057114069209332E-4</v>
      </c>
      <c r="AE79" s="155">
        <v>-5.1442299999999996E-3</v>
      </c>
      <c r="AF79" s="58">
        <f t="shared" si="165"/>
        <v>-5.1442271308800008E-3</v>
      </c>
      <c r="AG79" s="52">
        <f t="shared" si="166"/>
        <v>-2.8691199988745142E-9</v>
      </c>
      <c r="AH79" s="52">
        <f t="shared" si="167"/>
        <v>5.5773587088556612E-5</v>
      </c>
    </row>
    <row r="80" spans="2:34" ht="15.75" thickBot="1" x14ac:dyDescent="0.3">
      <c r="B80" s="74">
        <v>0.65469999999999995</v>
      </c>
      <c r="C80" s="158">
        <v>1.09117E-2</v>
      </c>
      <c r="D80" s="58">
        <f t="shared" si="146"/>
        <v>1.0911666666666665E-2</v>
      </c>
      <c r="E80" s="57">
        <f t="shared" si="147"/>
        <v>3.3333333334870097E-8</v>
      </c>
      <c r="F80" s="163">
        <f t="shared" si="148"/>
        <v>3.0548342753814053E-4</v>
      </c>
      <c r="G80" s="158">
        <v>1.8186100000000001E-4</v>
      </c>
      <c r="H80" s="58">
        <f t="shared" si="149"/>
        <v>1.818611111111111E-4</v>
      </c>
      <c r="I80" s="57">
        <f t="shared" si="150"/>
        <v>-1.111111110887672E-10</v>
      </c>
      <c r="J80" s="163">
        <f t="shared" si="151"/>
        <v>-6.1096685492525115E-5</v>
      </c>
      <c r="K80" s="158">
        <v>18.539000000000001</v>
      </c>
      <c r="L80" s="58">
        <f t="shared" si="152"/>
        <v>18.539039463782402</v>
      </c>
      <c r="M80" s="57">
        <f t="shared" si="144"/>
        <v>-3.9463782400162017E-5</v>
      </c>
      <c r="N80" s="57">
        <f t="shared" si="145"/>
        <v>-2.1286853872476991E-4</v>
      </c>
      <c r="O80" s="158">
        <v>0.30898399999999998</v>
      </c>
      <c r="P80" s="58">
        <f t="shared" si="153"/>
        <v>0.30898399106304003</v>
      </c>
      <c r="Q80" s="57">
        <f t="shared" si="154"/>
        <v>8.9369599498567709E-9</v>
      </c>
      <c r="R80" s="57">
        <f t="shared" si="155"/>
        <v>2.8923698988771944E-6</v>
      </c>
      <c r="S80" s="158">
        <v>5.1497299999999999E-3</v>
      </c>
      <c r="T80" s="58">
        <f t="shared" si="156"/>
        <v>5.1497331843840003E-3</v>
      </c>
      <c r="U80" s="57">
        <f t="shared" si="157"/>
        <v>-3.1843840004111557E-9</v>
      </c>
      <c r="V80" s="57">
        <f t="shared" si="158"/>
        <v>-6.183590268457888E-5</v>
      </c>
      <c r="W80" s="158">
        <v>1.8539E-2</v>
      </c>
      <c r="X80" s="58">
        <f t="shared" si="159"/>
        <v>1.8539039463782402E-2</v>
      </c>
      <c r="Y80" s="57">
        <f t="shared" si="160"/>
        <v>-3.9463782401660819E-8</v>
      </c>
      <c r="Z80" s="57">
        <f t="shared" si="161"/>
        <v>-2.1286853873285448E-4</v>
      </c>
      <c r="AA80" s="158">
        <v>3.0898399999999999E-4</v>
      </c>
      <c r="AB80" s="58">
        <f t="shared" si="162"/>
        <v>3.0898399106304004E-4</v>
      </c>
      <c r="AC80" s="57">
        <f t="shared" si="163"/>
        <v>8.9369599502904518E-12</v>
      </c>
      <c r="AD80" s="57">
        <f t="shared" si="164"/>
        <v>2.8923698990175516E-6</v>
      </c>
      <c r="AE80" s="158">
        <v>5.149733184384E-6</v>
      </c>
      <c r="AF80" s="58">
        <f t="shared" si="165"/>
        <v>5.1497331843840008E-6</v>
      </c>
      <c r="AG80" s="57">
        <f t="shared" si="166"/>
        <v>0</v>
      </c>
      <c r="AH80" s="57">
        <f t="shared" si="167"/>
        <v>0</v>
      </c>
    </row>
    <row r="81" spans="2:34" ht="15.75" thickBot="1" x14ac:dyDescent="0.3">
      <c r="C81" s="165"/>
      <c r="D81" s="165"/>
      <c r="E81" s="164"/>
      <c r="F81" s="164"/>
      <c r="G81" s="165"/>
      <c r="H81" s="165"/>
      <c r="I81" s="164"/>
      <c r="J81" s="164"/>
      <c r="K81" s="165"/>
      <c r="L81" s="165"/>
      <c r="M81" s="164"/>
      <c r="N81" s="164"/>
      <c r="O81" s="165"/>
      <c r="P81" s="165"/>
      <c r="Q81" s="164"/>
      <c r="R81" s="164"/>
      <c r="S81" s="165"/>
      <c r="T81" s="165"/>
      <c r="U81" s="164"/>
      <c r="V81" s="164"/>
      <c r="W81" s="165"/>
      <c r="X81" s="165"/>
      <c r="Y81" s="164"/>
      <c r="Z81" s="164"/>
      <c r="AA81" s="165"/>
      <c r="AB81" s="165"/>
      <c r="AC81" s="164"/>
      <c r="AD81" s="164"/>
      <c r="AE81" s="165"/>
      <c r="AF81" s="165"/>
      <c r="AG81" s="164"/>
      <c r="AH81" s="164"/>
    </row>
    <row r="82" spans="2:34" x14ac:dyDescent="0.25">
      <c r="B82" s="341" t="s">
        <v>10</v>
      </c>
      <c r="C82" s="166" t="s">
        <v>14</v>
      </c>
      <c r="D82" s="168" t="s">
        <v>14</v>
      </c>
      <c r="E82" s="343" t="s">
        <v>354</v>
      </c>
      <c r="F82" s="357" t="s">
        <v>355</v>
      </c>
      <c r="G82" s="166" t="s">
        <v>14</v>
      </c>
      <c r="H82" s="168" t="s">
        <v>14</v>
      </c>
      <c r="I82" s="343" t="s">
        <v>354</v>
      </c>
      <c r="J82" s="357" t="s">
        <v>355</v>
      </c>
      <c r="K82" s="166" t="s">
        <v>14</v>
      </c>
      <c r="L82" s="168" t="s">
        <v>14</v>
      </c>
      <c r="M82" s="376" t="s">
        <v>354</v>
      </c>
      <c r="N82" s="378" t="s">
        <v>355</v>
      </c>
      <c r="O82" s="166" t="s">
        <v>14</v>
      </c>
      <c r="P82" s="168" t="s">
        <v>14</v>
      </c>
      <c r="Q82" s="376" t="s">
        <v>354</v>
      </c>
      <c r="R82" s="378" t="s">
        <v>355</v>
      </c>
      <c r="S82" s="166" t="s">
        <v>14</v>
      </c>
      <c r="T82" s="168" t="s">
        <v>14</v>
      </c>
      <c r="U82" s="343" t="s">
        <v>354</v>
      </c>
      <c r="V82" s="352" t="s">
        <v>355</v>
      </c>
      <c r="W82" s="166" t="s">
        <v>14</v>
      </c>
      <c r="X82" s="168" t="s">
        <v>14</v>
      </c>
      <c r="Y82" s="343" t="s">
        <v>354</v>
      </c>
      <c r="Z82" s="352" t="s">
        <v>355</v>
      </c>
      <c r="AA82" s="166" t="s">
        <v>14</v>
      </c>
      <c r="AB82" s="168" t="s">
        <v>14</v>
      </c>
      <c r="AC82" s="343" t="s">
        <v>354</v>
      </c>
      <c r="AD82" s="352" t="s">
        <v>355</v>
      </c>
      <c r="AE82" s="166" t="s">
        <v>14</v>
      </c>
      <c r="AF82" s="168" t="s">
        <v>14</v>
      </c>
      <c r="AG82" s="343" t="s">
        <v>354</v>
      </c>
      <c r="AH82" s="352" t="s">
        <v>355</v>
      </c>
    </row>
    <row r="83" spans="2:34" ht="15.75" thickBot="1" x14ac:dyDescent="0.3">
      <c r="B83" s="342"/>
      <c r="C83" s="167" t="s">
        <v>290</v>
      </c>
      <c r="D83" s="169" t="s">
        <v>291</v>
      </c>
      <c r="E83" s="344"/>
      <c r="F83" s="358"/>
      <c r="G83" s="167" t="s">
        <v>290</v>
      </c>
      <c r="H83" s="169" t="s">
        <v>291</v>
      </c>
      <c r="I83" s="344"/>
      <c r="J83" s="358"/>
      <c r="K83" s="167" t="s">
        <v>290</v>
      </c>
      <c r="L83" s="169" t="s">
        <v>291</v>
      </c>
      <c r="M83" s="373"/>
      <c r="N83" s="379"/>
      <c r="O83" s="167" t="s">
        <v>290</v>
      </c>
      <c r="P83" s="169" t="s">
        <v>291</v>
      </c>
      <c r="Q83" s="373"/>
      <c r="R83" s="379"/>
      <c r="S83" s="167" t="s">
        <v>290</v>
      </c>
      <c r="T83" s="169" t="s">
        <v>291</v>
      </c>
      <c r="U83" s="344"/>
      <c r="V83" s="353"/>
      <c r="W83" s="167" t="s">
        <v>290</v>
      </c>
      <c r="X83" s="169" t="s">
        <v>291</v>
      </c>
      <c r="Y83" s="344"/>
      <c r="Z83" s="353"/>
      <c r="AA83" s="167" t="s">
        <v>290</v>
      </c>
      <c r="AB83" s="169" t="s">
        <v>291</v>
      </c>
      <c r="AC83" s="344"/>
      <c r="AD83" s="353"/>
      <c r="AE83" s="167" t="s">
        <v>290</v>
      </c>
      <c r="AF83" s="169" t="s">
        <v>291</v>
      </c>
      <c r="AG83" s="344"/>
      <c r="AH83" s="353"/>
    </row>
    <row r="84" spans="2:34" ht="15.75" thickBot="1" x14ac:dyDescent="0.3">
      <c r="B84" s="346" t="s">
        <v>570</v>
      </c>
      <c r="C84" s="363" t="s">
        <v>571</v>
      </c>
      <c r="D84" s="177" t="s">
        <v>571</v>
      </c>
      <c r="E84" s="344"/>
      <c r="F84" s="358"/>
      <c r="G84" s="363" t="s">
        <v>574</v>
      </c>
      <c r="H84" s="177" t="s">
        <v>574</v>
      </c>
      <c r="I84" s="344"/>
      <c r="J84" s="358"/>
      <c r="K84" s="363" t="s">
        <v>564</v>
      </c>
      <c r="L84" s="177" t="s">
        <v>564</v>
      </c>
      <c r="M84" s="373"/>
      <c r="N84" s="379"/>
      <c r="O84" s="363" t="s">
        <v>566</v>
      </c>
      <c r="P84" s="177" t="s">
        <v>566</v>
      </c>
      <c r="Q84" s="373"/>
      <c r="R84" s="379"/>
      <c r="S84" s="363" t="s">
        <v>71</v>
      </c>
      <c r="T84" s="177" t="s">
        <v>71</v>
      </c>
      <c r="U84" s="344"/>
      <c r="V84" s="354"/>
      <c r="W84" s="363" t="s">
        <v>70</v>
      </c>
      <c r="X84" s="177" t="s">
        <v>70</v>
      </c>
      <c r="Y84" s="344"/>
      <c r="Z84" s="354"/>
      <c r="AA84" s="363" t="s">
        <v>72</v>
      </c>
      <c r="AB84" s="177" t="s">
        <v>72</v>
      </c>
      <c r="AC84" s="344"/>
      <c r="AD84" s="354"/>
      <c r="AE84" s="363" t="s">
        <v>69</v>
      </c>
      <c r="AF84" s="177" t="s">
        <v>69</v>
      </c>
      <c r="AG84" s="344"/>
      <c r="AH84" s="354"/>
    </row>
    <row r="85" spans="2:34" ht="45.75" thickBot="1" x14ac:dyDescent="0.3">
      <c r="B85" s="347"/>
      <c r="C85" s="364"/>
      <c r="D85" s="222" t="s">
        <v>614</v>
      </c>
      <c r="E85" s="345"/>
      <c r="F85" s="359"/>
      <c r="G85" s="364"/>
      <c r="H85" s="222" t="s">
        <v>615</v>
      </c>
      <c r="I85" s="345"/>
      <c r="J85" s="359"/>
      <c r="K85" s="365"/>
      <c r="L85" s="222" t="s">
        <v>616</v>
      </c>
      <c r="M85" s="377"/>
      <c r="N85" s="380"/>
      <c r="O85" s="365"/>
      <c r="P85" s="222" t="s">
        <v>617</v>
      </c>
      <c r="Q85" s="377"/>
      <c r="R85" s="380"/>
      <c r="S85" s="364"/>
      <c r="T85" s="222" t="s">
        <v>618</v>
      </c>
      <c r="U85" s="345"/>
      <c r="V85" s="345"/>
      <c r="W85" s="364"/>
      <c r="X85" s="222" t="s">
        <v>626</v>
      </c>
      <c r="Y85" s="345"/>
      <c r="Z85" s="345"/>
      <c r="AA85" s="364"/>
      <c r="AB85" s="222" t="s">
        <v>619</v>
      </c>
      <c r="AC85" s="345"/>
      <c r="AD85" s="345"/>
      <c r="AE85" s="364"/>
      <c r="AF85" s="222" t="s">
        <v>620</v>
      </c>
      <c r="AG85" s="345"/>
      <c r="AH85" s="345"/>
    </row>
    <row r="86" spans="2:34" ht="15.75" thickBot="1" x14ac:dyDescent="0.3">
      <c r="B86" s="44">
        <v>1</v>
      </c>
      <c r="C86" s="157">
        <v>60</v>
      </c>
      <c r="D86" s="58">
        <f>$B86*60</f>
        <v>60</v>
      </c>
      <c r="E86" s="54">
        <f>C86-D86</f>
        <v>0</v>
      </c>
      <c r="F86" s="162">
        <f>(100*E86)/D86</f>
        <v>0</v>
      </c>
      <c r="G86" s="157">
        <v>1.66667E-2</v>
      </c>
      <c r="H86" s="58">
        <f>$B86/60</f>
        <v>1.6666666666666666E-2</v>
      </c>
      <c r="I86" s="54">
        <f>G86-H86</f>
        <v>3.3333333333135373E-8</v>
      </c>
      <c r="J86" s="162">
        <f>(100*I86)/H86</f>
        <v>1.9999999999881224E-4</v>
      </c>
      <c r="K86" s="154">
        <v>1699.01</v>
      </c>
      <c r="L86" s="58">
        <f>$B86*(POWER(0.3048, 3)*1000)*60</f>
        <v>1699.0107955200003</v>
      </c>
      <c r="M86" s="54">
        <f t="shared" ref="M86:M91" si="168">K86-L86</f>
        <v>-7.9552000033800141E-4</v>
      </c>
      <c r="N86" s="54">
        <f t="shared" ref="N86:N91" si="169">(100*M86)/L86</f>
        <v>-4.6822539470358339E-5</v>
      </c>
      <c r="O86" s="154">
        <v>28.316800000000001</v>
      </c>
      <c r="P86" s="58">
        <f>$B86*(POWER(0.3048, 3)*1000)</f>
        <v>28.316846592000005</v>
      </c>
      <c r="Q86" s="54">
        <f>O86-P86</f>
        <v>-4.6592000003897738E-5</v>
      </c>
      <c r="R86" s="54">
        <f>(100*Q86)/P86</f>
        <v>-1.6453809520252435E-4</v>
      </c>
      <c r="S86" s="154">
        <v>0.47194700000000001</v>
      </c>
      <c r="T86" s="58">
        <f>$B86*(POWER(0.3048, 3)*1000)/60</f>
        <v>0.47194744320000009</v>
      </c>
      <c r="U86" s="54">
        <f>S86-T86</f>
        <v>-4.4320000008868377E-7</v>
      </c>
      <c r="V86" s="54">
        <f>(100*U86)/T86</f>
        <v>-9.3908761764573468E-5</v>
      </c>
      <c r="W86" s="154">
        <v>1.6990099999999999</v>
      </c>
      <c r="X86" s="58">
        <f>$B86*POWER(0.3048,3)*60</f>
        <v>1.6990107955200002</v>
      </c>
      <c r="Y86" s="54">
        <f>W86-X86</f>
        <v>-7.9552000031846148E-7</v>
      </c>
      <c r="Z86" s="54">
        <f>(100*Y86)/X86</f>
        <v>-4.6822539469208271E-5</v>
      </c>
      <c r="AA86" s="154">
        <v>2.83168E-2</v>
      </c>
      <c r="AB86" s="58">
        <f>$B86*POWER(0.3048,3)</f>
        <v>2.8316846592000004E-2</v>
      </c>
      <c r="AC86" s="54">
        <f>AA86-AB86</f>
        <v>-4.6592000004647138E-8</v>
      </c>
      <c r="AD86" s="54">
        <f>(100*AC86)/AB86</f>
        <v>-1.6453809520517083E-4</v>
      </c>
      <c r="AE86" s="154">
        <v>4.7194700000000001E-4</v>
      </c>
      <c r="AF86" s="58">
        <f>$B86*POWER(0.3048,3)/60</f>
        <v>4.719474432000001E-4</v>
      </c>
      <c r="AG86" s="54">
        <f>AE86-AF86</f>
        <v>-4.4320000008304591E-10</v>
      </c>
      <c r="AH86" s="54">
        <f>(100*AG86)/AF86</f>
        <v>-9.3908761763378867E-5</v>
      </c>
    </row>
    <row r="87" spans="2:34" ht="15.75" thickBot="1" x14ac:dyDescent="0.3">
      <c r="B87" s="47">
        <v>987</v>
      </c>
      <c r="C87" s="155">
        <v>59220</v>
      </c>
      <c r="D87" s="58">
        <f t="shared" ref="D87:D91" si="170">$B87*60</f>
        <v>59220</v>
      </c>
      <c r="E87" s="52">
        <f t="shared" ref="E87:E91" si="171">C87-D87</f>
        <v>0</v>
      </c>
      <c r="F87" s="153">
        <f t="shared" ref="F87:F91" si="172">(100*E87)/D87</f>
        <v>0</v>
      </c>
      <c r="G87" s="155">
        <v>16.45</v>
      </c>
      <c r="H87" s="58">
        <f t="shared" ref="H87:H91" si="173">$B87/60</f>
        <v>16.45</v>
      </c>
      <c r="I87" s="52">
        <f t="shared" ref="I87:I91" si="174">G87-H87</f>
        <v>0</v>
      </c>
      <c r="J87" s="153">
        <f t="shared" ref="J87:J91" si="175">(100*I87)/H87</f>
        <v>0</v>
      </c>
      <c r="K87" s="155">
        <v>1676924</v>
      </c>
      <c r="L87" s="58">
        <f t="shared" ref="L87:L91" si="176">$B87*(POWER(0.3048, 3)*1000)*60</f>
        <v>1676923.6551782403</v>
      </c>
      <c r="M87" s="52">
        <f t="shared" si="168"/>
        <v>0.34482175973244011</v>
      </c>
      <c r="N87" s="52">
        <f t="shared" si="169"/>
        <v>2.0562758397953962E-5</v>
      </c>
      <c r="O87" s="155">
        <v>27948.7</v>
      </c>
      <c r="P87" s="58">
        <f t="shared" ref="P87:P91" si="177">$B87*(POWER(0.3048, 3)*1000)</f>
        <v>27948.727586304005</v>
      </c>
      <c r="Q87" s="52">
        <f t="shared" ref="Q87:Q91" si="178">O87-P87</f>
        <v>-2.75863040042168E-2</v>
      </c>
      <c r="R87" s="52">
        <f t="shared" ref="R87:R91" si="179">(100*Q87)/P87</f>
        <v>-9.8703255520423742E-5</v>
      </c>
      <c r="S87" s="155">
        <v>465.81200000000001</v>
      </c>
      <c r="T87" s="58">
        <f t="shared" ref="T87:T91" si="180">$B87*(POWER(0.3048, 3)*1000)/60</f>
        <v>465.81212643840007</v>
      </c>
      <c r="U87" s="52">
        <f t="shared" ref="U87:U91" si="181">S87-T87</f>
        <v>-1.2643840005921447E-4</v>
      </c>
      <c r="V87" s="52">
        <f t="shared" ref="V87:V91" si="182">(100*U87)/T87</f>
        <v>-2.7143647166500922E-5</v>
      </c>
      <c r="W87" s="155">
        <v>1676.92</v>
      </c>
      <c r="X87" s="58">
        <f t="shared" ref="X87:X91" si="183">$B87*POWER(0.3048,3)*60</f>
        <v>1676.9236551782401</v>
      </c>
      <c r="Y87" s="52">
        <f t="shared" ref="Y87:Y91" si="184">W87-X87</f>
        <v>-3.6551782400238153E-3</v>
      </c>
      <c r="Z87" s="52">
        <f t="shared" ref="Z87:Z91" si="185">(100*Y87)/X87</f>
        <v>-2.1796926942600179E-4</v>
      </c>
      <c r="AA87" s="155">
        <v>27.948699999999999</v>
      </c>
      <c r="AB87" s="58">
        <f t="shared" ref="AB87:AB91" si="186">$B87*POWER(0.3048,3)</f>
        <v>27.948727586304003</v>
      </c>
      <c r="AC87" s="52">
        <f t="shared" ref="AC87:AC91" si="187">AA87-AB87</f>
        <v>-2.7586304003790474E-5</v>
      </c>
      <c r="AD87" s="52">
        <f t="shared" ref="AD87:AD91" si="188">(100*AC87)/AB87</f>
        <v>-9.8703255518898365E-5</v>
      </c>
      <c r="AE87" s="155">
        <v>0.465812</v>
      </c>
      <c r="AF87" s="58">
        <f t="shared" ref="AF87:AF91" si="189">$B87*POWER(0.3048,3)/60</f>
        <v>0.46581212643840003</v>
      </c>
      <c r="AG87" s="52">
        <f t="shared" ref="AG87:AG91" si="190">AE87-AF87</f>
        <v>-1.2643840002768414E-7</v>
      </c>
      <c r="AH87" s="52">
        <f t="shared" ref="AH87:AH91" si="191">(100*AG87)/AF87</f>
        <v>-2.7143647159732031E-5</v>
      </c>
    </row>
    <row r="88" spans="2:34" ht="15.75" thickBot="1" x14ac:dyDescent="0.3">
      <c r="B88" s="47">
        <v>5987</v>
      </c>
      <c r="C88" s="159">
        <v>359220</v>
      </c>
      <c r="D88" s="58">
        <f t="shared" si="170"/>
        <v>359220</v>
      </c>
      <c r="E88" s="52">
        <f t="shared" si="171"/>
        <v>0</v>
      </c>
      <c r="F88" s="153">
        <f t="shared" si="172"/>
        <v>0</v>
      </c>
      <c r="G88" s="159">
        <v>99.783299999999997</v>
      </c>
      <c r="H88" s="58">
        <f t="shared" si="173"/>
        <v>99.783333333333331</v>
      </c>
      <c r="I88" s="52">
        <f t="shared" si="174"/>
        <v>-3.3333333334439885E-5</v>
      </c>
      <c r="J88" s="153">
        <f t="shared" si="175"/>
        <v>-3.340571237792539E-5</v>
      </c>
      <c r="K88" s="155">
        <v>10171978</v>
      </c>
      <c r="L88" s="58">
        <f t="shared" si="176"/>
        <v>10171977.632778242</v>
      </c>
      <c r="M88" s="52">
        <f t="shared" si="168"/>
        <v>0.36722175776958466</v>
      </c>
      <c r="N88" s="52">
        <f t="shared" si="169"/>
        <v>3.6101313926040009E-6</v>
      </c>
      <c r="O88" s="155">
        <v>169533</v>
      </c>
      <c r="P88" s="58">
        <f t="shared" si="177"/>
        <v>169532.96054630404</v>
      </c>
      <c r="Q88" s="52">
        <f t="shared" si="178"/>
        <v>3.9453695964766666E-2</v>
      </c>
      <c r="R88" s="52">
        <f t="shared" si="179"/>
        <v>2.327199138010145E-5</v>
      </c>
      <c r="S88" s="155">
        <v>2825.55</v>
      </c>
      <c r="T88" s="58">
        <f t="shared" si="180"/>
        <v>2825.5493424384008</v>
      </c>
      <c r="U88" s="52">
        <f t="shared" si="181"/>
        <v>6.5756159938246128E-4</v>
      </c>
      <c r="V88" s="52">
        <f t="shared" si="182"/>
        <v>2.3271991379028506E-5</v>
      </c>
      <c r="W88" s="155">
        <v>10172</v>
      </c>
      <c r="X88" s="58">
        <f t="shared" si="183"/>
        <v>10171.977632778242</v>
      </c>
      <c r="Y88" s="52">
        <f t="shared" si="184"/>
        <v>2.2367221758031519E-2</v>
      </c>
      <c r="Z88" s="52">
        <f t="shared" si="185"/>
        <v>2.1989059124506182E-4</v>
      </c>
      <c r="AA88" s="155">
        <v>169.53299999999999</v>
      </c>
      <c r="AB88" s="58">
        <f t="shared" si="186"/>
        <v>169.53296054630403</v>
      </c>
      <c r="AC88" s="52">
        <f t="shared" si="187"/>
        <v>3.9453695961810809E-5</v>
      </c>
      <c r="AD88" s="52">
        <f t="shared" si="188"/>
        <v>2.3271991378357921E-5</v>
      </c>
      <c r="AE88" s="155">
        <v>2.8255499999999998</v>
      </c>
      <c r="AF88" s="58">
        <f t="shared" si="189"/>
        <v>2.8255493424384004</v>
      </c>
      <c r="AG88" s="52">
        <f t="shared" si="190"/>
        <v>6.5756159939311942E-7</v>
      </c>
      <c r="AH88" s="52">
        <f t="shared" si="191"/>
        <v>2.3271991379405717E-5</v>
      </c>
    </row>
    <row r="89" spans="2:34" ht="15.75" thickBot="1" x14ac:dyDescent="0.3">
      <c r="B89" s="47">
        <v>4455667788</v>
      </c>
      <c r="C89" s="155">
        <v>267340067280</v>
      </c>
      <c r="D89" s="58">
        <f t="shared" si="170"/>
        <v>267340067280</v>
      </c>
      <c r="E89" s="52">
        <f t="shared" si="171"/>
        <v>0</v>
      </c>
      <c r="F89" s="153">
        <f t="shared" si="172"/>
        <v>0</v>
      </c>
      <c r="G89" s="155">
        <v>74261130</v>
      </c>
      <c r="H89" s="58">
        <f t="shared" si="173"/>
        <v>74261129.799999997</v>
      </c>
      <c r="I89" s="52">
        <f t="shared" si="174"/>
        <v>0.20000000298023224</v>
      </c>
      <c r="J89" s="153">
        <f t="shared" si="175"/>
        <v>2.6931990331802392E-7</v>
      </c>
      <c r="K89" s="159">
        <v>7570227673063</v>
      </c>
      <c r="L89" s="58">
        <f t="shared" si="176"/>
        <v>7570227673062.7207</v>
      </c>
      <c r="M89" s="52">
        <f t="shared" si="168"/>
        <v>0.279296875</v>
      </c>
      <c r="N89" s="52">
        <f t="shared" si="169"/>
        <v>3.6894118256684294E-12</v>
      </c>
      <c r="O89" s="159">
        <v>126170461218</v>
      </c>
      <c r="P89" s="58">
        <f t="shared" si="177"/>
        <v>126170461217.71201</v>
      </c>
      <c r="Q89" s="52">
        <f t="shared" si="178"/>
        <v>0.287994384765625</v>
      </c>
      <c r="R89" s="52">
        <f t="shared" si="179"/>
        <v>2.2825816913570567E-10</v>
      </c>
      <c r="S89" s="159">
        <v>2102841020</v>
      </c>
      <c r="T89" s="58">
        <f t="shared" si="180"/>
        <v>2102841020.2952001</v>
      </c>
      <c r="U89" s="52">
        <f t="shared" si="181"/>
        <v>-0.29520010948181152</v>
      </c>
      <c r="V89" s="52">
        <f t="shared" si="182"/>
        <v>-1.4038156314849273E-8</v>
      </c>
      <c r="W89" s="159">
        <v>7570227673</v>
      </c>
      <c r="X89" s="58">
        <f t="shared" si="183"/>
        <v>7570227673.0627203</v>
      </c>
      <c r="Y89" s="52">
        <f t="shared" si="184"/>
        <v>-6.2720298767089844E-2</v>
      </c>
      <c r="Z89" s="52">
        <f t="shared" si="185"/>
        <v>-8.2851271422481292E-10</v>
      </c>
      <c r="AA89" s="159">
        <v>126170461</v>
      </c>
      <c r="AB89" s="58">
        <f t="shared" si="186"/>
        <v>126170461.217712</v>
      </c>
      <c r="AC89" s="52">
        <f t="shared" si="187"/>
        <v>-0.21771200001239777</v>
      </c>
      <c r="AD89" s="52">
        <f t="shared" si="188"/>
        <v>-1.72553859208557E-7</v>
      </c>
      <c r="AE89" s="159">
        <v>2102841</v>
      </c>
      <c r="AF89" s="58">
        <f t="shared" si="189"/>
        <v>2102841.0202951999</v>
      </c>
      <c r="AG89" s="52">
        <f t="shared" si="190"/>
        <v>-2.0295199938118458E-2</v>
      </c>
      <c r="AH89" s="52">
        <f t="shared" si="191"/>
        <v>-9.6513239670725967E-7</v>
      </c>
    </row>
    <row r="90" spans="2:34" ht="15.75" thickBot="1" x14ac:dyDescent="0.3">
      <c r="B90" s="47">
        <v>-654</v>
      </c>
      <c r="C90" s="155">
        <v>-39240</v>
      </c>
      <c r="D90" s="58">
        <f t="shared" si="170"/>
        <v>-39240</v>
      </c>
      <c r="E90" s="52">
        <f t="shared" si="171"/>
        <v>0</v>
      </c>
      <c r="F90" s="153">
        <f t="shared" si="172"/>
        <v>0</v>
      </c>
      <c r="G90" s="155">
        <v>-10.9</v>
      </c>
      <c r="H90" s="58">
        <f t="shared" si="173"/>
        <v>-10.9</v>
      </c>
      <c r="I90" s="52">
        <f t="shared" si="174"/>
        <v>0</v>
      </c>
      <c r="J90" s="153">
        <f t="shared" si="175"/>
        <v>0</v>
      </c>
      <c r="K90" s="155">
        <v>-1111153</v>
      </c>
      <c r="L90" s="58">
        <f t="shared" si="176"/>
        <v>-1111153.0602700803</v>
      </c>
      <c r="M90" s="52">
        <f t="shared" si="168"/>
        <v>6.0270080342888832E-2</v>
      </c>
      <c r="N90" s="52">
        <f t="shared" si="169"/>
        <v>-5.4241024479777246E-6</v>
      </c>
      <c r="O90" s="155">
        <v>-18519.2</v>
      </c>
      <c r="P90" s="58">
        <f t="shared" si="177"/>
        <v>-18519.217671168004</v>
      </c>
      <c r="Q90" s="52">
        <f t="shared" si="178"/>
        <v>1.7671168003289495E-2</v>
      </c>
      <c r="R90" s="52">
        <f t="shared" si="179"/>
        <v>-9.5420704681284615E-5</v>
      </c>
      <c r="S90" s="155">
        <v>-308.654</v>
      </c>
      <c r="T90" s="58">
        <f t="shared" si="180"/>
        <v>-308.65362785280007</v>
      </c>
      <c r="U90" s="52">
        <f t="shared" si="181"/>
        <v>-3.7214719992562095E-4</v>
      </c>
      <c r="V90" s="52">
        <f t="shared" si="182"/>
        <v>1.2057114070374756E-4</v>
      </c>
      <c r="W90" s="155">
        <v>-1111.1500000000001</v>
      </c>
      <c r="X90" s="58">
        <f t="shared" si="183"/>
        <v>-1111.1530602700802</v>
      </c>
      <c r="Y90" s="52">
        <f t="shared" si="184"/>
        <v>3.060270080140981E-3</v>
      </c>
      <c r="Z90" s="52">
        <f t="shared" si="185"/>
        <v>-2.7541390916901607E-4</v>
      </c>
      <c r="AA90" s="155">
        <v>-18.519200000000001</v>
      </c>
      <c r="AB90" s="58">
        <f t="shared" si="186"/>
        <v>-18.519217671168004</v>
      </c>
      <c r="AC90" s="52">
        <f t="shared" si="187"/>
        <v>1.7671168002664217E-5</v>
      </c>
      <c r="AD90" s="52">
        <f t="shared" si="188"/>
        <v>-9.5420704677908234E-5</v>
      </c>
      <c r="AE90" s="155">
        <v>-0.30865399999999998</v>
      </c>
      <c r="AF90" s="58">
        <f t="shared" si="189"/>
        <v>-0.30865362785280009</v>
      </c>
      <c r="AG90" s="52">
        <f t="shared" si="190"/>
        <v>-3.7214719988964973E-7</v>
      </c>
      <c r="AH90" s="52">
        <f t="shared" si="191"/>
        <v>1.2057114069209332E-4</v>
      </c>
    </row>
    <row r="91" spans="2:34" ht="15.75" thickBot="1" x14ac:dyDescent="0.3">
      <c r="B91" s="74">
        <v>0.65469999999999995</v>
      </c>
      <c r="C91" s="158">
        <v>39.281999999999996</v>
      </c>
      <c r="D91" s="58">
        <f t="shared" si="170"/>
        <v>39.281999999999996</v>
      </c>
      <c r="E91" s="57">
        <f t="shared" si="171"/>
        <v>0</v>
      </c>
      <c r="F91" s="163">
        <f t="shared" si="172"/>
        <v>0</v>
      </c>
      <c r="G91" s="158">
        <v>1.09117E-2</v>
      </c>
      <c r="H91" s="58">
        <f t="shared" si="173"/>
        <v>1.0911666666666665E-2</v>
      </c>
      <c r="I91" s="57">
        <f t="shared" si="174"/>
        <v>3.3333333334870097E-8</v>
      </c>
      <c r="J91" s="163">
        <f t="shared" si="175"/>
        <v>3.0548342753814053E-4</v>
      </c>
      <c r="K91" s="158">
        <v>1112.3399999999999</v>
      </c>
      <c r="L91" s="58">
        <f t="shared" si="176"/>
        <v>1112.3423678269442</v>
      </c>
      <c r="M91" s="57">
        <f t="shared" si="168"/>
        <v>-2.3678269442370947E-3</v>
      </c>
      <c r="N91" s="57">
        <f t="shared" si="169"/>
        <v>-2.1286853874521089E-4</v>
      </c>
      <c r="O91" s="158">
        <v>18.539000000000001</v>
      </c>
      <c r="P91" s="58">
        <f t="shared" si="177"/>
        <v>18.539039463782402</v>
      </c>
      <c r="Q91" s="57">
        <f t="shared" si="178"/>
        <v>-3.9463782400162017E-5</v>
      </c>
      <c r="R91" s="57">
        <f t="shared" si="179"/>
        <v>-2.1286853872476991E-4</v>
      </c>
      <c r="S91" s="158">
        <v>0.30898399999999998</v>
      </c>
      <c r="T91" s="58">
        <f t="shared" si="180"/>
        <v>0.30898399106304003</v>
      </c>
      <c r="U91" s="57">
        <f t="shared" si="181"/>
        <v>8.9369599498567709E-9</v>
      </c>
      <c r="V91" s="57">
        <f t="shared" si="182"/>
        <v>2.8923698988771944E-6</v>
      </c>
      <c r="W91" s="158">
        <v>1.1123400000000001</v>
      </c>
      <c r="X91" s="58">
        <f t="shared" si="183"/>
        <v>1.1123423678269442</v>
      </c>
      <c r="Y91" s="57">
        <f t="shared" si="184"/>
        <v>-2.3678269440718935E-6</v>
      </c>
      <c r="Z91" s="57">
        <f t="shared" si="185"/>
        <v>-2.1286853873035921E-4</v>
      </c>
      <c r="AA91" s="158">
        <v>1.8539E-2</v>
      </c>
      <c r="AB91" s="58">
        <f t="shared" si="186"/>
        <v>1.8539039463782402E-2</v>
      </c>
      <c r="AC91" s="57">
        <f t="shared" si="187"/>
        <v>-3.9463782401660819E-8</v>
      </c>
      <c r="AD91" s="57">
        <f t="shared" si="188"/>
        <v>-2.1286853873285448E-4</v>
      </c>
      <c r="AE91" s="158">
        <v>3.0898399999999999E-4</v>
      </c>
      <c r="AF91" s="58">
        <f t="shared" si="189"/>
        <v>3.0898399106304004E-4</v>
      </c>
      <c r="AG91" s="57">
        <f t="shared" si="190"/>
        <v>8.9369599502904518E-12</v>
      </c>
      <c r="AH91" s="57">
        <f t="shared" si="191"/>
        <v>2.8923698990175516E-6</v>
      </c>
    </row>
    <row r="92" spans="2:34" ht="15.75" thickBot="1" x14ac:dyDescent="0.3">
      <c r="C92" s="165"/>
      <c r="D92" s="165"/>
      <c r="E92" s="164"/>
      <c r="F92" s="164"/>
      <c r="G92" s="165"/>
      <c r="H92" s="165"/>
      <c r="I92" s="164"/>
      <c r="J92" s="164"/>
      <c r="K92" s="165"/>
      <c r="L92" s="165"/>
      <c r="M92" s="164"/>
      <c r="N92" s="164"/>
      <c r="O92" s="165"/>
      <c r="P92" s="165"/>
      <c r="Q92" s="164"/>
      <c r="R92" s="164"/>
      <c r="S92" s="165"/>
      <c r="T92" s="165"/>
      <c r="U92" s="164"/>
      <c r="V92" s="164"/>
      <c r="W92" s="165"/>
      <c r="X92" s="165"/>
      <c r="Y92" s="164"/>
      <c r="Z92" s="164"/>
      <c r="AA92" s="165"/>
      <c r="AB92" s="165"/>
      <c r="AC92" s="164"/>
      <c r="AD92" s="164"/>
      <c r="AE92" s="165"/>
      <c r="AF92" s="165"/>
      <c r="AG92" s="164"/>
      <c r="AH92" s="164"/>
    </row>
    <row r="93" spans="2:34" x14ac:dyDescent="0.25">
      <c r="B93" s="341" t="s">
        <v>10</v>
      </c>
      <c r="C93" s="166" t="s">
        <v>14</v>
      </c>
      <c r="D93" s="168" t="s">
        <v>14</v>
      </c>
      <c r="E93" s="343" t="s">
        <v>354</v>
      </c>
      <c r="F93" s="357" t="s">
        <v>355</v>
      </c>
      <c r="G93" s="166" t="s">
        <v>14</v>
      </c>
      <c r="H93" s="168" t="s">
        <v>14</v>
      </c>
      <c r="I93" s="343" t="s">
        <v>354</v>
      </c>
      <c r="J93" s="357" t="s">
        <v>355</v>
      </c>
      <c r="K93" s="166" t="s">
        <v>14</v>
      </c>
      <c r="L93" s="168" t="s">
        <v>14</v>
      </c>
      <c r="M93" s="376" t="s">
        <v>354</v>
      </c>
      <c r="N93" s="378" t="s">
        <v>355</v>
      </c>
      <c r="O93" s="166" t="s">
        <v>14</v>
      </c>
      <c r="P93" s="168" t="s">
        <v>14</v>
      </c>
      <c r="Q93" s="376" t="s">
        <v>354</v>
      </c>
      <c r="R93" s="378" t="s">
        <v>355</v>
      </c>
      <c r="S93" s="166" t="s">
        <v>14</v>
      </c>
      <c r="T93" s="168" t="s">
        <v>14</v>
      </c>
      <c r="U93" s="343" t="s">
        <v>354</v>
      </c>
      <c r="V93" s="352" t="s">
        <v>355</v>
      </c>
      <c r="W93" s="166" t="s">
        <v>14</v>
      </c>
      <c r="X93" s="168" t="s">
        <v>14</v>
      </c>
      <c r="Y93" s="343" t="s">
        <v>354</v>
      </c>
      <c r="Z93" s="352" t="s">
        <v>355</v>
      </c>
      <c r="AA93" s="166" t="s">
        <v>14</v>
      </c>
      <c r="AB93" s="168" t="s">
        <v>14</v>
      </c>
      <c r="AC93" s="343" t="s">
        <v>354</v>
      </c>
      <c r="AD93" s="352" t="s">
        <v>355</v>
      </c>
      <c r="AE93" s="166" t="s">
        <v>14</v>
      </c>
      <c r="AF93" s="168" t="s">
        <v>14</v>
      </c>
      <c r="AG93" s="343" t="s">
        <v>354</v>
      </c>
      <c r="AH93" s="352" t="s">
        <v>355</v>
      </c>
    </row>
    <row r="94" spans="2:34" ht="15.75" thickBot="1" x14ac:dyDescent="0.3">
      <c r="B94" s="342"/>
      <c r="C94" s="167" t="s">
        <v>290</v>
      </c>
      <c r="D94" s="169" t="s">
        <v>291</v>
      </c>
      <c r="E94" s="344"/>
      <c r="F94" s="358"/>
      <c r="G94" s="167" t="s">
        <v>290</v>
      </c>
      <c r="H94" s="169" t="s">
        <v>291</v>
      </c>
      <c r="I94" s="344"/>
      <c r="J94" s="358"/>
      <c r="K94" s="167" t="s">
        <v>290</v>
      </c>
      <c r="L94" s="169" t="s">
        <v>291</v>
      </c>
      <c r="M94" s="373"/>
      <c r="N94" s="379"/>
      <c r="O94" s="167" t="s">
        <v>290</v>
      </c>
      <c r="P94" s="169" t="s">
        <v>291</v>
      </c>
      <c r="Q94" s="373"/>
      <c r="R94" s="379"/>
      <c r="S94" s="167" t="s">
        <v>290</v>
      </c>
      <c r="T94" s="169" t="s">
        <v>291</v>
      </c>
      <c r="U94" s="344"/>
      <c r="V94" s="353"/>
      <c r="W94" s="167" t="s">
        <v>290</v>
      </c>
      <c r="X94" s="169" t="s">
        <v>291</v>
      </c>
      <c r="Y94" s="344"/>
      <c r="Z94" s="353"/>
      <c r="AA94" s="167" t="s">
        <v>290</v>
      </c>
      <c r="AB94" s="169" t="s">
        <v>291</v>
      </c>
      <c r="AC94" s="344"/>
      <c r="AD94" s="353"/>
      <c r="AE94" s="167" t="s">
        <v>290</v>
      </c>
      <c r="AF94" s="169" t="s">
        <v>291</v>
      </c>
      <c r="AG94" s="344"/>
      <c r="AH94" s="353"/>
    </row>
    <row r="95" spans="2:34" ht="15.75" thickBot="1" x14ac:dyDescent="0.3">
      <c r="B95" s="346" t="s">
        <v>574</v>
      </c>
      <c r="C95" s="363" t="s">
        <v>571</v>
      </c>
      <c r="D95" s="177" t="s">
        <v>571</v>
      </c>
      <c r="E95" s="344"/>
      <c r="F95" s="358"/>
      <c r="G95" s="363" t="s">
        <v>570</v>
      </c>
      <c r="H95" s="177" t="s">
        <v>570</v>
      </c>
      <c r="I95" s="344"/>
      <c r="J95" s="358"/>
      <c r="K95" s="363" t="s">
        <v>564</v>
      </c>
      <c r="L95" s="177" t="s">
        <v>564</v>
      </c>
      <c r="M95" s="373"/>
      <c r="N95" s="379"/>
      <c r="O95" s="363" t="s">
        <v>566</v>
      </c>
      <c r="P95" s="177" t="s">
        <v>566</v>
      </c>
      <c r="Q95" s="373"/>
      <c r="R95" s="379"/>
      <c r="S95" s="363" t="s">
        <v>71</v>
      </c>
      <c r="T95" s="177" t="s">
        <v>71</v>
      </c>
      <c r="U95" s="344"/>
      <c r="V95" s="354"/>
      <c r="W95" s="363" t="s">
        <v>70</v>
      </c>
      <c r="X95" s="177" t="s">
        <v>70</v>
      </c>
      <c r="Y95" s="344"/>
      <c r="Z95" s="354"/>
      <c r="AA95" s="363" t="s">
        <v>72</v>
      </c>
      <c r="AB95" s="177" t="s">
        <v>72</v>
      </c>
      <c r="AC95" s="344"/>
      <c r="AD95" s="354"/>
      <c r="AE95" s="363" t="s">
        <v>69</v>
      </c>
      <c r="AF95" s="177" t="s">
        <v>69</v>
      </c>
      <c r="AG95" s="344"/>
      <c r="AH95" s="354"/>
    </row>
    <row r="96" spans="2:34" ht="45.75" thickBot="1" x14ac:dyDescent="0.3">
      <c r="B96" s="347"/>
      <c r="C96" s="364"/>
      <c r="D96" s="222" t="s">
        <v>621</v>
      </c>
      <c r="E96" s="345"/>
      <c r="F96" s="359"/>
      <c r="G96" s="364"/>
      <c r="H96" s="222" t="s">
        <v>622</v>
      </c>
      <c r="I96" s="345"/>
      <c r="J96" s="359"/>
      <c r="K96" s="365"/>
      <c r="L96" s="222" t="s">
        <v>623</v>
      </c>
      <c r="M96" s="377"/>
      <c r="N96" s="380"/>
      <c r="O96" s="365"/>
      <c r="P96" s="222" t="s">
        <v>624</v>
      </c>
      <c r="Q96" s="377"/>
      <c r="R96" s="380"/>
      <c r="S96" s="364"/>
      <c r="T96" s="222" t="s">
        <v>625</v>
      </c>
      <c r="U96" s="345"/>
      <c r="V96" s="345"/>
      <c r="W96" s="364"/>
      <c r="X96" s="222" t="s">
        <v>627</v>
      </c>
      <c r="Y96" s="345"/>
      <c r="Z96" s="345"/>
      <c r="AA96" s="364"/>
      <c r="AB96" s="222" t="s">
        <v>628</v>
      </c>
      <c r="AC96" s="345"/>
      <c r="AD96" s="345"/>
      <c r="AE96" s="364"/>
      <c r="AF96" s="222" t="s">
        <v>629</v>
      </c>
      <c r="AG96" s="345"/>
      <c r="AH96" s="345"/>
    </row>
    <row r="97" spans="2:34" ht="15.75" thickBot="1" x14ac:dyDescent="0.3">
      <c r="B97" s="44">
        <v>1</v>
      </c>
      <c r="C97" s="157">
        <v>3600</v>
      </c>
      <c r="D97" s="58">
        <f>$B97*3600</f>
        <v>3600</v>
      </c>
      <c r="E97" s="54">
        <f>C97-D97</f>
        <v>0</v>
      </c>
      <c r="F97" s="162">
        <f>(100*E97)/D97</f>
        <v>0</v>
      </c>
      <c r="G97" s="157">
        <v>60</v>
      </c>
      <c r="H97" s="58">
        <f>$B97*60</f>
        <v>60</v>
      </c>
      <c r="I97" s="54">
        <f>G97-H97</f>
        <v>0</v>
      </c>
      <c r="J97" s="162">
        <f>(100*I97)/H97</f>
        <v>0</v>
      </c>
      <c r="K97" s="154">
        <v>101941</v>
      </c>
      <c r="L97" s="58">
        <f>$B97*(POWER(0.3048, 3)*1000)*3600</f>
        <v>101940.64773120002</v>
      </c>
      <c r="M97" s="54">
        <f t="shared" ref="M97:M102" si="192">K97-L97</f>
        <v>0.35226879997935612</v>
      </c>
      <c r="N97" s="54">
        <f t="shared" ref="N97:N102" si="193">(100*M97)/L97</f>
        <v>3.4556264632360238E-4</v>
      </c>
      <c r="O97" s="154">
        <v>1699.01</v>
      </c>
      <c r="P97" s="58">
        <f>$B97*(POWER(0.3048, 3)*1000)*60</f>
        <v>1699.0107955200003</v>
      </c>
      <c r="Q97" s="54">
        <f>O97-P97</f>
        <v>-7.9552000033800141E-4</v>
      </c>
      <c r="R97" s="54">
        <f>(100*Q97)/P97</f>
        <v>-4.6822539470358339E-5</v>
      </c>
      <c r="S97" s="154">
        <v>28.316800000000001</v>
      </c>
      <c r="T97" s="58">
        <f>$B97*(POWER(0.3048, 3)*1000)</f>
        <v>28.316846592000005</v>
      </c>
      <c r="U97" s="54">
        <f>S97-T97</f>
        <v>-4.6592000003897738E-5</v>
      </c>
      <c r="V97" s="54">
        <f>(100*U97)/T97</f>
        <v>-1.6453809520252435E-4</v>
      </c>
      <c r="W97" s="154">
        <v>101.941</v>
      </c>
      <c r="X97" s="58">
        <f>$B97*POWER(0.3048,3)*3600</f>
        <v>101.94064773120002</v>
      </c>
      <c r="Y97" s="54">
        <f>W97-X97</f>
        <v>3.5226879998617733E-4</v>
      </c>
      <c r="Z97" s="54">
        <f>(100*Y97)/X97</f>
        <v>3.4556264633029375E-4</v>
      </c>
      <c r="AA97" s="154">
        <v>1.6990099999999999</v>
      </c>
      <c r="AB97" s="58">
        <f>$B97*POWER(0.3048,3)*60</f>
        <v>1.6990107955200002</v>
      </c>
      <c r="AC97" s="54">
        <f>AA97-AB97</f>
        <v>-7.9552000031846148E-7</v>
      </c>
      <c r="AD97" s="54">
        <f>(100*AC97)/AB97</f>
        <v>-4.6822539469208271E-5</v>
      </c>
      <c r="AE97" s="154">
        <v>2.83168E-2</v>
      </c>
      <c r="AF97" s="58">
        <f>$B97*POWER(0.3048,3)</f>
        <v>2.8316846592000004E-2</v>
      </c>
      <c r="AG97" s="54">
        <f>AE97-AF97</f>
        <v>-4.6592000004647138E-8</v>
      </c>
      <c r="AH97" s="54">
        <f>(100*AG97)/AF97</f>
        <v>-1.6453809520517083E-4</v>
      </c>
    </row>
    <row r="98" spans="2:34" ht="15.75" thickBot="1" x14ac:dyDescent="0.3">
      <c r="B98" s="47">
        <v>987</v>
      </c>
      <c r="C98" s="155">
        <v>3553200</v>
      </c>
      <c r="D98" s="58">
        <f t="shared" ref="D98:D102" si="194">$B98*3600</f>
        <v>3553200</v>
      </c>
      <c r="E98" s="52">
        <f t="shared" ref="E98:E102" si="195">C98-D98</f>
        <v>0</v>
      </c>
      <c r="F98" s="153">
        <f t="shared" ref="F98:F102" si="196">(100*E98)/D98</f>
        <v>0</v>
      </c>
      <c r="G98" s="155">
        <v>59220</v>
      </c>
      <c r="H98" s="58">
        <f t="shared" ref="H98:H102" si="197">$B98*60</f>
        <v>59220</v>
      </c>
      <c r="I98" s="52">
        <f t="shared" ref="I98:I102" si="198">G98-H98</f>
        <v>0</v>
      </c>
      <c r="J98" s="153">
        <f t="shared" ref="J98:J102" si="199">(100*I98)/H98</f>
        <v>0</v>
      </c>
      <c r="K98" s="155">
        <v>100615419</v>
      </c>
      <c r="L98" s="58">
        <f t="shared" ref="L98:L102" si="200">$B98*(POWER(0.3048, 3)*1000)*3600</f>
        <v>100615419.31069441</v>
      </c>
      <c r="M98" s="52">
        <f t="shared" si="192"/>
        <v>-0.31069441139698029</v>
      </c>
      <c r="N98" s="52">
        <f t="shared" si="193"/>
        <v>-3.0879403328586692E-7</v>
      </c>
      <c r="O98" s="155">
        <v>1676924</v>
      </c>
      <c r="P98" s="58">
        <f t="shared" ref="P98:P102" si="201">$B98*(POWER(0.3048, 3)*1000)*60</f>
        <v>1676923.6551782403</v>
      </c>
      <c r="Q98" s="52">
        <f t="shared" ref="Q98:Q102" si="202">O98-P98</f>
        <v>0.34482175973244011</v>
      </c>
      <c r="R98" s="52">
        <f t="shared" ref="R98:R102" si="203">(100*Q98)/P98</f>
        <v>2.0562758397953962E-5</v>
      </c>
      <c r="S98" s="155">
        <v>27948.7</v>
      </c>
      <c r="T98" s="58">
        <f t="shared" ref="T98:T102" si="204">$B98*(POWER(0.3048, 3)*1000)</f>
        <v>27948.727586304005</v>
      </c>
      <c r="U98" s="52">
        <f t="shared" ref="U98:U102" si="205">S98-T98</f>
        <v>-2.75863040042168E-2</v>
      </c>
      <c r="V98" s="52">
        <f t="shared" ref="V98:V102" si="206">(100*U98)/T98</f>
        <v>-9.8703255520423742E-5</v>
      </c>
      <c r="W98" s="155">
        <v>100615</v>
      </c>
      <c r="X98" s="58">
        <f t="shared" ref="X98:X102" si="207">$B98*POWER(0.3048,3)*3600</f>
        <v>100615.41931069441</v>
      </c>
      <c r="Y98" s="52">
        <f t="shared" ref="Y98:Y102" si="208">W98-X98</f>
        <v>-0.41931069441488944</v>
      </c>
      <c r="Z98" s="52">
        <f t="shared" ref="Z98:Z102" si="209">(100*Y98)/X98</f>
        <v>-4.1674595930478908E-4</v>
      </c>
      <c r="AA98" s="155">
        <v>1676.92</v>
      </c>
      <c r="AB98" s="58">
        <f t="shared" ref="AB98:AB102" si="210">$B98*POWER(0.3048,3)*60</f>
        <v>1676.9236551782401</v>
      </c>
      <c r="AC98" s="52">
        <f t="shared" ref="AC98:AC102" si="211">AA98-AB98</f>
        <v>-3.6551782400238153E-3</v>
      </c>
      <c r="AD98" s="52">
        <f t="shared" ref="AD98:AD102" si="212">(100*AC98)/AB98</f>
        <v>-2.1796926942600179E-4</v>
      </c>
      <c r="AE98" s="155">
        <v>27.948699999999999</v>
      </c>
      <c r="AF98" s="58">
        <f t="shared" ref="AF98:AF102" si="213">$B98*POWER(0.3048,3)</f>
        <v>27.948727586304003</v>
      </c>
      <c r="AG98" s="52">
        <f t="shared" ref="AG98:AG102" si="214">AE98-AF98</f>
        <v>-2.7586304003790474E-5</v>
      </c>
      <c r="AH98" s="52">
        <f t="shared" ref="AH98:AH102" si="215">(100*AG98)/AF98</f>
        <v>-9.8703255518898365E-5</v>
      </c>
    </row>
    <row r="99" spans="2:34" ht="15.75" thickBot="1" x14ac:dyDescent="0.3">
      <c r="B99" s="47">
        <v>5987</v>
      </c>
      <c r="C99" s="159">
        <v>21553200</v>
      </c>
      <c r="D99" s="58">
        <f t="shared" si="194"/>
        <v>21553200</v>
      </c>
      <c r="E99" s="52">
        <f t="shared" si="195"/>
        <v>0</v>
      </c>
      <c r="F99" s="153">
        <f t="shared" si="196"/>
        <v>0</v>
      </c>
      <c r="G99" s="159">
        <v>359220</v>
      </c>
      <c r="H99" s="58">
        <f t="shared" si="197"/>
        <v>359220</v>
      </c>
      <c r="I99" s="52">
        <f t="shared" si="198"/>
        <v>0</v>
      </c>
      <c r="J99" s="153">
        <f t="shared" si="199"/>
        <v>0</v>
      </c>
      <c r="K99" s="155">
        <v>610318658</v>
      </c>
      <c r="L99" s="58">
        <f t="shared" si="200"/>
        <v>610318657.96669447</v>
      </c>
      <c r="M99" s="52">
        <f t="shared" si="192"/>
        <v>3.3305525779724121E-2</v>
      </c>
      <c r="N99" s="52">
        <f t="shared" si="193"/>
        <v>5.4570715387733775E-9</v>
      </c>
      <c r="O99" s="155">
        <v>10171978</v>
      </c>
      <c r="P99" s="58">
        <f t="shared" si="201"/>
        <v>10171977.632778242</v>
      </c>
      <c r="Q99" s="52">
        <f t="shared" si="202"/>
        <v>0.36722175776958466</v>
      </c>
      <c r="R99" s="52">
        <f t="shared" si="203"/>
        <v>3.6101313926040009E-6</v>
      </c>
      <c r="S99" s="155">
        <v>169533</v>
      </c>
      <c r="T99" s="58">
        <f t="shared" si="204"/>
        <v>169532.96054630404</v>
      </c>
      <c r="U99" s="52">
        <f t="shared" si="205"/>
        <v>3.9453695964766666E-2</v>
      </c>
      <c r="V99" s="52">
        <f t="shared" si="206"/>
        <v>2.327199138010145E-5</v>
      </c>
      <c r="W99" s="155">
        <v>610319</v>
      </c>
      <c r="X99" s="58">
        <f t="shared" si="207"/>
        <v>610318.65796669445</v>
      </c>
      <c r="Y99" s="52">
        <f t="shared" si="208"/>
        <v>0.34203330555465072</v>
      </c>
      <c r="Z99" s="52">
        <f t="shared" si="209"/>
        <v>5.6041758037375249E-5</v>
      </c>
      <c r="AA99" s="155">
        <v>10172</v>
      </c>
      <c r="AB99" s="58">
        <f t="shared" si="210"/>
        <v>10171.977632778242</v>
      </c>
      <c r="AC99" s="52">
        <f t="shared" si="211"/>
        <v>2.2367221758031519E-2</v>
      </c>
      <c r="AD99" s="52">
        <f t="shared" si="212"/>
        <v>2.1989059124506182E-4</v>
      </c>
      <c r="AE99" s="155">
        <v>169.53299999999999</v>
      </c>
      <c r="AF99" s="58">
        <f t="shared" si="213"/>
        <v>169.53296054630403</v>
      </c>
      <c r="AG99" s="52">
        <f t="shared" si="214"/>
        <v>3.9453695961810809E-5</v>
      </c>
      <c r="AH99" s="52">
        <f t="shared" si="215"/>
        <v>2.3271991378357921E-5</v>
      </c>
    </row>
    <row r="100" spans="2:34" ht="15.75" thickBot="1" x14ac:dyDescent="0.3">
      <c r="B100" s="47">
        <v>4455667788</v>
      </c>
      <c r="C100" s="155">
        <v>16040404036800</v>
      </c>
      <c r="D100" s="58">
        <f t="shared" si="194"/>
        <v>16040404036800</v>
      </c>
      <c r="E100" s="52">
        <f t="shared" si="195"/>
        <v>0</v>
      </c>
      <c r="F100" s="153">
        <f t="shared" si="196"/>
        <v>0</v>
      </c>
      <c r="G100" s="155">
        <v>267340067280</v>
      </c>
      <c r="H100" s="58">
        <f t="shared" si="197"/>
        <v>267340067280</v>
      </c>
      <c r="I100" s="52">
        <f t="shared" si="198"/>
        <v>0</v>
      </c>
      <c r="J100" s="153">
        <f t="shared" si="199"/>
        <v>0</v>
      </c>
      <c r="K100" s="159">
        <v>454213660383763</v>
      </c>
      <c r="L100" s="58">
        <f t="shared" si="200"/>
        <v>454213660383763.25</v>
      </c>
      <c r="M100" s="52">
        <f t="shared" si="192"/>
        <v>0</v>
      </c>
      <c r="N100" s="52">
        <f t="shared" si="193"/>
        <v>0</v>
      </c>
      <c r="O100" s="159">
        <v>7570227673063</v>
      </c>
      <c r="P100" s="58">
        <f t="shared" si="201"/>
        <v>7570227673062.7207</v>
      </c>
      <c r="Q100" s="52">
        <f t="shared" si="202"/>
        <v>0.279296875</v>
      </c>
      <c r="R100" s="52">
        <f t="shared" si="203"/>
        <v>3.6894118256684294E-12</v>
      </c>
      <c r="S100" s="159">
        <v>126170461218</v>
      </c>
      <c r="T100" s="58">
        <f t="shared" si="204"/>
        <v>126170461217.71201</v>
      </c>
      <c r="U100" s="52">
        <f t="shared" si="205"/>
        <v>0.287994384765625</v>
      </c>
      <c r="V100" s="52">
        <f t="shared" si="206"/>
        <v>2.2825816913570567E-10</v>
      </c>
      <c r="W100" s="159">
        <v>454213660384</v>
      </c>
      <c r="X100" s="58">
        <f t="shared" si="207"/>
        <v>454213660383.76318</v>
      </c>
      <c r="Y100" s="52">
        <f t="shared" si="208"/>
        <v>0.23681640625</v>
      </c>
      <c r="Z100" s="52">
        <f t="shared" si="209"/>
        <v>5.213766711681785E-11</v>
      </c>
      <c r="AA100" s="159">
        <v>7570227673</v>
      </c>
      <c r="AB100" s="58">
        <f t="shared" si="210"/>
        <v>7570227673.0627203</v>
      </c>
      <c r="AC100" s="52">
        <f t="shared" si="211"/>
        <v>-6.2720298767089844E-2</v>
      </c>
      <c r="AD100" s="52">
        <f t="shared" si="212"/>
        <v>-8.2851271422481292E-10</v>
      </c>
      <c r="AE100" s="159">
        <v>126170461</v>
      </c>
      <c r="AF100" s="58">
        <f t="shared" si="213"/>
        <v>126170461.217712</v>
      </c>
      <c r="AG100" s="52">
        <f t="shared" si="214"/>
        <v>-0.21771200001239777</v>
      </c>
      <c r="AH100" s="52">
        <f t="shared" si="215"/>
        <v>-1.72553859208557E-7</v>
      </c>
    </row>
    <row r="101" spans="2:34" ht="15.75" thickBot="1" x14ac:dyDescent="0.3">
      <c r="B101" s="47">
        <v>-654</v>
      </c>
      <c r="C101" s="155">
        <v>-2354400</v>
      </c>
      <c r="D101" s="58">
        <f t="shared" si="194"/>
        <v>-2354400</v>
      </c>
      <c r="E101" s="52">
        <f t="shared" si="195"/>
        <v>0</v>
      </c>
      <c r="F101" s="153">
        <f t="shared" si="196"/>
        <v>0</v>
      </c>
      <c r="G101" s="155">
        <v>-39240</v>
      </c>
      <c r="H101" s="58">
        <f t="shared" si="197"/>
        <v>-39240</v>
      </c>
      <c r="I101" s="52">
        <f t="shared" si="198"/>
        <v>0</v>
      </c>
      <c r="J101" s="153">
        <f t="shared" si="199"/>
        <v>0</v>
      </c>
      <c r="K101" s="155">
        <v>-66669184</v>
      </c>
      <c r="L101" s="58">
        <f t="shared" si="200"/>
        <v>-66669183.616204813</v>
      </c>
      <c r="M101" s="52">
        <f t="shared" si="192"/>
        <v>-0.38379518687725067</v>
      </c>
      <c r="N101" s="52">
        <f t="shared" si="193"/>
        <v>5.7567104629126472E-7</v>
      </c>
      <c r="O101" s="155">
        <v>-1111153</v>
      </c>
      <c r="P101" s="58">
        <f t="shared" si="201"/>
        <v>-1111153.0602700803</v>
      </c>
      <c r="Q101" s="52">
        <f t="shared" si="202"/>
        <v>6.0270080342888832E-2</v>
      </c>
      <c r="R101" s="52">
        <f t="shared" si="203"/>
        <v>-5.4241024479777246E-6</v>
      </c>
      <c r="S101" s="155">
        <v>-18519.2</v>
      </c>
      <c r="T101" s="58">
        <f t="shared" si="204"/>
        <v>-18519.217671168004</v>
      </c>
      <c r="U101" s="52">
        <f t="shared" si="205"/>
        <v>1.7671168003289495E-2</v>
      </c>
      <c r="V101" s="52">
        <f t="shared" si="206"/>
        <v>-9.5420704681284615E-5</v>
      </c>
      <c r="W101" s="155">
        <v>-66669.2</v>
      </c>
      <c r="X101" s="58">
        <f t="shared" si="207"/>
        <v>-66669.183616204813</v>
      </c>
      <c r="Y101" s="52">
        <f t="shared" si="208"/>
        <v>-1.6383795184083283E-2</v>
      </c>
      <c r="Z101" s="52">
        <f t="shared" si="209"/>
        <v>2.4574764974474637E-5</v>
      </c>
      <c r="AA101" s="155">
        <v>-1111.1500000000001</v>
      </c>
      <c r="AB101" s="58">
        <f t="shared" si="210"/>
        <v>-1111.1530602700802</v>
      </c>
      <c r="AC101" s="52">
        <f t="shared" si="211"/>
        <v>3.060270080140981E-3</v>
      </c>
      <c r="AD101" s="52">
        <f t="shared" si="212"/>
        <v>-2.7541390916901607E-4</v>
      </c>
      <c r="AE101" s="155">
        <v>-18.519200000000001</v>
      </c>
      <c r="AF101" s="58">
        <f t="shared" si="213"/>
        <v>-18.519217671168004</v>
      </c>
      <c r="AG101" s="52">
        <f t="shared" si="214"/>
        <v>1.7671168002664217E-5</v>
      </c>
      <c r="AH101" s="52">
        <f t="shared" si="215"/>
        <v>-9.5420704677908234E-5</v>
      </c>
    </row>
    <row r="102" spans="2:34" ht="15.75" thickBot="1" x14ac:dyDescent="0.3">
      <c r="B102" s="74">
        <v>0.65469999999999995</v>
      </c>
      <c r="C102" s="158">
        <v>2356.92</v>
      </c>
      <c r="D102" s="58">
        <f t="shared" si="194"/>
        <v>2356.9199999999996</v>
      </c>
      <c r="E102" s="57">
        <f t="shared" si="195"/>
        <v>0</v>
      </c>
      <c r="F102" s="163">
        <f t="shared" si="196"/>
        <v>0</v>
      </c>
      <c r="G102" s="158">
        <v>39.281999999999996</v>
      </c>
      <c r="H102" s="58">
        <f t="shared" si="197"/>
        <v>39.281999999999996</v>
      </c>
      <c r="I102" s="57">
        <f t="shared" si="198"/>
        <v>0</v>
      </c>
      <c r="J102" s="163">
        <f t="shared" si="199"/>
        <v>0</v>
      </c>
      <c r="K102" s="158">
        <v>66740.5</v>
      </c>
      <c r="L102" s="58">
        <f t="shared" si="200"/>
        <v>66740.54206961664</v>
      </c>
      <c r="M102" s="57">
        <f t="shared" si="192"/>
        <v>-4.2069616640219465E-2</v>
      </c>
      <c r="N102" s="57">
        <f t="shared" si="193"/>
        <v>-6.3034574391584826E-5</v>
      </c>
      <c r="O102" s="158">
        <v>1112.3399999999999</v>
      </c>
      <c r="P102" s="58">
        <f t="shared" si="201"/>
        <v>1112.3423678269442</v>
      </c>
      <c r="Q102" s="57">
        <f t="shared" si="202"/>
        <v>-2.3678269442370947E-3</v>
      </c>
      <c r="R102" s="57">
        <f t="shared" si="203"/>
        <v>-2.1286853874521089E-4</v>
      </c>
      <c r="S102" s="158">
        <v>18.539000000000001</v>
      </c>
      <c r="T102" s="58">
        <f t="shared" si="204"/>
        <v>18.539039463782402</v>
      </c>
      <c r="U102" s="57">
        <f t="shared" si="205"/>
        <v>-3.9463782400162017E-5</v>
      </c>
      <c r="V102" s="57">
        <f t="shared" si="206"/>
        <v>-2.1286853872476991E-4</v>
      </c>
      <c r="W102" s="158">
        <v>66.740499999999997</v>
      </c>
      <c r="X102" s="58">
        <f t="shared" si="207"/>
        <v>66.740542069616652</v>
      </c>
      <c r="Y102" s="57">
        <f t="shared" si="208"/>
        <v>-4.2069616654316633E-5</v>
      </c>
      <c r="Z102" s="57">
        <f t="shared" si="209"/>
        <v>-6.3034574412707158E-5</v>
      </c>
      <c r="AA102" s="158">
        <v>1.1123400000000001</v>
      </c>
      <c r="AB102" s="58">
        <f t="shared" si="210"/>
        <v>1.1123423678269442</v>
      </c>
      <c r="AC102" s="57">
        <f t="shared" si="211"/>
        <v>-2.3678269440718935E-6</v>
      </c>
      <c r="AD102" s="57">
        <f t="shared" si="212"/>
        <v>-2.1286853873035921E-4</v>
      </c>
      <c r="AE102" s="158">
        <v>1.8539E-2</v>
      </c>
      <c r="AF102" s="58">
        <f t="shared" si="213"/>
        <v>1.8539039463782402E-2</v>
      </c>
      <c r="AG102" s="57">
        <f t="shared" si="214"/>
        <v>-3.9463782401660819E-8</v>
      </c>
      <c r="AH102" s="57">
        <f t="shared" si="215"/>
        <v>-2.1286853873285448E-4</v>
      </c>
    </row>
  </sheetData>
  <mergeCells count="235">
    <mergeCell ref="AH82:AH85"/>
    <mergeCell ref="W84:W85"/>
    <mergeCell ref="AA84:AA85"/>
    <mergeCell ref="AE84:AE85"/>
    <mergeCell ref="E93:E96"/>
    <mergeCell ref="F93:F96"/>
    <mergeCell ref="I93:I96"/>
    <mergeCell ref="J93:J96"/>
    <mergeCell ref="G95:G96"/>
    <mergeCell ref="Y82:Y85"/>
    <mergeCell ref="Z82:Z85"/>
    <mergeCell ref="AC82:AC85"/>
    <mergeCell ref="AD82:AD85"/>
    <mergeCell ref="AG82:AG85"/>
    <mergeCell ref="Q82:Q85"/>
    <mergeCell ref="R82:R85"/>
    <mergeCell ref="U82:U85"/>
    <mergeCell ref="V82:V85"/>
    <mergeCell ref="K84:K85"/>
    <mergeCell ref="O84:O85"/>
    <mergeCell ref="S84:S85"/>
    <mergeCell ref="N82:N85"/>
    <mergeCell ref="E82:E85"/>
    <mergeCell ref="F82:F85"/>
    <mergeCell ref="I82:I85"/>
    <mergeCell ref="G84:G85"/>
    <mergeCell ref="M82:M85"/>
    <mergeCell ref="M71:M74"/>
    <mergeCell ref="N71:N74"/>
    <mergeCell ref="O73:O74"/>
    <mergeCell ref="K73:K74"/>
    <mergeCell ref="J82:J85"/>
    <mergeCell ref="AD71:AD74"/>
    <mergeCell ref="I71:I74"/>
    <mergeCell ref="J71:J74"/>
    <mergeCell ref="AG71:AG74"/>
    <mergeCell ref="AH71:AH74"/>
    <mergeCell ref="AA73:AA74"/>
    <mergeCell ref="AE73:AE74"/>
    <mergeCell ref="Z71:Z74"/>
    <mergeCell ref="S73:S74"/>
    <mergeCell ref="W73:W74"/>
    <mergeCell ref="AC71:AC74"/>
    <mergeCell ref="Q71:Q74"/>
    <mergeCell ref="R71:R74"/>
    <mergeCell ref="U71:U74"/>
    <mergeCell ref="V71:V74"/>
    <mergeCell ref="Y71:Y74"/>
    <mergeCell ref="B95:B96"/>
    <mergeCell ref="C73:C74"/>
    <mergeCell ref="G73:G74"/>
    <mergeCell ref="E71:E74"/>
    <mergeCell ref="F71:F74"/>
    <mergeCell ref="C84:C85"/>
    <mergeCell ref="C95:C96"/>
    <mergeCell ref="B71:B72"/>
    <mergeCell ref="B73:B74"/>
    <mergeCell ref="B82:B83"/>
    <mergeCell ref="B84:B85"/>
    <mergeCell ref="B93:B94"/>
    <mergeCell ref="AG60:AG63"/>
    <mergeCell ref="AH60:AH63"/>
    <mergeCell ref="AE62:AE63"/>
    <mergeCell ref="U60:U63"/>
    <mergeCell ref="V60:V63"/>
    <mergeCell ref="S62:S63"/>
    <mergeCell ref="Y60:Y63"/>
    <mergeCell ref="Z60:Z63"/>
    <mergeCell ref="W62:W63"/>
    <mergeCell ref="M60:M63"/>
    <mergeCell ref="N60:N63"/>
    <mergeCell ref="K62:K63"/>
    <mergeCell ref="Q60:Q63"/>
    <mergeCell ref="R60:R63"/>
    <mergeCell ref="O62:O63"/>
    <mergeCell ref="AC49:AC52"/>
    <mergeCell ref="AD49:AD52"/>
    <mergeCell ref="AA51:AA52"/>
    <mergeCell ref="M49:M52"/>
    <mergeCell ref="N49:N52"/>
    <mergeCell ref="K51:K52"/>
    <mergeCell ref="Q49:Q52"/>
    <mergeCell ref="R49:R52"/>
    <mergeCell ref="O51:O52"/>
    <mergeCell ref="AC60:AC63"/>
    <mergeCell ref="AD60:AD63"/>
    <mergeCell ref="AA62:AA63"/>
    <mergeCell ref="AG49:AG52"/>
    <mergeCell ref="AH49:AH52"/>
    <mergeCell ref="AE51:AE52"/>
    <mergeCell ref="U49:U52"/>
    <mergeCell ref="V49:V52"/>
    <mergeCell ref="S51:S52"/>
    <mergeCell ref="Y49:Y52"/>
    <mergeCell ref="Z49:Z52"/>
    <mergeCell ref="W51:W52"/>
    <mergeCell ref="J49:J52"/>
    <mergeCell ref="G51:G52"/>
    <mergeCell ref="I60:I63"/>
    <mergeCell ref="J60:J63"/>
    <mergeCell ref="G62:G63"/>
    <mergeCell ref="B60:B61"/>
    <mergeCell ref="E60:E63"/>
    <mergeCell ref="F60:F63"/>
    <mergeCell ref="B62:B63"/>
    <mergeCell ref="C62:C63"/>
    <mergeCell ref="B49:B50"/>
    <mergeCell ref="E49:E52"/>
    <mergeCell ref="F49:F52"/>
    <mergeCell ref="B51:B52"/>
    <mergeCell ref="C51:C52"/>
    <mergeCell ref="AG27:AG30"/>
    <mergeCell ref="AH27:AH30"/>
    <mergeCell ref="AE29:AE30"/>
    <mergeCell ref="Q38:Q41"/>
    <mergeCell ref="R38:R41"/>
    <mergeCell ref="Z38:Z41"/>
    <mergeCell ref="AC38:AC41"/>
    <mergeCell ref="AD38:AD41"/>
    <mergeCell ref="AA40:AA41"/>
    <mergeCell ref="AG38:AG41"/>
    <mergeCell ref="AH38:AH41"/>
    <mergeCell ref="AE40:AE41"/>
    <mergeCell ref="Y27:Y30"/>
    <mergeCell ref="Z27:Z30"/>
    <mergeCell ref="W29:W30"/>
    <mergeCell ref="AC27:AC30"/>
    <mergeCell ref="AD27:AD30"/>
    <mergeCell ref="AA29:AA30"/>
    <mergeCell ref="AG5:AG8"/>
    <mergeCell ref="AH5:AH8"/>
    <mergeCell ref="AE7:AE8"/>
    <mergeCell ref="Q16:Q19"/>
    <mergeCell ref="R16:R19"/>
    <mergeCell ref="Z16:Z19"/>
    <mergeCell ref="AC16:AC19"/>
    <mergeCell ref="AD16:AD19"/>
    <mergeCell ref="AA18:AA19"/>
    <mergeCell ref="AG16:AG19"/>
    <mergeCell ref="AH16:AH19"/>
    <mergeCell ref="AE18:AE19"/>
    <mergeCell ref="Y5:Y8"/>
    <mergeCell ref="Z5:Z8"/>
    <mergeCell ref="W7:W8"/>
    <mergeCell ref="AC5:AC8"/>
    <mergeCell ref="AD5:AD8"/>
    <mergeCell ref="AA7:AA8"/>
    <mergeCell ref="Q5:Q8"/>
    <mergeCell ref="R5:R8"/>
    <mergeCell ref="U16:U19"/>
    <mergeCell ref="V16:V19"/>
    <mergeCell ref="S18:S19"/>
    <mergeCell ref="O7:O8"/>
    <mergeCell ref="U5:U8"/>
    <mergeCell ref="V5:V8"/>
    <mergeCell ref="S7:S8"/>
    <mergeCell ref="N5:N8"/>
    <mergeCell ref="N16:N19"/>
    <mergeCell ref="N27:N30"/>
    <mergeCell ref="N38:N41"/>
    <mergeCell ref="J5:J8"/>
    <mergeCell ref="J16:J19"/>
    <mergeCell ref="J27:J30"/>
    <mergeCell ref="J38:J41"/>
    <mergeCell ref="M5:M8"/>
    <mergeCell ref="M16:M19"/>
    <mergeCell ref="M27:M30"/>
    <mergeCell ref="M38:M41"/>
    <mergeCell ref="K29:K30"/>
    <mergeCell ref="K40:K41"/>
    <mergeCell ref="Q27:Q30"/>
    <mergeCell ref="R27:R30"/>
    <mergeCell ref="O29:O30"/>
    <mergeCell ref="U27:U30"/>
    <mergeCell ref="V27:V30"/>
    <mergeCell ref="S29:S30"/>
    <mergeCell ref="B1:K1"/>
    <mergeCell ref="B5:B6"/>
    <mergeCell ref="B16:B17"/>
    <mergeCell ref="B27:B28"/>
    <mergeCell ref="B38:B39"/>
    <mergeCell ref="E5:E8"/>
    <mergeCell ref="I5:I8"/>
    <mergeCell ref="E38:E41"/>
    <mergeCell ref="I38:I41"/>
    <mergeCell ref="C40:C41"/>
    <mergeCell ref="F5:F8"/>
    <mergeCell ref="F16:F19"/>
    <mergeCell ref="F27:F30"/>
    <mergeCell ref="F38:F41"/>
    <mergeCell ref="E16:E19"/>
    <mergeCell ref="I16:I19"/>
    <mergeCell ref="B7:B8"/>
    <mergeCell ref="C7:C8"/>
    <mergeCell ref="G7:G8"/>
    <mergeCell ref="K7:K8"/>
    <mergeCell ref="K18:K19"/>
    <mergeCell ref="C18:C19"/>
    <mergeCell ref="I27:I30"/>
    <mergeCell ref="B29:B30"/>
    <mergeCell ref="K95:K96"/>
    <mergeCell ref="O95:O96"/>
    <mergeCell ref="S95:S96"/>
    <mergeCell ref="Y93:Y96"/>
    <mergeCell ref="Z93:Z96"/>
    <mergeCell ref="G40:G41"/>
    <mergeCell ref="G18:G19"/>
    <mergeCell ref="G29:G30"/>
    <mergeCell ref="B40:B41"/>
    <mergeCell ref="B18:B19"/>
    <mergeCell ref="C29:C30"/>
    <mergeCell ref="E27:E30"/>
    <mergeCell ref="M93:M96"/>
    <mergeCell ref="N93:N96"/>
    <mergeCell ref="Y16:Y19"/>
    <mergeCell ref="W18:W19"/>
    <mergeCell ref="O18:O19"/>
    <mergeCell ref="O40:O41"/>
    <mergeCell ref="U38:U41"/>
    <mergeCell ref="V38:V41"/>
    <mergeCell ref="S40:S41"/>
    <mergeCell ref="Y38:Y41"/>
    <mergeCell ref="W40:W41"/>
    <mergeCell ref="I49:I52"/>
    <mergeCell ref="AC93:AC96"/>
    <mergeCell ref="AD93:AD96"/>
    <mergeCell ref="AG93:AG96"/>
    <mergeCell ref="AH93:AH96"/>
    <mergeCell ref="W95:W96"/>
    <mergeCell ref="AA95:AA96"/>
    <mergeCell ref="AE95:AE96"/>
    <mergeCell ref="Q93:Q96"/>
    <mergeCell ref="R93:R96"/>
    <mergeCell ref="U93:U96"/>
    <mergeCell ref="V93:V96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R57"/>
  <sheetViews>
    <sheetView workbookViewId="0">
      <pane xSplit="2" ySplit="1" topLeftCell="K20" activePane="bottomRight" state="frozen"/>
      <selection pane="topRight" activeCell="C1" sqref="C1"/>
      <selection pane="bottomLeft" activeCell="A2" sqref="A2"/>
      <selection pane="bottomRight" activeCell="L40" sqref="L40"/>
    </sheetView>
  </sheetViews>
  <sheetFormatPr defaultRowHeight="15" x14ac:dyDescent="0.25"/>
  <cols>
    <col min="1" max="1" width="4.42578125" customWidth="1"/>
    <col min="2" max="2" width="15.42578125" bestFit="1" customWidth="1"/>
    <col min="3" max="3" width="31.28515625" bestFit="1" customWidth="1"/>
    <col min="4" max="4" width="31.42578125" bestFit="1" customWidth="1"/>
    <col min="5" max="5" width="23.7109375" bestFit="1" customWidth="1"/>
    <col min="6" max="6" width="23.7109375" customWidth="1"/>
    <col min="7" max="7" width="32.28515625" bestFit="1" customWidth="1"/>
    <col min="8" max="8" width="32.42578125" bestFit="1" customWidth="1"/>
    <col min="9" max="10" width="23.7109375" customWidth="1"/>
    <col min="11" max="11" width="41.28515625" customWidth="1"/>
    <col min="12" max="12" width="29.140625" bestFit="1" customWidth="1"/>
    <col min="13" max="13" width="23.7109375" bestFit="1" customWidth="1"/>
    <col min="14" max="14" width="25.28515625" customWidth="1"/>
    <col min="15" max="15" width="29.140625" bestFit="1" customWidth="1"/>
    <col min="16" max="16" width="29.28515625" bestFit="1" customWidth="1"/>
    <col min="17" max="17" width="23.85546875" bestFit="1" customWidth="1"/>
    <col min="18" max="18" width="23.7109375" bestFit="1" customWidth="1"/>
  </cols>
  <sheetData>
    <row r="1" spans="2:18" ht="31.5" x14ac:dyDescent="0.5">
      <c r="B1" s="340" t="s">
        <v>289</v>
      </c>
      <c r="C1" s="340"/>
      <c r="D1" s="340"/>
      <c r="E1" s="340"/>
      <c r="F1" s="340"/>
      <c r="G1" s="340"/>
      <c r="H1" s="340"/>
      <c r="I1" s="340"/>
      <c r="J1" s="340"/>
      <c r="K1" s="340"/>
    </row>
    <row r="2" spans="2:18" x14ac:dyDescent="0.25">
      <c r="B2" s="70" t="s">
        <v>340</v>
      </c>
      <c r="C2" t="s">
        <v>341</v>
      </c>
      <c r="D2" t="s">
        <v>349</v>
      </c>
    </row>
    <row r="3" spans="2:18" ht="15.75" thickBot="1" x14ac:dyDescent="0.3"/>
    <row r="4" spans="2:18" x14ac:dyDescent="0.25">
      <c r="B4" s="341" t="s">
        <v>10</v>
      </c>
      <c r="C4" s="62" t="s">
        <v>14</v>
      </c>
      <c r="D4" s="65" t="s">
        <v>14</v>
      </c>
      <c r="E4" s="330" t="s">
        <v>354</v>
      </c>
      <c r="F4" s="324" t="s">
        <v>355</v>
      </c>
      <c r="G4" s="62" t="s">
        <v>14</v>
      </c>
      <c r="H4" s="65" t="s">
        <v>14</v>
      </c>
      <c r="I4" s="330" t="s">
        <v>354</v>
      </c>
      <c r="J4" s="324" t="s">
        <v>355</v>
      </c>
      <c r="K4" s="62" t="s">
        <v>14</v>
      </c>
      <c r="L4" s="65" t="s">
        <v>14</v>
      </c>
      <c r="M4" s="330" t="s">
        <v>354</v>
      </c>
      <c r="N4" s="324" t="s">
        <v>355</v>
      </c>
      <c r="O4" s="62" t="s">
        <v>14</v>
      </c>
      <c r="P4" s="65" t="s">
        <v>14</v>
      </c>
      <c r="Q4" s="330" t="s">
        <v>354</v>
      </c>
      <c r="R4" s="321" t="s">
        <v>355</v>
      </c>
    </row>
    <row r="5" spans="2:18" ht="15.75" thickBot="1" x14ac:dyDescent="0.3">
      <c r="B5" s="342"/>
      <c r="C5" s="63" t="s">
        <v>290</v>
      </c>
      <c r="D5" s="27" t="s">
        <v>291</v>
      </c>
      <c r="E5" s="331"/>
      <c r="F5" s="325"/>
      <c r="G5" s="63" t="s">
        <v>290</v>
      </c>
      <c r="H5" s="27" t="s">
        <v>291</v>
      </c>
      <c r="I5" s="331"/>
      <c r="J5" s="325"/>
      <c r="K5" s="63" t="s">
        <v>290</v>
      </c>
      <c r="L5" s="27" t="s">
        <v>291</v>
      </c>
      <c r="M5" s="331"/>
      <c r="N5" s="325"/>
      <c r="O5" s="63" t="s">
        <v>290</v>
      </c>
      <c r="P5" s="27" t="s">
        <v>291</v>
      </c>
      <c r="Q5" s="331"/>
      <c r="R5" s="322"/>
    </row>
    <row r="6" spans="2:18" ht="15.75" thickBot="1" x14ac:dyDescent="0.3">
      <c r="B6" s="346" t="s">
        <v>73</v>
      </c>
      <c r="C6" s="346" t="s">
        <v>74</v>
      </c>
      <c r="D6" s="16" t="s">
        <v>74</v>
      </c>
      <c r="E6" s="331"/>
      <c r="F6" s="326"/>
      <c r="G6" s="346" t="s">
        <v>75</v>
      </c>
      <c r="H6" s="16" t="s">
        <v>75</v>
      </c>
      <c r="I6" s="331"/>
      <c r="J6" s="326"/>
      <c r="K6" s="346" t="s">
        <v>76</v>
      </c>
      <c r="L6" s="16" t="s">
        <v>76</v>
      </c>
      <c r="M6" s="331"/>
      <c r="N6" s="326"/>
      <c r="O6" s="346" t="s">
        <v>77</v>
      </c>
      <c r="P6" s="16" t="s">
        <v>77</v>
      </c>
      <c r="Q6" s="331"/>
      <c r="R6" s="322"/>
    </row>
    <row r="7" spans="2:18" ht="30.75" thickBot="1" x14ac:dyDescent="0.3">
      <c r="B7" s="347"/>
      <c r="C7" s="347"/>
      <c r="D7" s="22" t="s">
        <v>250</v>
      </c>
      <c r="E7" s="327"/>
      <c r="F7" s="327"/>
      <c r="G7" s="347"/>
      <c r="H7" s="89" t="s">
        <v>249</v>
      </c>
      <c r="I7" s="327"/>
      <c r="J7" s="327"/>
      <c r="K7" s="347"/>
      <c r="L7" s="22" t="s">
        <v>251</v>
      </c>
      <c r="M7" s="327"/>
      <c r="N7" s="327"/>
      <c r="O7" s="347"/>
      <c r="P7" s="22" t="s">
        <v>252</v>
      </c>
      <c r="Q7" s="327"/>
      <c r="R7" s="323"/>
    </row>
    <row r="8" spans="2:18" x14ac:dyDescent="0.25">
      <c r="B8" s="44">
        <v>1</v>
      </c>
      <c r="C8" s="154">
        <v>60</v>
      </c>
      <c r="D8" s="58">
        <f>H8*3600</f>
        <v>60</v>
      </c>
      <c r="E8" s="54">
        <f>C8-D8</f>
        <v>0</v>
      </c>
      <c r="F8" s="54">
        <f>(100*E8)/D8</f>
        <v>0</v>
      </c>
      <c r="G8" s="157">
        <v>1.66667E-2</v>
      </c>
      <c r="H8" s="58">
        <f>B8/60</f>
        <v>1.6666666666666666E-2</v>
      </c>
      <c r="I8" s="54">
        <f>G8-H8</f>
        <v>3.3333333333135373E-8</v>
      </c>
      <c r="J8" s="54">
        <f>(100*I8)/H8</f>
        <v>1.9999999999881224E-4</v>
      </c>
      <c r="K8" s="157">
        <v>1.85185E-2</v>
      </c>
      <c r="L8" s="58">
        <f>H8/0.9</f>
        <v>1.8518518518518517E-2</v>
      </c>
      <c r="M8" s="54">
        <f>K8-L8</f>
        <v>-1.8518518517252058E-8</v>
      </c>
      <c r="N8" s="54">
        <f>(100*M8)/L8</f>
        <v>-9.9999999993161115E-5</v>
      </c>
      <c r="O8" s="157">
        <v>2.90888E-4</v>
      </c>
      <c r="P8" s="58">
        <f>H8/180*3.14159265358979</f>
        <v>2.9088820866572131E-4</v>
      </c>
      <c r="Q8" s="54">
        <f>O8-P8</f>
        <v>-2.0866572131208322E-10</v>
      </c>
      <c r="R8" s="162">
        <f>(100*Q8)/P8</f>
        <v>-7.1733990961412482E-5</v>
      </c>
    </row>
    <row r="9" spans="2:18" x14ac:dyDescent="0.25">
      <c r="B9" s="47">
        <v>987</v>
      </c>
      <c r="C9" s="159">
        <v>59220</v>
      </c>
      <c r="D9" s="26">
        <f t="shared" ref="D9:D13" si="0">H9*3600</f>
        <v>59220</v>
      </c>
      <c r="E9" s="52">
        <f t="shared" ref="E9:E13" si="1">C9-D9</f>
        <v>0</v>
      </c>
      <c r="F9" s="52">
        <f t="shared" ref="F9:F13" si="2">(100*E9)/D9</f>
        <v>0</v>
      </c>
      <c r="G9" s="155">
        <v>16.45</v>
      </c>
      <c r="H9" s="26">
        <f t="shared" ref="H9:H13" si="3">B9/60</f>
        <v>16.45</v>
      </c>
      <c r="I9" s="52">
        <f t="shared" ref="I9:I13" si="4">G9-H9</f>
        <v>0</v>
      </c>
      <c r="J9" s="52">
        <f t="shared" ref="J9:J13" si="5">(100*I9)/H9</f>
        <v>0</v>
      </c>
      <c r="K9" s="155">
        <v>18.277799999999999</v>
      </c>
      <c r="L9" s="26">
        <f t="shared" ref="L9:L13" si="6">H9/0.9</f>
        <v>18.277777777777775</v>
      </c>
      <c r="M9" s="52">
        <f t="shared" ref="M9:M13" si="7">K9-L9</f>
        <v>2.2222222224144161E-5</v>
      </c>
      <c r="N9" s="52">
        <f t="shared" ref="N9:N13" si="8">(100*M9)/L9</f>
        <v>1.215805471229772E-4</v>
      </c>
      <c r="O9" s="155">
        <v>0.287107</v>
      </c>
      <c r="P9" s="26">
        <f t="shared" ref="P9:P13" si="9">H9/180*3.14159265358979</f>
        <v>0.28710666195306689</v>
      </c>
      <c r="Q9" s="52">
        <f t="shared" ref="Q9:Q13" si="10">O9-P9</f>
        <v>3.3804693311267897E-7</v>
      </c>
      <c r="R9" s="153">
        <f t="shared" ref="R9:R13" si="11">(100*Q9)/P9</f>
        <v>1.1774262945105023E-4</v>
      </c>
    </row>
    <row r="10" spans="2:18" x14ac:dyDescent="0.25">
      <c r="B10" s="47">
        <v>5987</v>
      </c>
      <c r="C10" s="155">
        <v>359220</v>
      </c>
      <c r="D10" s="26">
        <f t="shared" si="0"/>
        <v>359220</v>
      </c>
      <c r="E10" s="52">
        <f t="shared" si="1"/>
        <v>0</v>
      </c>
      <c r="F10" s="52">
        <f t="shared" si="2"/>
        <v>0</v>
      </c>
      <c r="G10" s="155">
        <v>99.783299999999997</v>
      </c>
      <c r="H10" s="26">
        <f t="shared" si="3"/>
        <v>99.783333333333331</v>
      </c>
      <c r="I10" s="52">
        <f t="shared" si="4"/>
        <v>-3.3333333334439885E-5</v>
      </c>
      <c r="J10" s="52">
        <f t="shared" si="5"/>
        <v>-3.340571237792539E-5</v>
      </c>
      <c r="K10" s="159">
        <v>110.87</v>
      </c>
      <c r="L10" s="26">
        <f t="shared" si="6"/>
        <v>110.87037037037037</v>
      </c>
      <c r="M10" s="52">
        <f t="shared" si="7"/>
        <v>-3.703703703621386E-4</v>
      </c>
      <c r="N10" s="52">
        <f t="shared" si="8"/>
        <v>-3.3405712376073968E-4</v>
      </c>
      <c r="O10" s="159">
        <v>1.7415499999999999</v>
      </c>
      <c r="P10" s="26">
        <f t="shared" si="9"/>
        <v>1.7415477052816735</v>
      </c>
      <c r="Q10" s="52">
        <f t="shared" si="10"/>
        <v>2.2947183264676596E-6</v>
      </c>
      <c r="R10" s="153">
        <f t="shared" si="11"/>
        <v>1.3176316212920036E-4</v>
      </c>
    </row>
    <row r="11" spans="2:18" x14ac:dyDescent="0.25">
      <c r="B11" s="47">
        <v>4455667788</v>
      </c>
      <c r="C11" s="155">
        <v>267340067280</v>
      </c>
      <c r="D11" s="26">
        <f t="shared" si="0"/>
        <v>267340067280</v>
      </c>
      <c r="E11" s="52">
        <f t="shared" si="1"/>
        <v>0</v>
      </c>
      <c r="F11" s="52">
        <f t="shared" si="2"/>
        <v>0</v>
      </c>
      <c r="G11" s="155">
        <v>74261130</v>
      </c>
      <c r="H11" s="26">
        <f t="shared" si="3"/>
        <v>74261129.799999997</v>
      </c>
      <c r="I11" s="52">
        <f t="shared" si="4"/>
        <v>0.20000000298023224</v>
      </c>
      <c r="J11" s="52">
        <f t="shared" si="5"/>
        <v>2.6931990331802392E-7</v>
      </c>
      <c r="K11" s="155">
        <v>82512366</v>
      </c>
      <c r="L11" s="26">
        <f t="shared" si="6"/>
        <v>82512366.444444433</v>
      </c>
      <c r="M11" s="52">
        <f t="shared" si="7"/>
        <v>-0.4444444328546524</v>
      </c>
      <c r="N11" s="52">
        <f t="shared" si="8"/>
        <v>-5.3863978456356206E-7</v>
      </c>
      <c r="O11" s="155">
        <v>1296101</v>
      </c>
      <c r="P11" s="26">
        <f t="shared" si="9"/>
        <v>1296101.2212608769</v>
      </c>
      <c r="Q11" s="52">
        <f t="shared" si="10"/>
        <v>-0.22126087686046958</v>
      </c>
      <c r="R11" s="153">
        <f t="shared" si="11"/>
        <v>-1.7071265209149478E-5</v>
      </c>
    </row>
    <row r="12" spans="2:18" x14ac:dyDescent="0.25">
      <c r="B12" s="47">
        <v>-654</v>
      </c>
      <c r="C12" s="155">
        <v>-39240</v>
      </c>
      <c r="D12" s="26">
        <f t="shared" si="0"/>
        <v>-39240</v>
      </c>
      <c r="E12" s="52">
        <f t="shared" si="1"/>
        <v>0</v>
      </c>
      <c r="F12" s="52">
        <f t="shared" si="2"/>
        <v>0</v>
      </c>
      <c r="G12" s="155">
        <v>-10.9</v>
      </c>
      <c r="H12" s="26">
        <f t="shared" si="3"/>
        <v>-10.9</v>
      </c>
      <c r="I12" s="52">
        <f t="shared" si="4"/>
        <v>0</v>
      </c>
      <c r="J12" s="52">
        <f t="shared" si="5"/>
        <v>0</v>
      </c>
      <c r="K12" s="155">
        <v>-12.1111</v>
      </c>
      <c r="L12" s="26">
        <f t="shared" si="6"/>
        <v>-12.111111111111111</v>
      </c>
      <c r="M12" s="52">
        <f t="shared" si="7"/>
        <v>1.1111111110295724E-5</v>
      </c>
      <c r="N12" s="52">
        <f t="shared" si="8"/>
        <v>-9.1743119259322489E-5</v>
      </c>
      <c r="O12" s="155">
        <v>-0.19024099999999999</v>
      </c>
      <c r="P12" s="26">
        <f t="shared" si="9"/>
        <v>-0.19024088846738174</v>
      </c>
      <c r="Q12" s="52">
        <f t="shared" si="10"/>
        <v>-1.1153261825214145E-7</v>
      </c>
      <c r="R12" s="153">
        <f t="shared" si="11"/>
        <v>5.8627048659554894E-5</v>
      </c>
    </row>
    <row r="13" spans="2:18" ht="15.75" thickBot="1" x14ac:dyDescent="0.3">
      <c r="B13" s="74">
        <v>0.65469999999999995</v>
      </c>
      <c r="C13" s="158">
        <v>39.281999999999996</v>
      </c>
      <c r="D13" s="59">
        <f t="shared" si="0"/>
        <v>39.281999999999996</v>
      </c>
      <c r="E13" s="57">
        <f t="shared" si="1"/>
        <v>0</v>
      </c>
      <c r="F13" s="57">
        <f t="shared" si="2"/>
        <v>0</v>
      </c>
      <c r="G13" s="156">
        <v>1.09117E-2</v>
      </c>
      <c r="H13" s="59">
        <f t="shared" si="3"/>
        <v>1.0911666666666665E-2</v>
      </c>
      <c r="I13" s="57">
        <f t="shared" si="4"/>
        <v>3.3333333334870097E-8</v>
      </c>
      <c r="J13" s="57">
        <f t="shared" si="5"/>
        <v>3.0548342753814053E-4</v>
      </c>
      <c r="K13" s="158">
        <v>1.2124100000000001E-2</v>
      </c>
      <c r="L13" s="59">
        <f t="shared" si="6"/>
        <v>1.2124074074074072E-2</v>
      </c>
      <c r="M13" s="57">
        <f t="shared" si="7"/>
        <v>2.5925925928663163E-8</v>
      </c>
      <c r="N13" s="57">
        <f t="shared" si="8"/>
        <v>2.1383839928941668E-4</v>
      </c>
      <c r="O13" s="158">
        <v>1.90445E-4</v>
      </c>
      <c r="P13" s="59">
        <f t="shared" si="9"/>
        <v>1.904445102134477E-4</v>
      </c>
      <c r="Q13" s="57">
        <f t="shared" si="10"/>
        <v>4.8978655229877169E-10</v>
      </c>
      <c r="R13" s="163">
        <f t="shared" si="11"/>
        <v>2.5718071460806372E-4</v>
      </c>
    </row>
    <row r="14" spans="2:18" ht="15.75" thickBot="1" x14ac:dyDescent="0.3">
      <c r="C14" s="165"/>
      <c r="D14" s="165"/>
      <c r="E14" s="164"/>
      <c r="F14" s="164"/>
      <c r="G14" s="165"/>
      <c r="H14" s="165"/>
      <c r="I14" s="164"/>
      <c r="J14" s="164"/>
      <c r="K14" s="165"/>
      <c r="L14" s="165"/>
      <c r="M14" s="164"/>
      <c r="N14" s="164"/>
      <c r="O14" s="165"/>
      <c r="P14" s="165"/>
      <c r="Q14" s="164"/>
      <c r="R14" s="164"/>
    </row>
    <row r="15" spans="2:18" x14ac:dyDescent="0.25">
      <c r="B15" s="341" t="s">
        <v>10</v>
      </c>
      <c r="C15" s="166" t="s">
        <v>14</v>
      </c>
      <c r="D15" s="168" t="s">
        <v>14</v>
      </c>
      <c r="E15" s="343" t="s">
        <v>354</v>
      </c>
      <c r="F15" s="352" t="s">
        <v>355</v>
      </c>
      <c r="G15" s="166" t="s">
        <v>14</v>
      </c>
      <c r="H15" s="168" t="s">
        <v>14</v>
      </c>
      <c r="I15" s="343" t="s">
        <v>354</v>
      </c>
      <c r="J15" s="352" t="s">
        <v>355</v>
      </c>
      <c r="K15" s="166" t="s">
        <v>14</v>
      </c>
      <c r="L15" s="168" t="s">
        <v>14</v>
      </c>
      <c r="M15" s="343" t="s">
        <v>354</v>
      </c>
      <c r="N15" s="352" t="s">
        <v>355</v>
      </c>
      <c r="O15" s="166" t="s">
        <v>14</v>
      </c>
      <c r="P15" s="168" t="s">
        <v>14</v>
      </c>
      <c r="Q15" s="343" t="s">
        <v>354</v>
      </c>
      <c r="R15" s="357" t="s">
        <v>355</v>
      </c>
    </row>
    <row r="16" spans="2:18" ht="15.75" thickBot="1" x14ac:dyDescent="0.3">
      <c r="B16" s="342"/>
      <c r="C16" s="167" t="s">
        <v>290</v>
      </c>
      <c r="D16" s="169" t="s">
        <v>291</v>
      </c>
      <c r="E16" s="344"/>
      <c r="F16" s="353"/>
      <c r="G16" s="167" t="s">
        <v>290</v>
      </c>
      <c r="H16" s="169" t="s">
        <v>291</v>
      </c>
      <c r="I16" s="344"/>
      <c r="J16" s="353"/>
      <c r="K16" s="167" t="s">
        <v>290</v>
      </c>
      <c r="L16" s="169" t="s">
        <v>291</v>
      </c>
      <c r="M16" s="344"/>
      <c r="N16" s="353"/>
      <c r="O16" s="167" t="s">
        <v>290</v>
      </c>
      <c r="P16" s="169" t="s">
        <v>291</v>
      </c>
      <c r="Q16" s="344"/>
      <c r="R16" s="358"/>
    </row>
    <row r="17" spans="2:18" ht="15.75" thickBot="1" x14ac:dyDescent="0.3">
      <c r="B17" s="346" t="s">
        <v>74</v>
      </c>
      <c r="C17" s="363" t="s">
        <v>73</v>
      </c>
      <c r="D17" s="177" t="s">
        <v>73</v>
      </c>
      <c r="E17" s="344"/>
      <c r="F17" s="354"/>
      <c r="G17" s="363" t="s">
        <v>75</v>
      </c>
      <c r="H17" s="177" t="s">
        <v>75</v>
      </c>
      <c r="I17" s="344"/>
      <c r="J17" s="354"/>
      <c r="K17" s="363" t="s">
        <v>76</v>
      </c>
      <c r="L17" s="177" t="s">
        <v>76</v>
      </c>
      <c r="M17" s="344"/>
      <c r="N17" s="354"/>
      <c r="O17" s="363" t="s">
        <v>77</v>
      </c>
      <c r="P17" s="177" t="s">
        <v>77</v>
      </c>
      <c r="Q17" s="344"/>
      <c r="R17" s="358"/>
    </row>
    <row r="18" spans="2:18" ht="30.75" thickBot="1" x14ac:dyDescent="0.3">
      <c r="B18" s="347"/>
      <c r="C18" s="364"/>
      <c r="D18" s="208" t="s">
        <v>254</v>
      </c>
      <c r="E18" s="345"/>
      <c r="F18" s="345"/>
      <c r="G18" s="364"/>
      <c r="H18" s="210" t="s">
        <v>253</v>
      </c>
      <c r="I18" s="345"/>
      <c r="J18" s="345"/>
      <c r="K18" s="364"/>
      <c r="L18" s="208" t="s">
        <v>255</v>
      </c>
      <c r="M18" s="345"/>
      <c r="N18" s="345"/>
      <c r="O18" s="364"/>
      <c r="P18" s="208" t="s">
        <v>256</v>
      </c>
      <c r="Q18" s="345"/>
      <c r="R18" s="359"/>
    </row>
    <row r="19" spans="2:18" x14ac:dyDescent="0.25">
      <c r="B19" s="44">
        <v>1</v>
      </c>
      <c r="C19" s="154">
        <v>1.66667E-2</v>
      </c>
      <c r="D19" s="58">
        <f>H19*60</f>
        <v>1.6666666666666666E-2</v>
      </c>
      <c r="E19" s="54">
        <f>C19-D19</f>
        <v>3.3333333333135373E-8</v>
      </c>
      <c r="F19" s="54">
        <f>(100*E19)/D19</f>
        <v>1.9999999999881224E-4</v>
      </c>
      <c r="G19" s="157">
        <v>2.7777800000000001E-4</v>
      </c>
      <c r="H19" s="58">
        <f>B19/3600</f>
        <v>2.7777777777777778E-4</v>
      </c>
      <c r="I19" s="54">
        <f>G19-H19</f>
        <v>2.2222222223174451E-10</v>
      </c>
      <c r="J19" s="54">
        <f>(100*I19)/H19</f>
        <v>8.0000000003428023E-5</v>
      </c>
      <c r="K19" s="157">
        <v>3.0864199999999998E-4</v>
      </c>
      <c r="L19" s="58">
        <f>H19/0.9</f>
        <v>3.0864197530864197E-4</v>
      </c>
      <c r="M19" s="54">
        <f>K19-L19</f>
        <v>2.4691358007679354E-11</v>
      </c>
      <c r="N19" s="54">
        <f>(100*M19)/L19</f>
        <v>7.9999999944881106E-6</v>
      </c>
      <c r="O19" s="154">
        <v>4.8481368110953598E-6</v>
      </c>
      <c r="P19" s="58">
        <f>H19/180*3.14159265358979</f>
        <v>4.8481368110953548E-6</v>
      </c>
      <c r="Q19" s="54">
        <f>O19-P19</f>
        <v>0</v>
      </c>
      <c r="R19" s="162">
        <f>(100*Q19)/P19</f>
        <v>0</v>
      </c>
    </row>
    <row r="20" spans="2:18" x14ac:dyDescent="0.25">
      <c r="B20" s="47">
        <v>987</v>
      </c>
      <c r="C20" s="159">
        <v>16.45</v>
      </c>
      <c r="D20" s="26">
        <f t="shared" ref="D20:D24" si="12">H20*60</f>
        <v>16.45</v>
      </c>
      <c r="E20" s="52">
        <f t="shared" ref="E20:E24" si="13">C20-D20</f>
        <v>0</v>
      </c>
      <c r="F20" s="52">
        <f t="shared" ref="F20:F24" si="14">(100*E20)/D20</f>
        <v>0</v>
      </c>
      <c r="G20" s="155">
        <v>0.27416699999999999</v>
      </c>
      <c r="H20" s="26">
        <f t="shared" ref="H20:H24" si="15">B20/3600</f>
        <v>0.27416666666666667</v>
      </c>
      <c r="I20" s="52">
        <f t="shared" ref="I20:I24" si="16">G20-H20</f>
        <v>3.3333333332441484E-7</v>
      </c>
      <c r="J20" s="52">
        <f t="shared" ref="J20:J24" si="17">(100*I20)/H20</f>
        <v>1.2158054710920906E-4</v>
      </c>
      <c r="K20" s="155">
        <v>0.30463000000000001</v>
      </c>
      <c r="L20" s="26">
        <f t="shared" ref="L20:L24" si="18">H20/0.9</f>
        <v>0.30462962962962964</v>
      </c>
      <c r="M20" s="52">
        <f t="shared" ref="M20:M24" si="19">K20-L20</f>
        <v>3.7037037037279674E-7</v>
      </c>
      <c r="N20" s="52">
        <f t="shared" ref="N20:N24" si="20">(100*M20)/L20</f>
        <v>1.215805471132585E-4</v>
      </c>
      <c r="O20" s="155">
        <v>4.7851100000000004E-3</v>
      </c>
      <c r="P20" s="26">
        <f t="shared" ref="P20:P24" si="21">H20/180*3.14159265358979</f>
        <v>4.7851110325511153E-3</v>
      </c>
      <c r="Q20" s="52">
        <f t="shared" ref="Q20:Q24" si="22">O20-P20</f>
        <v>-1.0325511149225641E-9</v>
      </c>
      <c r="R20" s="153">
        <f t="shared" ref="R20:R24" si="23">(100*Q20)/P20</f>
        <v>-2.1578414960458585E-5</v>
      </c>
    </row>
    <row r="21" spans="2:18" x14ac:dyDescent="0.25">
      <c r="B21" s="47">
        <v>5987</v>
      </c>
      <c r="C21" s="155">
        <v>99.783299999999997</v>
      </c>
      <c r="D21" s="26">
        <f t="shared" si="12"/>
        <v>99.783333333333331</v>
      </c>
      <c r="E21" s="52">
        <f t="shared" si="13"/>
        <v>-3.3333333334439885E-5</v>
      </c>
      <c r="F21" s="52">
        <f t="shared" si="14"/>
        <v>-3.340571237792539E-5</v>
      </c>
      <c r="G21" s="155">
        <v>1.66306</v>
      </c>
      <c r="H21" s="26">
        <f t="shared" si="15"/>
        <v>1.6630555555555555</v>
      </c>
      <c r="I21" s="52">
        <f t="shared" si="16"/>
        <v>4.4444444444735609E-6</v>
      </c>
      <c r="J21" s="52">
        <f t="shared" si="17"/>
        <v>2.672456990162823E-4</v>
      </c>
      <c r="K21" s="159">
        <v>1.8478399999999999</v>
      </c>
      <c r="L21" s="26">
        <f t="shared" si="18"/>
        <v>1.8478395061728394</v>
      </c>
      <c r="M21" s="52">
        <f t="shared" si="19"/>
        <v>4.9382716049706232E-7</v>
      </c>
      <c r="N21" s="52">
        <f t="shared" si="20"/>
        <v>2.6724569901628229E-5</v>
      </c>
      <c r="O21" s="159">
        <v>2.9025800000000001E-2</v>
      </c>
      <c r="P21" s="26">
        <f t="shared" si="21"/>
        <v>2.9025795088027891E-2</v>
      </c>
      <c r="Q21" s="52">
        <f t="shared" si="22"/>
        <v>4.9119721103052516E-9</v>
      </c>
      <c r="R21" s="153">
        <f t="shared" si="23"/>
        <v>1.6922782288679719E-5</v>
      </c>
    </row>
    <row r="22" spans="2:18" x14ac:dyDescent="0.25">
      <c r="B22" s="47">
        <v>4455667788</v>
      </c>
      <c r="C22" s="155">
        <v>74261130</v>
      </c>
      <c r="D22" s="26">
        <f t="shared" si="12"/>
        <v>74261129.799999997</v>
      </c>
      <c r="E22" s="52">
        <f t="shared" si="13"/>
        <v>0.20000000298023224</v>
      </c>
      <c r="F22" s="52">
        <f t="shared" si="14"/>
        <v>2.6931990331802392E-7</v>
      </c>
      <c r="G22" s="155">
        <v>1237685</v>
      </c>
      <c r="H22" s="26">
        <f t="shared" si="15"/>
        <v>1237685.4966666666</v>
      </c>
      <c r="I22" s="52">
        <f t="shared" si="16"/>
        <v>-0.49666666658595204</v>
      </c>
      <c r="J22" s="52">
        <f t="shared" si="17"/>
        <v>-4.0128664989900445E-5</v>
      </c>
      <c r="K22" s="155">
        <v>1375206</v>
      </c>
      <c r="L22" s="26">
        <f t="shared" si="18"/>
        <v>1375206.1074074074</v>
      </c>
      <c r="M22" s="52">
        <f t="shared" si="19"/>
        <v>-0.10740740736946464</v>
      </c>
      <c r="N22" s="52">
        <f t="shared" si="20"/>
        <v>-7.8102770770814356E-6</v>
      </c>
      <c r="O22" s="155">
        <v>21601.7</v>
      </c>
      <c r="P22" s="26">
        <f t="shared" si="21"/>
        <v>21601.687021014615</v>
      </c>
      <c r="Q22" s="52">
        <f t="shared" si="22"/>
        <v>1.2978985385416308E-2</v>
      </c>
      <c r="R22" s="153">
        <f t="shared" si="23"/>
        <v>6.0083202635007414E-5</v>
      </c>
    </row>
    <row r="23" spans="2:18" x14ac:dyDescent="0.25">
      <c r="B23" s="47">
        <v>-654</v>
      </c>
      <c r="C23" s="155">
        <v>-10.9</v>
      </c>
      <c r="D23" s="26">
        <f t="shared" si="12"/>
        <v>-10.9</v>
      </c>
      <c r="E23" s="52">
        <f t="shared" si="13"/>
        <v>0</v>
      </c>
      <c r="F23" s="52">
        <f t="shared" si="14"/>
        <v>0</v>
      </c>
      <c r="G23" s="155">
        <v>-0.181667</v>
      </c>
      <c r="H23" s="26">
        <f t="shared" si="15"/>
        <v>-0.18166666666666667</v>
      </c>
      <c r="I23" s="52">
        <f t="shared" si="16"/>
        <v>-3.3333333332441484E-7</v>
      </c>
      <c r="J23" s="52">
        <f t="shared" si="17"/>
        <v>1.8348623852720082E-4</v>
      </c>
      <c r="K23" s="155">
        <v>-0.201852</v>
      </c>
      <c r="L23" s="26">
        <f t="shared" si="18"/>
        <v>-0.20185185185185184</v>
      </c>
      <c r="M23" s="52">
        <f t="shared" si="19"/>
        <v>-1.4814814816577204E-7</v>
      </c>
      <c r="N23" s="52">
        <f t="shared" si="20"/>
        <v>7.3394495421575152E-5</v>
      </c>
      <c r="O23" s="155">
        <v>-3.1706799999999999E-3</v>
      </c>
      <c r="P23" s="26">
        <f t="shared" si="21"/>
        <v>-3.1706814744563621E-3</v>
      </c>
      <c r="Q23" s="52">
        <f t="shared" si="22"/>
        <v>1.4744563621264806E-9</v>
      </c>
      <c r="R23" s="153">
        <f t="shared" si="23"/>
        <v>-4.6502821995996541E-5</v>
      </c>
    </row>
    <row r="24" spans="2:18" ht="15.75" thickBot="1" x14ac:dyDescent="0.3">
      <c r="B24" s="74">
        <v>0.65469999999999995</v>
      </c>
      <c r="C24" s="158">
        <v>1.09117E-2</v>
      </c>
      <c r="D24" s="59">
        <f t="shared" si="12"/>
        <v>1.0911666666666667E-2</v>
      </c>
      <c r="E24" s="57">
        <f t="shared" si="13"/>
        <v>3.3333333333135373E-8</v>
      </c>
      <c r="F24" s="57">
        <f t="shared" si="14"/>
        <v>3.054834275222426E-4</v>
      </c>
      <c r="G24" s="156">
        <v>1.8186100000000001E-4</v>
      </c>
      <c r="H24" s="59">
        <f t="shared" si="15"/>
        <v>1.818611111111111E-4</v>
      </c>
      <c r="I24" s="57">
        <f t="shared" si="16"/>
        <v>-1.111111110887672E-10</v>
      </c>
      <c r="J24" s="57">
        <f t="shared" si="17"/>
        <v>-6.1096685492525115E-5</v>
      </c>
      <c r="K24" s="158">
        <v>2.0206799999999999E-4</v>
      </c>
      <c r="L24" s="59">
        <f t="shared" si="18"/>
        <v>2.0206790123456788E-4</v>
      </c>
      <c r="M24" s="57">
        <f t="shared" si="19"/>
        <v>9.8765432112032578E-11</v>
      </c>
      <c r="N24" s="57">
        <f t="shared" si="20"/>
        <v>4.8877348410414783E-5</v>
      </c>
      <c r="O24" s="156">
        <v>3.1740751702241302E-6</v>
      </c>
      <c r="P24" s="59">
        <f t="shared" si="21"/>
        <v>3.1740751702241289E-6</v>
      </c>
      <c r="Q24" s="57">
        <f t="shared" si="22"/>
        <v>0</v>
      </c>
      <c r="R24" s="163">
        <f t="shared" si="23"/>
        <v>0</v>
      </c>
    </row>
    <row r="25" spans="2:18" ht="15.75" thickBot="1" x14ac:dyDescent="0.3">
      <c r="C25" s="165"/>
      <c r="D25" s="165"/>
      <c r="E25" s="164"/>
      <c r="F25" s="164"/>
      <c r="G25" s="165"/>
      <c r="H25" s="165"/>
      <c r="I25" s="164"/>
      <c r="J25" s="164"/>
      <c r="K25" s="165"/>
      <c r="L25" s="165"/>
      <c r="M25" s="164"/>
      <c r="N25" s="164"/>
      <c r="O25" s="165"/>
      <c r="P25" s="165"/>
      <c r="Q25" s="164"/>
      <c r="R25" s="164"/>
    </row>
    <row r="26" spans="2:18" x14ac:dyDescent="0.25">
      <c r="B26" s="341" t="s">
        <v>10</v>
      </c>
      <c r="C26" s="166" t="s">
        <v>14</v>
      </c>
      <c r="D26" s="168" t="s">
        <v>14</v>
      </c>
      <c r="E26" s="343" t="s">
        <v>354</v>
      </c>
      <c r="F26" s="352" t="s">
        <v>355</v>
      </c>
      <c r="G26" s="166" t="s">
        <v>14</v>
      </c>
      <c r="H26" s="168" t="s">
        <v>14</v>
      </c>
      <c r="I26" s="343" t="s">
        <v>354</v>
      </c>
      <c r="J26" s="352" t="s">
        <v>355</v>
      </c>
      <c r="K26" s="166" t="s">
        <v>14</v>
      </c>
      <c r="L26" s="168" t="s">
        <v>14</v>
      </c>
      <c r="M26" s="343" t="s">
        <v>354</v>
      </c>
      <c r="N26" s="352" t="s">
        <v>355</v>
      </c>
      <c r="O26" s="166" t="s">
        <v>14</v>
      </c>
      <c r="P26" s="168" t="s">
        <v>14</v>
      </c>
      <c r="Q26" s="343" t="s">
        <v>354</v>
      </c>
      <c r="R26" s="357" t="s">
        <v>355</v>
      </c>
    </row>
    <row r="27" spans="2:18" ht="15.75" thickBot="1" x14ac:dyDescent="0.3">
      <c r="B27" s="342"/>
      <c r="C27" s="167" t="s">
        <v>290</v>
      </c>
      <c r="D27" s="169" t="s">
        <v>291</v>
      </c>
      <c r="E27" s="344"/>
      <c r="F27" s="353"/>
      <c r="G27" s="167" t="s">
        <v>290</v>
      </c>
      <c r="H27" s="169" t="s">
        <v>291</v>
      </c>
      <c r="I27" s="344"/>
      <c r="J27" s="353"/>
      <c r="K27" s="167" t="s">
        <v>290</v>
      </c>
      <c r="L27" s="169" t="s">
        <v>291</v>
      </c>
      <c r="M27" s="344"/>
      <c r="N27" s="353"/>
      <c r="O27" s="167" t="s">
        <v>290</v>
      </c>
      <c r="P27" s="169" t="s">
        <v>291</v>
      </c>
      <c r="Q27" s="344"/>
      <c r="R27" s="358"/>
    </row>
    <row r="28" spans="2:18" ht="15.75" thickBot="1" x14ac:dyDescent="0.3">
      <c r="B28" s="346" t="s">
        <v>75</v>
      </c>
      <c r="C28" s="363" t="s">
        <v>73</v>
      </c>
      <c r="D28" s="177" t="s">
        <v>73</v>
      </c>
      <c r="E28" s="344"/>
      <c r="F28" s="354"/>
      <c r="G28" s="363" t="s">
        <v>74</v>
      </c>
      <c r="H28" s="177" t="s">
        <v>74</v>
      </c>
      <c r="I28" s="344"/>
      <c r="J28" s="354"/>
      <c r="K28" s="363" t="s">
        <v>76</v>
      </c>
      <c r="L28" s="177" t="s">
        <v>76</v>
      </c>
      <c r="M28" s="344"/>
      <c r="N28" s="354"/>
      <c r="O28" s="363" t="s">
        <v>77</v>
      </c>
      <c r="P28" s="177" t="s">
        <v>77</v>
      </c>
      <c r="Q28" s="344"/>
      <c r="R28" s="358"/>
    </row>
    <row r="29" spans="2:18" ht="15.75" thickBot="1" x14ac:dyDescent="0.3">
      <c r="B29" s="347"/>
      <c r="C29" s="364"/>
      <c r="D29" s="209" t="s">
        <v>259</v>
      </c>
      <c r="E29" s="345"/>
      <c r="F29" s="345"/>
      <c r="G29" s="364"/>
      <c r="H29" s="209" t="s">
        <v>260</v>
      </c>
      <c r="I29" s="345"/>
      <c r="J29" s="345"/>
      <c r="K29" s="364"/>
      <c r="L29" s="209" t="s">
        <v>261</v>
      </c>
      <c r="M29" s="345"/>
      <c r="N29" s="345"/>
      <c r="O29" s="364"/>
      <c r="P29" s="209" t="s">
        <v>262</v>
      </c>
      <c r="Q29" s="345"/>
      <c r="R29" s="359"/>
    </row>
    <row r="30" spans="2:18" x14ac:dyDescent="0.25">
      <c r="B30" s="44">
        <v>1</v>
      </c>
      <c r="C30" s="154">
        <v>60</v>
      </c>
      <c r="D30" s="58">
        <f>B30*60</f>
        <v>60</v>
      </c>
      <c r="E30" s="54">
        <f>C30-D30</f>
        <v>0</v>
      </c>
      <c r="F30" s="54">
        <f>(100*E30)/D30</f>
        <v>0</v>
      </c>
      <c r="G30" s="154">
        <v>3600</v>
      </c>
      <c r="H30" s="58">
        <f>B30*3600</f>
        <v>3600</v>
      </c>
      <c r="I30" s="54">
        <f>G30-H30</f>
        <v>0</v>
      </c>
      <c r="J30" s="54">
        <f>(100*I30)/H30</f>
        <v>0</v>
      </c>
      <c r="K30" s="154">
        <v>1.11111</v>
      </c>
      <c r="L30" s="58">
        <f>B30/0.9</f>
        <v>1.1111111111111112</v>
      </c>
      <c r="M30" s="54">
        <f>K30-L30</f>
        <v>-1.1111111111183902E-6</v>
      </c>
      <c r="N30" s="54">
        <f>(100*M30)/L30</f>
        <v>-1.0000000000065512E-4</v>
      </c>
      <c r="O30" s="157">
        <v>1.7453300000000001E-2</v>
      </c>
      <c r="P30" s="58">
        <f>B30/180*3.14159265358979</f>
        <v>1.7453292519943278E-2</v>
      </c>
      <c r="Q30" s="54">
        <f>O30-P30</f>
        <v>7.4800567233246351E-9</v>
      </c>
      <c r="R30" s="162">
        <f>(100*Q30)/P30</f>
        <v>4.2857568076495776E-5</v>
      </c>
    </row>
    <row r="31" spans="2:18" x14ac:dyDescent="0.25">
      <c r="B31" s="47">
        <v>987</v>
      </c>
      <c r="C31" s="159">
        <v>59220</v>
      </c>
      <c r="D31" s="26">
        <f t="shared" ref="D31:D35" si="24">B31*60</f>
        <v>59220</v>
      </c>
      <c r="E31" s="52">
        <f t="shared" ref="E31:E35" si="25">C31-D31</f>
        <v>0</v>
      </c>
      <c r="F31" s="52">
        <f t="shared" ref="F31:F35" si="26">(100*E31)/D31</f>
        <v>0</v>
      </c>
      <c r="G31" s="155">
        <v>3553200</v>
      </c>
      <c r="H31" s="26">
        <f t="shared" ref="H31:H35" si="27">B31*3600</f>
        <v>3553200</v>
      </c>
      <c r="I31" s="52">
        <f t="shared" ref="I31:I35" si="28">G31-H31</f>
        <v>0</v>
      </c>
      <c r="J31" s="52">
        <f t="shared" ref="J31:J35" si="29">(100*I31)/H31</f>
        <v>0</v>
      </c>
      <c r="K31" s="155">
        <v>1096.67</v>
      </c>
      <c r="L31" s="26">
        <f t="shared" ref="L31:L35" si="30">B31/0.9</f>
        <v>1096.6666666666667</v>
      </c>
      <c r="M31" s="52">
        <f t="shared" ref="M31:M35" si="31">K31-L31</f>
        <v>3.3333333333303017E-3</v>
      </c>
      <c r="N31" s="52">
        <f t="shared" ref="N31:N35" si="32">(100*M31)/L31</f>
        <v>3.0395136778087856E-4</v>
      </c>
      <c r="O31" s="155">
        <v>17.226400000000002</v>
      </c>
      <c r="P31" s="26">
        <f t="shared" ref="P31:P35" si="33">B31/180*3.14159265358979</f>
        <v>17.226399717184016</v>
      </c>
      <c r="Q31" s="52">
        <f t="shared" ref="Q31:Q35" si="34">O31-P31</f>
        <v>2.8281598574153577E-7</v>
      </c>
      <c r="R31" s="153">
        <f t="shared" ref="R31:R35" si="35">(100*Q31)/P31</f>
        <v>1.6417591045412445E-6</v>
      </c>
    </row>
    <row r="32" spans="2:18" x14ac:dyDescent="0.25">
      <c r="B32" s="47">
        <v>5987</v>
      </c>
      <c r="C32" s="155">
        <v>359220</v>
      </c>
      <c r="D32" s="26">
        <f t="shared" si="24"/>
        <v>359220</v>
      </c>
      <c r="E32" s="52">
        <f t="shared" si="25"/>
        <v>0</v>
      </c>
      <c r="F32" s="52">
        <f t="shared" si="26"/>
        <v>0</v>
      </c>
      <c r="G32" s="155">
        <v>21553200</v>
      </c>
      <c r="H32" s="26">
        <f t="shared" si="27"/>
        <v>21553200</v>
      </c>
      <c r="I32" s="52">
        <f t="shared" si="28"/>
        <v>0</v>
      </c>
      <c r="J32" s="52">
        <f t="shared" si="29"/>
        <v>0</v>
      </c>
      <c r="K32" s="159">
        <v>6652.22</v>
      </c>
      <c r="L32" s="26">
        <f t="shared" si="30"/>
        <v>6652.2222222222217</v>
      </c>
      <c r="M32" s="52">
        <f t="shared" si="31"/>
        <v>-2.2222222214622889E-3</v>
      </c>
      <c r="N32" s="52">
        <f t="shared" si="32"/>
        <v>-3.3405712365392684E-5</v>
      </c>
      <c r="O32" s="159">
        <v>104.49299999999999</v>
      </c>
      <c r="P32" s="26">
        <f t="shared" si="33"/>
        <v>104.49286231690041</v>
      </c>
      <c r="Q32" s="52">
        <f t="shared" si="34"/>
        <v>1.3768309958095415E-4</v>
      </c>
      <c r="R32" s="153">
        <f t="shared" si="35"/>
        <v>1.3176316212240043E-4</v>
      </c>
    </row>
    <row r="33" spans="2:18" x14ac:dyDescent="0.25">
      <c r="B33" s="47">
        <v>4455667788</v>
      </c>
      <c r="C33" s="159">
        <v>267340067280</v>
      </c>
      <c r="D33" s="26">
        <f t="shared" si="24"/>
        <v>267340067280</v>
      </c>
      <c r="E33" s="52">
        <f t="shared" si="25"/>
        <v>0</v>
      </c>
      <c r="F33" s="52">
        <f t="shared" si="26"/>
        <v>0</v>
      </c>
      <c r="G33" s="155">
        <v>16040404036800</v>
      </c>
      <c r="H33" s="26">
        <f t="shared" si="27"/>
        <v>16040404036800</v>
      </c>
      <c r="I33" s="52">
        <f t="shared" si="28"/>
        <v>0</v>
      </c>
      <c r="J33" s="52">
        <f t="shared" si="29"/>
        <v>0</v>
      </c>
      <c r="K33" s="155">
        <v>4950741987</v>
      </c>
      <c r="L33" s="26">
        <f t="shared" si="30"/>
        <v>4950741986.666667</v>
      </c>
      <c r="M33" s="52">
        <f t="shared" si="31"/>
        <v>0.33333301544189453</v>
      </c>
      <c r="N33" s="52">
        <f t="shared" si="32"/>
        <v>6.7329910615343449E-9</v>
      </c>
      <c r="O33" s="155">
        <v>77766073</v>
      </c>
      <c r="P33" s="26">
        <f t="shared" si="33"/>
        <v>77766073.275652617</v>
      </c>
      <c r="Q33" s="52">
        <f t="shared" si="34"/>
        <v>-0.27565261721611023</v>
      </c>
      <c r="R33" s="153">
        <f t="shared" si="35"/>
        <v>-3.5446384985779254E-7</v>
      </c>
    </row>
    <row r="34" spans="2:18" x14ac:dyDescent="0.25">
      <c r="B34" s="47">
        <v>-654</v>
      </c>
      <c r="C34" s="155">
        <v>-39240</v>
      </c>
      <c r="D34" s="26">
        <f t="shared" si="24"/>
        <v>-39240</v>
      </c>
      <c r="E34" s="52">
        <f t="shared" si="25"/>
        <v>0</v>
      </c>
      <c r="F34" s="52">
        <f t="shared" si="26"/>
        <v>0</v>
      </c>
      <c r="G34" s="155">
        <v>-2354400</v>
      </c>
      <c r="H34" s="26">
        <f t="shared" si="27"/>
        <v>-2354400</v>
      </c>
      <c r="I34" s="52">
        <f t="shared" si="28"/>
        <v>0</v>
      </c>
      <c r="J34" s="52">
        <f t="shared" si="29"/>
        <v>0</v>
      </c>
      <c r="K34" s="155">
        <v>-726.66700000000003</v>
      </c>
      <c r="L34" s="26">
        <f t="shared" si="30"/>
        <v>-726.66666666666663</v>
      </c>
      <c r="M34" s="52">
        <f t="shared" si="31"/>
        <v>-3.3333333340124227E-4</v>
      </c>
      <c r="N34" s="52">
        <f t="shared" si="32"/>
        <v>4.587155964237279E-5</v>
      </c>
      <c r="O34" s="155">
        <v>-11.4145</v>
      </c>
      <c r="P34" s="26">
        <f t="shared" si="33"/>
        <v>-11.414453308042903</v>
      </c>
      <c r="Q34" s="52">
        <f t="shared" si="34"/>
        <v>-4.6691957097166892E-5</v>
      </c>
      <c r="R34" s="153">
        <f t="shared" si="35"/>
        <v>4.0905995089810036E-4</v>
      </c>
    </row>
    <row r="35" spans="2:18" ht="15.75" thickBot="1" x14ac:dyDescent="0.3">
      <c r="B35" s="74">
        <v>0.65469999999999995</v>
      </c>
      <c r="C35" s="158">
        <v>39.281999999999996</v>
      </c>
      <c r="D35" s="59">
        <f t="shared" si="24"/>
        <v>39.281999999999996</v>
      </c>
      <c r="E35" s="57">
        <f t="shared" si="25"/>
        <v>0</v>
      </c>
      <c r="F35" s="57">
        <f t="shared" si="26"/>
        <v>0</v>
      </c>
      <c r="G35" s="156">
        <v>2356.92</v>
      </c>
      <c r="H35" s="59">
        <f t="shared" si="27"/>
        <v>2356.9199999999996</v>
      </c>
      <c r="I35" s="57">
        <f t="shared" si="28"/>
        <v>0</v>
      </c>
      <c r="J35" s="57">
        <f t="shared" si="29"/>
        <v>0</v>
      </c>
      <c r="K35" s="158">
        <v>0.72744399999999998</v>
      </c>
      <c r="L35" s="59">
        <f t="shared" si="30"/>
        <v>0.72744444444444434</v>
      </c>
      <c r="M35" s="57">
        <f t="shared" si="31"/>
        <v>-4.4444444435853825E-7</v>
      </c>
      <c r="N35" s="57">
        <f t="shared" si="32"/>
        <v>-6.1096685493002055E-5</v>
      </c>
      <c r="O35" s="158">
        <v>1.14267E-2</v>
      </c>
      <c r="P35" s="59">
        <f t="shared" si="33"/>
        <v>1.1426670612806862E-2</v>
      </c>
      <c r="Q35" s="57">
        <f t="shared" si="34"/>
        <v>2.938719313727578E-8</v>
      </c>
      <c r="R35" s="163">
        <f t="shared" si="35"/>
        <v>2.5718071460237069E-4</v>
      </c>
    </row>
    <row r="36" spans="2:18" ht="15.75" thickBot="1" x14ac:dyDescent="0.3">
      <c r="C36" s="165"/>
      <c r="D36" s="165"/>
      <c r="E36" s="164"/>
      <c r="F36" s="164"/>
      <c r="G36" s="165"/>
      <c r="H36" s="165"/>
      <c r="I36" s="164"/>
      <c r="J36" s="164"/>
      <c r="K36" s="165"/>
      <c r="L36" s="165"/>
      <c r="M36" s="164"/>
      <c r="N36" s="164"/>
      <c r="O36" s="165"/>
      <c r="P36" s="165"/>
      <c r="Q36" s="164"/>
      <c r="R36" s="164"/>
    </row>
    <row r="37" spans="2:18" x14ac:dyDescent="0.25">
      <c r="B37" s="341" t="s">
        <v>10</v>
      </c>
      <c r="C37" s="166" t="s">
        <v>14</v>
      </c>
      <c r="D37" s="168" t="s">
        <v>14</v>
      </c>
      <c r="E37" s="343" t="s">
        <v>354</v>
      </c>
      <c r="F37" s="352" t="s">
        <v>355</v>
      </c>
      <c r="G37" s="166" t="s">
        <v>14</v>
      </c>
      <c r="H37" s="168" t="s">
        <v>14</v>
      </c>
      <c r="I37" s="343" t="s">
        <v>354</v>
      </c>
      <c r="J37" s="352" t="s">
        <v>355</v>
      </c>
      <c r="K37" s="166" t="s">
        <v>14</v>
      </c>
      <c r="L37" s="168" t="s">
        <v>14</v>
      </c>
      <c r="M37" s="343" t="s">
        <v>354</v>
      </c>
      <c r="N37" s="352" t="s">
        <v>355</v>
      </c>
      <c r="O37" s="166" t="s">
        <v>14</v>
      </c>
      <c r="P37" s="168" t="s">
        <v>14</v>
      </c>
      <c r="Q37" s="343" t="s">
        <v>354</v>
      </c>
      <c r="R37" s="357" t="s">
        <v>355</v>
      </c>
    </row>
    <row r="38" spans="2:18" ht="15.75" thickBot="1" x14ac:dyDescent="0.3">
      <c r="B38" s="342"/>
      <c r="C38" s="167" t="s">
        <v>290</v>
      </c>
      <c r="D38" s="169" t="s">
        <v>291</v>
      </c>
      <c r="E38" s="344"/>
      <c r="F38" s="353"/>
      <c r="G38" s="167" t="s">
        <v>290</v>
      </c>
      <c r="H38" s="169" t="s">
        <v>291</v>
      </c>
      <c r="I38" s="344"/>
      <c r="J38" s="353"/>
      <c r="K38" s="167" t="s">
        <v>290</v>
      </c>
      <c r="L38" s="169" t="s">
        <v>291</v>
      </c>
      <c r="M38" s="344"/>
      <c r="N38" s="353"/>
      <c r="O38" s="167" t="s">
        <v>290</v>
      </c>
      <c r="P38" s="169" t="s">
        <v>291</v>
      </c>
      <c r="Q38" s="344"/>
      <c r="R38" s="358"/>
    </row>
    <row r="39" spans="2:18" ht="15.75" thickBot="1" x14ac:dyDescent="0.3">
      <c r="B39" s="346" t="s">
        <v>76</v>
      </c>
      <c r="C39" s="363" t="s">
        <v>73</v>
      </c>
      <c r="D39" s="177" t="s">
        <v>73</v>
      </c>
      <c r="E39" s="344"/>
      <c r="F39" s="354"/>
      <c r="G39" s="363" t="s">
        <v>74</v>
      </c>
      <c r="H39" s="177" t="s">
        <v>74</v>
      </c>
      <c r="I39" s="344"/>
      <c r="J39" s="354"/>
      <c r="K39" s="363" t="s">
        <v>75</v>
      </c>
      <c r="L39" s="177" t="s">
        <v>75</v>
      </c>
      <c r="M39" s="344"/>
      <c r="N39" s="354"/>
      <c r="O39" s="363" t="s">
        <v>77</v>
      </c>
      <c r="P39" s="177" t="s">
        <v>77</v>
      </c>
      <c r="Q39" s="344"/>
      <c r="R39" s="358"/>
    </row>
    <row r="40" spans="2:18" ht="30.75" thickBot="1" x14ac:dyDescent="0.3">
      <c r="B40" s="347"/>
      <c r="C40" s="364"/>
      <c r="D40" s="208" t="s">
        <v>263</v>
      </c>
      <c r="E40" s="345"/>
      <c r="F40" s="345"/>
      <c r="G40" s="364"/>
      <c r="H40" s="208" t="s">
        <v>264</v>
      </c>
      <c r="I40" s="345"/>
      <c r="J40" s="345"/>
      <c r="K40" s="364"/>
      <c r="L40" s="210" t="s">
        <v>257</v>
      </c>
      <c r="M40" s="345"/>
      <c r="N40" s="345"/>
      <c r="O40" s="364"/>
      <c r="P40" s="208" t="s">
        <v>265</v>
      </c>
      <c r="Q40" s="345"/>
      <c r="R40" s="359"/>
    </row>
    <row r="41" spans="2:18" x14ac:dyDescent="0.25">
      <c r="B41" s="44">
        <v>1</v>
      </c>
      <c r="C41" s="154">
        <v>54</v>
      </c>
      <c r="D41" s="58">
        <f>L41*60</f>
        <v>54</v>
      </c>
      <c r="E41" s="54">
        <f>C41-D41</f>
        <v>0</v>
      </c>
      <c r="F41" s="54">
        <f>(100*E41)/D41</f>
        <v>0</v>
      </c>
      <c r="G41" s="154">
        <v>3240</v>
      </c>
      <c r="H41" s="58">
        <f>L41*3600</f>
        <v>3240</v>
      </c>
      <c r="I41" s="54">
        <f>G41-H41</f>
        <v>0</v>
      </c>
      <c r="J41" s="54">
        <f>(100*I41)/H41</f>
        <v>0</v>
      </c>
      <c r="K41" s="154">
        <v>0.9</v>
      </c>
      <c r="L41" s="58">
        <f>B41*0.9</f>
        <v>0.9</v>
      </c>
      <c r="M41" s="54">
        <f>K41-L41</f>
        <v>0</v>
      </c>
      <c r="N41" s="54">
        <f>(100*M41)/L41</f>
        <v>0</v>
      </c>
      <c r="O41" s="157">
        <v>1.5708E-2</v>
      </c>
      <c r="P41" s="58">
        <f>L41/180*3.14159265358979</f>
        <v>1.570796326794895E-2</v>
      </c>
      <c r="Q41" s="54">
        <f>O41-P41</f>
        <v>3.6732051050120118E-8</v>
      </c>
      <c r="R41" s="162">
        <f>(100*Q41)/P41</f>
        <v>2.3384349978121871E-4</v>
      </c>
    </row>
    <row r="42" spans="2:18" x14ac:dyDescent="0.25">
      <c r="B42" s="47">
        <v>987</v>
      </c>
      <c r="C42" s="159">
        <v>53298</v>
      </c>
      <c r="D42" s="26">
        <f t="shared" ref="D42:D46" si="36">L42*60</f>
        <v>53298.000000000007</v>
      </c>
      <c r="E42" s="52">
        <f t="shared" ref="E42:E46" si="37">C42-D42</f>
        <v>0</v>
      </c>
      <c r="F42" s="52">
        <f t="shared" ref="F42:F46" si="38">(100*E42)/D42</f>
        <v>0</v>
      </c>
      <c r="G42" s="155">
        <v>3197880</v>
      </c>
      <c r="H42" s="26">
        <f t="shared" ref="H42:H46" si="39">L42*3600</f>
        <v>3197880.0000000005</v>
      </c>
      <c r="I42" s="52">
        <f t="shared" ref="I42:I46" si="40">G42-H42</f>
        <v>0</v>
      </c>
      <c r="J42" s="52">
        <f t="shared" ref="J42:J46" si="41">(100*I42)/H42</f>
        <v>0</v>
      </c>
      <c r="K42" s="155">
        <v>888.3</v>
      </c>
      <c r="L42" s="26">
        <f t="shared" ref="L42:L46" si="42">B42*0.9</f>
        <v>888.30000000000007</v>
      </c>
      <c r="M42" s="52">
        <f t="shared" ref="M42:M46" si="43">K42-L42</f>
        <v>0</v>
      </c>
      <c r="N42" s="52">
        <f t="shared" ref="N42:N46" si="44">(100*M42)/L42</f>
        <v>0</v>
      </c>
      <c r="O42" s="155">
        <v>15.5038</v>
      </c>
      <c r="P42" s="26">
        <f t="shared" ref="P42:P46" si="45">L42/180*3.14159265358979</f>
        <v>15.503759745465615</v>
      </c>
      <c r="Q42" s="52">
        <f t="shared" ref="Q42:Q46" si="46">O42-P42</f>
        <v>4.0254534384942531E-5</v>
      </c>
      <c r="R42" s="153">
        <f t="shared" ref="R42:R46" si="47">(100*Q42)/P42</f>
        <v>2.5964369318039627E-4</v>
      </c>
    </row>
    <row r="43" spans="2:18" x14ac:dyDescent="0.25">
      <c r="B43" s="47">
        <v>5987</v>
      </c>
      <c r="C43" s="155">
        <v>323298</v>
      </c>
      <c r="D43" s="26">
        <f t="shared" si="36"/>
        <v>323298</v>
      </c>
      <c r="E43" s="52">
        <f t="shared" si="37"/>
        <v>0</v>
      </c>
      <c r="F43" s="52">
        <f t="shared" si="38"/>
        <v>0</v>
      </c>
      <c r="G43" s="155">
        <v>19397880</v>
      </c>
      <c r="H43" s="26">
        <f t="shared" si="39"/>
        <v>19397880</v>
      </c>
      <c r="I43" s="52">
        <f t="shared" si="40"/>
        <v>0</v>
      </c>
      <c r="J43" s="52">
        <f t="shared" si="41"/>
        <v>0</v>
      </c>
      <c r="K43" s="159">
        <v>5388.3</v>
      </c>
      <c r="L43" s="26">
        <f t="shared" si="42"/>
        <v>5388.3</v>
      </c>
      <c r="M43" s="52">
        <f t="shared" si="43"/>
        <v>0</v>
      </c>
      <c r="N43" s="52">
        <f t="shared" si="44"/>
        <v>0</v>
      </c>
      <c r="O43" s="159">
        <v>94.043599999999998</v>
      </c>
      <c r="P43" s="26">
        <f t="shared" si="45"/>
        <v>94.043576085210375</v>
      </c>
      <c r="Q43" s="52">
        <f t="shared" si="46"/>
        <v>2.391478962238125E-5</v>
      </c>
      <c r="R43" s="153">
        <f t="shared" si="47"/>
        <v>2.5429477076363725E-5</v>
      </c>
    </row>
    <row r="44" spans="2:18" x14ac:dyDescent="0.25">
      <c r="B44" s="47">
        <v>4455667788</v>
      </c>
      <c r="C44" s="159">
        <v>240606060552</v>
      </c>
      <c r="D44" s="26">
        <f t="shared" si="36"/>
        <v>240606060552.00003</v>
      </c>
      <c r="E44" s="52">
        <f t="shared" si="37"/>
        <v>0</v>
      </c>
      <c r="F44" s="52">
        <f t="shared" si="38"/>
        <v>0</v>
      </c>
      <c r="G44" s="155">
        <v>14436363633120</v>
      </c>
      <c r="H44" s="26">
        <f t="shared" si="39"/>
        <v>14436363633120.002</v>
      </c>
      <c r="I44" s="52">
        <f t="shared" si="40"/>
        <v>0</v>
      </c>
      <c r="J44" s="52">
        <f t="shared" si="41"/>
        <v>0</v>
      </c>
      <c r="K44" s="155">
        <v>4010101009</v>
      </c>
      <c r="L44" s="26">
        <f t="shared" si="42"/>
        <v>4010101009.2000003</v>
      </c>
      <c r="M44" s="52">
        <f t="shared" si="43"/>
        <v>-0.20000028610229492</v>
      </c>
      <c r="N44" s="52">
        <f t="shared" si="44"/>
        <v>-4.987412677223166E-9</v>
      </c>
      <c r="O44" s="155">
        <v>69989466</v>
      </c>
      <c r="P44" s="26">
        <f t="shared" si="45"/>
        <v>69989465.94808735</v>
      </c>
      <c r="Q44" s="52">
        <f t="shared" si="46"/>
        <v>5.1912650465965271E-2</v>
      </c>
      <c r="R44" s="153">
        <f t="shared" si="47"/>
        <v>7.4172091132214058E-8</v>
      </c>
    </row>
    <row r="45" spans="2:18" x14ac:dyDescent="0.25">
      <c r="B45" s="47">
        <v>-654</v>
      </c>
      <c r="C45" s="155">
        <v>-35316</v>
      </c>
      <c r="D45" s="26">
        <f t="shared" si="36"/>
        <v>-35316</v>
      </c>
      <c r="E45" s="52">
        <f t="shared" si="37"/>
        <v>0</v>
      </c>
      <c r="F45" s="52">
        <f t="shared" si="38"/>
        <v>0</v>
      </c>
      <c r="G45" s="155">
        <v>-2118960</v>
      </c>
      <c r="H45" s="26">
        <f t="shared" si="39"/>
        <v>-2118960</v>
      </c>
      <c r="I45" s="52">
        <f t="shared" si="40"/>
        <v>0</v>
      </c>
      <c r="J45" s="52">
        <f t="shared" si="41"/>
        <v>0</v>
      </c>
      <c r="K45" s="155">
        <v>-588.6</v>
      </c>
      <c r="L45" s="26">
        <f t="shared" si="42"/>
        <v>-588.6</v>
      </c>
      <c r="M45" s="52">
        <f t="shared" si="43"/>
        <v>0</v>
      </c>
      <c r="N45" s="52">
        <f t="shared" si="44"/>
        <v>0</v>
      </c>
      <c r="O45" s="155">
        <v>-10.273</v>
      </c>
      <c r="P45" s="26">
        <f t="shared" si="45"/>
        <v>-10.273007977238613</v>
      </c>
      <c r="Q45" s="52">
        <f t="shared" si="46"/>
        <v>7.9772386136767182E-6</v>
      </c>
      <c r="R45" s="153">
        <f t="shared" si="47"/>
        <v>-7.7652413308268464E-5</v>
      </c>
    </row>
    <row r="46" spans="2:18" ht="15.75" thickBot="1" x14ac:dyDescent="0.3">
      <c r="B46" s="74">
        <v>0.65469999999999995</v>
      </c>
      <c r="C46" s="158">
        <v>35.3538</v>
      </c>
      <c r="D46" s="59">
        <f t="shared" si="36"/>
        <v>35.353799999999993</v>
      </c>
      <c r="E46" s="57">
        <f t="shared" si="37"/>
        <v>0</v>
      </c>
      <c r="F46" s="57">
        <f t="shared" si="38"/>
        <v>0</v>
      </c>
      <c r="G46" s="156">
        <v>2121.23</v>
      </c>
      <c r="H46" s="59">
        <f t="shared" si="39"/>
        <v>2121.2279999999996</v>
      </c>
      <c r="I46" s="57">
        <f t="shared" si="40"/>
        <v>2.0000000004074536E-3</v>
      </c>
      <c r="J46" s="57">
        <f t="shared" si="41"/>
        <v>9.4285008514287673E-5</v>
      </c>
      <c r="K46" s="158">
        <v>0.58923000000000003</v>
      </c>
      <c r="L46" s="59">
        <f t="shared" si="42"/>
        <v>0.58922999999999992</v>
      </c>
      <c r="M46" s="57">
        <f t="shared" si="43"/>
        <v>0</v>
      </c>
      <c r="N46" s="57">
        <f t="shared" si="44"/>
        <v>0</v>
      </c>
      <c r="O46" s="158">
        <v>1.0284E-2</v>
      </c>
      <c r="P46" s="59">
        <f t="shared" si="45"/>
        <v>1.0284003551526175E-2</v>
      </c>
      <c r="Q46" s="57">
        <f t="shared" si="46"/>
        <v>-3.5515261755797445E-9</v>
      </c>
      <c r="R46" s="163">
        <f t="shared" si="47"/>
        <v>-3.4534470527800315E-5</v>
      </c>
    </row>
    <row r="47" spans="2:18" ht="15.75" thickBot="1" x14ac:dyDescent="0.3">
      <c r="C47" s="165"/>
      <c r="D47" s="165"/>
      <c r="E47" s="164"/>
      <c r="F47" s="164"/>
      <c r="G47" s="165"/>
      <c r="H47" s="165"/>
      <c r="I47" s="164"/>
      <c r="J47" s="164"/>
      <c r="K47" s="165"/>
      <c r="L47" s="165"/>
      <c r="M47" s="164"/>
      <c r="N47" s="164"/>
      <c r="O47" s="165"/>
      <c r="P47" s="165"/>
      <c r="Q47" s="164"/>
      <c r="R47" s="164"/>
    </row>
    <row r="48" spans="2:18" x14ac:dyDescent="0.25">
      <c r="B48" s="341" t="s">
        <v>10</v>
      </c>
      <c r="C48" s="166" t="s">
        <v>14</v>
      </c>
      <c r="D48" s="168" t="s">
        <v>14</v>
      </c>
      <c r="E48" s="343" t="s">
        <v>354</v>
      </c>
      <c r="F48" s="352" t="s">
        <v>355</v>
      </c>
      <c r="G48" s="166" t="s">
        <v>14</v>
      </c>
      <c r="H48" s="168" t="s">
        <v>14</v>
      </c>
      <c r="I48" s="343" t="s">
        <v>354</v>
      </c>
      <c r="J48" s="352" t="s">
        <v>355</v>
      </c>
      <c r="K48" s="166" t="s">
        <v>14</v>
      </c>
      <c r="L48" s="168" t="s">
        <v>14</v>
      </c>
      <c r="M48" s="343" t="s">
        <v>354</v>
      </c>
      <c r="N48" s="352" t="s">
        <v>355</v>
      </c>
      <c r="O48" s="166" t="s">
        <v>14</v>
      </c>
      <c r="P48" s="168" t="s">
        <v>14</v>
      </c>
      <c r="Q48" s="343" t="s">
        <v>354</v>
      </c>
      <c r="R48" s="357" t="s">
        <v>355</v>
      </c>
    </row>
    <row r="49" spans="2:18" ht="15.75" thickBot="1" x14ac:dyDescent="0.3">
      <c r="B49" s="342"/>
      <c r="C49" s="167" t="s">
        <v>290</v>
      </c>
      <c r="D49" s="169" t="s">
        <v>291</v>
      </c>
      <c r="E49" s="344"/>
      <c r="F49" s="353"/>
      <c r="G49" s="167" t="s">
        <v>290</v>
      </c>
      <c r="H49" s="169" t="s">
        <v>291</v>
      </c>
      <c r="I49" s="344"/>
      <c r="J49" s="353"/>
      <c r="K49" s="167" t="s">
        <v>290</v>
      </c>
      <c r="L49" s="169" t="s">
        <v>291</v>
      </c>
      <c r="M49" s="344"/>
      <c r="N49" s="353"/>
      <c r="O49" s="167" t="s">
        <v>290</v>
      </c>
      <c r="P49" s="169" t="s">
        <v>291</v>
      </c>
      <c r="Q49" s="344"/>
      <c r="R49" s="358"/>
    </row>
    <row r="50" spans="2:18" ht="15.75" thickBot="1" x14ac:dyDescent="0.3">
      <c r="B50" s="346" t="s">
        <v>77</v>
      </c>
      <c r="C50" s="363" t="s">
        <v>73</v>
      </c>
      <c r="D50" s="177" t="s">
        <v>73</v>
      </c>
      <c r="E50" s="344"/>
      <c r="F50" s="354"/>
      <c r="G50" s="363" t="s">
        <v>74</v>
      </c>
      <c r="H50" s="177" t="s">
        <v>74</v>
      </c>
      <c r="I50" s="344"/>
      <c r="J50" s="354"/>
      <c r="K50" s="363" t="s">
        <v>75</v>
      </c>
      <c r="L50" s="177" t="s">
        <v>75</v>
      </c>
      <c r="M50" s="344"/>
      <c r="N50" s="354"/>
      <c r="O50" s="363" t="s">
        <v>76</v>
      </c>
      <c r="P50" s="177" t="s">
        <v>76</v>
      </c>
      <c r="Q50" s="344"/>
      <c r="R50" s="358"/>
    </row>
    <row r="51" spans="2:18" ht="30.75" thickBot="1" x14ac:dyDescent="0.3">
      <c r="B51" s="347"/>
      <c r="C51" s="364"/>
      <c r="D51" s="208" t="s">
        <v>266</v>
      </c>
      <c r="E51" s="345"/>
      <c r="F51" s="345"/>
      <c r="G51" s="364"/>
      <c r="H51" s="208" t="s">
        <v>267</v>
      </c>
      <c r="I51" s="345"/>
      <c r="J51" s="345"/>
      <c r="K51" s="364"/>
      <c r="L51" s="210" t="s">
        <v>258</v>
      </c>
      <c r="M51" s="345"/>
      <c r="N51" s="345"/>
      <c r="O51" s="364"/>
      <c r="P51" s="208" t="s">
        <v>268</v>
      </c>
      <c r="Q51" s="345"/>
      <c r="R51" s="359"/>
    </row>
    <row r="52" spans="2:18" x14ac:dyDescent="0.25">
      <c r="B52" s="44">
        <v>1</v>
      </c>
      <c r="C52" s="154">
        <v>3437.75</v>
      </c>
      <c r="D52" s="58">
        <f>L52*60</f>
        <v>3437.7467707849432</v>
      </c>
      <c r="E52" s="54">
        <f>C52-D52</f>
        <v>3.2292150567627687E-3</v>
      </c>
      <c r="F52" s="54">
        <f>(100*E52)/D52</f>
        <v>9.3934058325809716E-5</v>
      </c>
      <c r="G52" s="154">
        <v>206265</v>
      </c>
      <c r="H52" s="58">
        <f>L52*3600</f>
        <v>206264.8062470966</v>
      </c>
      <c r="I52" s="54">
        <f>G52-H52</f>
        <v>0.19375290340394713</v>
      </c>
      <c r="J52" s="54">
        <f>(100*I52)/H52</f>
        <v>9.393405832492784E-5</v>
      </c>
      <c r="K52" s="154">
        <v>57.2958</v>
      </c>
      <c r="L52" s="58">
        <f>B52/3.14159265358979*180</f>
        <v>57.295779513082387</v>
      </c>
      <c r="M52" s="54">
        <f>K52-L52</f>
        <v>2.0486917613027344E-5</v>
      </c>
      <c r="N52" s="54">
        <f>100/(L52/K52)</f>
        <v>100.00003575641659</v>
      </c>
      <c r="O52" s="157">
        <v>63.661999999999999</v>
      </c>
      <c r="P52" s="58">
        <f>L52/0.9</f>
        <v>63.661977236758204</v>
      </c>
      <c r="Q52" s="54">
        <f>O52-P52</f>
        <v>2.2763241794621081E-5</v>
      </c>
      <c r="R52" s="162">
        <f>(100*Q52)/P52</f>
        <v>3.5756416596934827E-5</v>
      </c>
    </row>
    <row r="53" spans="2:18" x14ac:dyDescent="0.25">
      <c r="B53" s="47">
        <v>987</v>
      </c>
      <c r="C53" s="159">
        <v>3393056</v>
      </c>
      <c r="D53" s="26">
        <f t="shared" ref="D53:D57" si="48">L53*60</f>
        <v>3393056.0627647387</v>
      </c>
      <c r="E53" s="52">
        <f t="shared" ref="E53:E57" si="49">C53-D53</f>
        <v>-6.2764738686382771E-2</v>
      </c>
      <c r="F53" s="52">
        <f t="shared" ref="F53:F57" si="50">(100*E53)/D53</f>
        <v>-1.8497996356488329E-6</v>
      </c>
      <c r="G53" s="155">
        <v>203583364</v>
      </c>
      <c r="H53" s="26">
        <f t="shared" ref="H53:H57" si="51">L53*3600</f>
        <v>203583363.76588431</v>
      </c>
      <c r="I53" s="52">
        <f t="shared" ref="I53:I57" si="52">G53-H53</f>
        <v>0.23411568999290466</v>
      </c>
      <c r="J53" s="52">
        <f t="shared" ref="J53:J57" si="53">(100*I53)/H53</f>
        <v>1.1499745640421372E-7</v>
      </c>
      <c r="K53" s="155">
        <v>56550.9</v>
      </c>
      <c r="L53" s="26">
        <f t="shared" ref="L53:L57" si="54">B53/3.14159265358979*180</f>
        <v>56550.934379412312</v>
      </c>
      <c r="M53" s="52">
        <f t="shared" ref="M53:M57" si="55">K53-L53</f>
        <v>-3.4379412310954649E-2</v>
      </c>
      <c r="N53" s="52">
        <f t="shared" ref="N53:N57" si="56">100/(L53/K53)</f>
        <v>99.999939206287763</v>
      </c>
      <c r="O53" s="155">
        <v>62834.400000000001</v>
      </c>
      <c r="P53" s="26">
        <f t="shared" ref="P53:P57" si="57">L53/0.9</f>
        <v>62834.371532680343</v>
      </c>
      <c r="Q53" s="52">
        <f t="shared" ref="Q53:Q57" si="58">O53-P53</f>
        <v>2.8467319658375345E-2</v>
      </c>
      <c r="R53" s="153">
        <f t="shared" ref="R53:R57" si="59">(100*Q53)/P53</f>
        <v>4.5305330448907902E-5</v>
      </c>
    </row>
    <row r="54" spans="2:18" x14ac:dyDescent="0.25">
      <c r="B54" s="47">
        <v>5987</v>
      </c>
      <c r="C54" s="155">
        <v>20581790</v>
      </c>
      <c r="D54" s="26">
        <f t="shared" si="48"/>
        <v>20581789.916689452</v>
      </c>
      <c r="E54" s="52">
        <f t="shared" si="49"/>
        <v>8.3310548216104507E-2</v>
      </c>
      <c r="F54" s="52">
        <f t="shared" si="50"/>
        <v>4.047779544603615E-7</v>
      </c>
      <c r="G54" s="155">
        <v>1234907395</v>
      </c>
      <c r="H54" s="26">
        <f t="shared" si="51"/>
        <v>1234907395.0013671</v>
      </c>
      <c r="I54" s="52">
        <f t="shared" si="52"/>
        <v>-1.3670921325683594E-3</v>
      </c>
      <c r="J54" s="52">
        <f t="shared" si="53"/>
        <v>-1.1070402024492257E-10</v>
      </c>
      <c r="K54" s="159">
        <v>343030</v>
      </c>
      <c r="L54" s="26">
        <f t="shared" si="54"/>
        <v>343029.8319448242</v>
      </c>
      <c r="M54" s="52">
        <f t="shared" si="55"/>
        <v>0.16805517580360174</v>
      </c>
      <c r="N54" s="52">
        <f t="shared" si="56"/>
        <v>100.00004899141712</v>
      </c>
      <c r="O54" s="159">
        <v>381144</v>
      </c>
      <c r="P54" s="26">
        <f t="shared" si="57"/>
        <v>381144.25771647133</v>
      </c>
      <c r="Q54" s="52">
        <f t="shared" si="58"/>
        <v>-0.2577164713293314</v>
      </c>
      <c r="R54" s="153">
        <f t="shared" si="59"/>
        <v>-6.7616516873000778E-5</v>
      </c>
    </row>
    <row r="55" spans="2:18" x14ac:dyDescent="0.25">
      <c r="B55" s="47">
        <v>4455667788</v>
      </c>
      <c r="C55" s="159">
        <v>15317457549887</v>
      </c>
      <c r="D55" s="26">
        <f t="shared" si="48"/>
        <v>15317457549887.49</v>
      </c>
      <c r="E55" s="52">
        <f t="shared" si="49"/>
        <v>-0.490234375</v>
      </c>
      <c r="F55" s="52">
        <f t="shared" si="50"/>
        <v>-3.2004944254185372E-12</v>
      </c>
      <c r="G55" s="155">
        <v>919047452993248</v>
      </c>
      <c r="H55" s="26">
        <f t="shared" si="51"/>
        <v>919047452993249.37</v>
      </c>
      <c r="I55" s="52">
        <f t="shared" si="52"/>
        <v>-1.375</v>
      </c>
      <c r="J55" s="52">
        <f t="shared" si="53"/>
        <v>-1.4961142599566072E-13</v>
      </c>
      <c r="K55" s="155">
        <v>255290959165</v>
      </c>
      <c r="L55" s="26">
        <f t="shared" si="54"/>
        <v>255290959164.7915</v>
      </c>
      <c r="M55" s="52">
        <f t="shared" si="55"/>
        <v>0.20849609375</v>
      </c>
      <c r="N55" s="52">
        <f t="shared" si="56"/>
        <v>100.00000000008167</v>
      </c>
      <c r="O55" s="155">
        <v>283656621294</v>
      </c>
      <c r="P55" s="26">
        <f t="shared" si="57"/>
        <v>283656621294.21277</v>
      </c>
      <c r="Q55" s="52">
        <f t="shared" si="58"/>
        <v>-0.2127685546875</v>
      </c>
      <c r="R55" s="153">
        <f t="shared" si="59"/>
        <v>-7.500919728815827E-11</v>
      </c>
    </row>
    <row r="56" spans="2:18" x14ac:dyDescent="0.25">
      <c r="B56" s="47">
        <v>-654</v>
      </c>
      <c r="C56" s="155">
        <v>-2248286</v>
      </c>
      <c r="D56" s="26">
        <f t="shared" si="48"/>
        <v>-2248286.3880933528</v>
      </c>
      <c r="E56" s="52">
        <f t="shared" si="49"/>
        <v>0.38809335278347135</v>
      </c>
      <c r="F56" s="52">
        <f t="shared" si="50"/>
        <v>-1.7261740089641863E-5</v>
      </c>
      <c r="G56" s="155">
        <v>-134897183</v>
      </c>
      <c r="H56" s="26">
        <f t="shared" si="51"/>
        <v>-134897183.28560117</v>
      </c>
      <c r="I56" s="52">
        <f t="shared" si="52"/>
        <v>0.2856011688709259</v>
      </c>
      <c r="J56" s="52">
        <f t="shared" si="53"/>
        <v>-2.1171766668119212E-7</v>
      </c>
      <c r="K56" s="155">
        <v>-37471.4</v>
      </c>
      <c r="L56" s="26">
        <f t="shared" si="54"/>
        <v>-37471.439801555876</v>
      </c>
      <c r="M56" s="52">
        <f t="shared" si="55"/>
        <v>3.9801555874873884E-2</v>
      </c>
      <c r="N56" s="52">
        <f t="shared" si="56"/>
        <v>99.999893781621182</v>
      </c>
      <c r="O56" s="155">
        <v>-41634.9</v>
      </c>
      <c r="P56" s="26">
        <f t="shared" si="57"/>
        <v>-41634.933112839863</v>
      </c>
      <c r="Q56" s="52">
        <f t="shared" si="58"/>
        <v>3.311283986113267E-2</v>
      </c>
      <c r="R56" s="153">
        <f t="shared" si="59"/>
        <v>-7.9531387192071531E-5</v>
      </c>
    </row>
    <row r="57" spans="2:18" ht="15.75" thickBot="1" x14ac:dyDescent="0.3">
      <c r="B57" s="74">
        <v>0.65469999999999995</v>
      </c>
      <c r="C57" s="158">
        <v>2250.69</v>
      </c>
      <c r="D57" s="59">
        <f t="shared" si="48"/>
        <v>2250.6928108329016</v>
      </c>
      <c r="E57" s="57">
        <f t="shared" si="49"/>
        <v>-2.8108329015594791E-3</v>
      </c>
      <c r="F57" s="57">
        <f t="shared" si="50"/>
        <v>-1.2488745190061229E-4</v>
      </c>
      <c r="G57" s="156">
        <v>135042</v>
      </c>
      <c r="H57" s="59">
        <f t="shared" si="51"/>
        <v>135041.5686499741</v>
      </c>
      <c r="I57" s="57">
        <f t="shared" si="52"/>
        <v>0.43135002590133809</v>
      </c>
      <c r="J57" s="57">
        <f t="shared" si="53"/>
        <v>3.1942018314330418E-4</v>
      </c>
      <c r="K57" s="158">
        <v>37.511499999999998</v>
      </c>
      <c r="L57" s="59">
        <f t="shared" si="54"/>
        <v>37.51154684721503</v>
      </c>
      <c r="M57" s="57">
        <f t="shared" si="55"/>
        <v>-4.684721503167566E-5</v>
      </c>
      <c r="N57" s="57">
        <f t="shared" si="56"/>
        <v>99.999875112548096</v>
      </c>
      <c r="O57" s="158">
        <v>41.679499999999997</v>
      </c>
      <c r="P57" s="59">
        <f t="shared" si="57"/>
        <v>41.679496496905585</v>
      </c>
      <c r="Q57" s="57">
        <f t="shared" si="58"/>
        <v>3.5030944118830121E-6</v>
      </c>
      <c r="R57" s="163">
        <f t="shared" si="59"/>
        <v>8.4048386048595684E-6</v>
      </c>
    </row>
  </sheetData>
  <mergeCells count="71">
    <mergeCell ref="R4:R7"/>
    <mergeCell ref="R15:R18"/>
    <mergeCell ref="R26:R29"/>
    <mergeCell ref="R37:R40"/>
    <mergeCell ref="R48:R51"/>
    <mergeCell ref="B1:K1"/>
    <mergeCell ref="B4:B5"/>
    <mergeCell ref="B15:B16"/>
    <mergeCell ref="B26:B27"/>
    <mergeCell ref="B37:B38"/>
    <mergeCell ref="E4:E7"/>
    <mergeCell ref="I4:I7"/>
    <mergeCell ref="E26:E29"/>
    <mergeCell ref="I26:I29"/>
    <mergeCell ref="B28:B29"/>
    <mergeCell ref="F4:F7"/>
    <mergeCell ref="F15:F18"/>
    <mergeCell ref="F26:F29"/>
    <mergeCell ref="F37:F40"/>
    <mergeCell ref="B39:B40"/>
    <mergeCell ref="J4:J7"/>
    <mergeCell ref="M4:M7"/>
    <mergeCell ref="Q4:Q7"/>
    <mergeCell ref="E15:E18"/>
    <mergeCell ref="I15:I18"/>
    <mergeCell ref="M15:M18"/>
    <mergeCell ref="Q15:Q18"/>
    <mergeCell ref="K17:K18"/>
    <mergeCell ref="N4:N7"/>
    <mergeCell ref="N15:N18"/>
    <mergeCell ref="J15:J18"/>
    <mergeCell ref="Q26:Q29"/>
    <mergeCell ref="E37:E40"/>
    <mergeCell ref="I37:I40"/>
    <mergeCell ref="M37:M40"/>
    <mergeCell ref="Q37:Q40"/>
    <mergeCell ref="K39:K40"/>
    <mergeCell ref="K28:K29"/>
    <mergeCell ref="N26:N29"/>
    <mergeCell ref="N37:N40"/>
    <mergeCell ref="J26:J29"/>
    <mergeCell ref="J37:J40"/>
    <mergeCell ref="Q48:Q51"/>
    <mergeCell ref="B6:B7"/>
    <mergeCell ref="C6:C7"/>
    <mergeCell ref="G6:G7"/>
    <mergeCell ref="K6:K7"/>
    <mergeCell ref="O6:O7"/>
    <mergeCell ref="C17:C18"/>
    <mergeCell ref="C28:C29"/>
    <mergeCell ref="C39:C40"/>
    <mergeCell ref="C50:C51"/>
    <mergeCell ref="B17:B18"/>
    <mergeCell ref="G28:G29"/>
    <mergeCell ref="G39:G40"/>
    <mergeCell ref="G50:G51"/>
    <mergeCell ref="G17:G18"/>
    <mergeCell ref="M26:M29"/>
    <mergeCell ref="O50:O51"/>
    <mergeCell ref="O17:O18"/>
    <mergeCell ref="O28:O29"/>
    <mergeCell ref="O39:O40"/>
    <mergeCell ref="B50:B51"/>
    <mergeCell ref="M48:M51"/>
    <mergeCell ref="B48:B49"/>
    <mergeCell ref="E48:E51"/>
    <mergeCell ref="I48:I51"/>
    <mergeCell ref="K50:K51"/>
    <mergeCell ref="N48:N51"/>
    <mergeCell ref="F48:F51"/>
    <mergeCell ref="J48:J51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8"/>
  <sheetViews>
    <sheetView zoomScaleNormal="100" workbookViewId="0">
      <pane xSplit="2" ySplit="1" topLeftCell="O41" activePane="bottomRight" state="frozen"/>
      <selection pane="topRight" activeCell="C1" sqref="C1"/>
      <selection pane="bottomLeft" activeCell="A2" sqref="A2"/>
      <selection pane="bottomRight" activeCell="V71" sqref="V71"/>
    </sheetView>
  </sheetViews>
  <sheetFormatPr defaultRowHeight="15" x14ac:dyDescent="0.25"/>
  <cols>
    <col min="1" max="1" width="3.5703125" customWidth="1"/>
    <col min="2" max="2" width="17" bestFit="1" customWidth="1"/>
    <col min="3" max="3" width="32.28515625" bestFit="1" customWidth="1"/>
    <col min="4" max="4" width="37.42578125" customWidth="1"/>
    <col min="5" max="5" width="27.5703125" bestFit="1" customWidth="1"/>
    <col min="6" max="6" width="27.5703125" customWidth="1"/>
    <col min="7" max="7" width="31.28515625" bestFit="1" customWidth="1"/>
    <col min="8" max="8" width="32.28515625" bestFit="1" customWidth="1"/>
    <col min="9" max="9" width="24.28515625" bestFit="1" customWidth="1"/>
    <col min="10" max="10" width="24.28515625" customWidth="1"/>
    <col min="11" max="11" width="32.7109375" customWidth="1"/>
    <col min="12" max="12" width="32.28515625" bestFit="1" customWidth="1"/>
    <col min="13" max="13" width="23.7109375" bestFit="1" customWidth="1"/>
    <col min="14" max="14" width="23.7109375" customWidth="1"/>
    <col min="15" max="15" width="30.28515625" bestFit="1" customWidth="1"/>
    <col min="16" max="16" width="30.42578125" bestFit="1" customWidth="1"/>
    <col min="17" max="17" width="24.28515625" bestFit="1" customWidth="1"/>
    <col min="18" max="18" width="24.28515625" customWidth="1"/>
    <col min="19" max="19" width="33" customWidth="1"/>
    <col min="20" max="20" width="33.28515625" bestFit="1" customWidth="1"/>
    <col min="21" max="21" width="25.7109375" bestFit="1" customWidth="1"/>
    <col min="22" max="22" width="23.42578125" customWidth="1"/>
  </cols>
  <sheetData>
    <row r="1" spans="2:22" ht="31.5" x14ac:dyDescent="0.5">
      <c r="B1" s="340" t="s">
        <v>289</v>
      </c>
      <c r="C1" s="340"/>
      <c r="D1" s="340"/>
      <c r="E1" s="340"/>
      <c r="F1" s="340"/>
      <c r="G1" s="340"/>
      <c r="H1" s="340"/>
      <c r="I1" s="340"/>
      <c r="J1" s="340"/>
      <c r="K1" s="340"/>
    </row>
    <row r="2" spans="2:22" x14ac:dyDescent="0.25">
      <c r="B2" s="70" t="s">
        <v>340</v>
      </c>
      <c r="C2" t="s">
        <v>341</v>
      </c>
      <c r="D2" t="s">
        <v>343</v>
      </c>
    </row>
    <row r="3" spans="2:22" ht="15.75" thickBot="1" x14ac:dyDescent="0.3"/>
    <row r="4" spans="2:22" x14ac:dyDescent="0.25">
      <c r="B4" s="341" t="s">
        <v>10</v>
      </c>
      <c r="C4" s="62" t="s">
        <v>14</v>
      </c>
      <c r="D4" s="65" t="s">
        <v>14</v>
      </c>
      <c r="E4" s="330" t="s">
        <v>354</v>
      </c>
      <c r="F4" s="324" t="s">
        <v>355</v>
      </c>
      <c r="G4" s="62" t="s">
        <v>14</v>
      </c>
      <c r="H4" s="65" t="s">
        <v>14</v>
      </c>
      <c r="I4" s="330" t="s">
        <v>354</v>
      </c>
      <c r="J4" s="324" t="s">
        <v>355</v>
      </c>
      <c r="K4" s="62" t="s">
        <v>14</v>
      </c>
      <c r="L4" s="65" t="s">
        <v>14</v>
      </c>
      <c r="M4" s="330" t="s">
        <v>354</v>
      </c>
      <c r="N4" s="324" t="s">
        <v>355</v>
      </c>
      <c r="O4" s="62" t="s">
        <v>14</v>
      </c>
      <c r="P4" s="65" t="s">
        <v>14</v>
      </c>
      <c r="Q4" s="330" t="s">
        <v>354</v>
      </c>
      <c r="R4" s="324" t="s">
        <v>355</v>
      </c>
      <c r="S4" s="62" t="s">
        <v>14</v>
      </c>
      <c r="T4" s="65" t="s">
        <v>14</v>
      </c>
      <c r="U4" s="330" t="s">
        <v>354</v>
      </c>
      <c r="V4" s="321" t="s">
        <v>355</v>
      </c>
    </row>
    <row r="5" spans="2:22" ht="15.75" thickBot="1" x14ac:dyDescent="0.3">
      <c r="B5" s="342"/>
      <c r="C5" s="63" t="s">
        <v>290</v>
      </c>
      <c r="D5" s="27" t="s">
        <v>291</v>
      </c>
      <c r="E5" s="331"/>
      <c r="F5" s="325"/>
      <c r="G5" s="63" t="s">
        <v>290</v>
      </c>
      <c r="H5" s="27" t="s">
        <v>291</v>
      </c>
      <c r="I5" s="331"/>
      <c r="J5" s="325"/>
      <c r="K5" s="63" t="s">
        <v>290</v>
      </c>
      <c r="L5" s="27" t="s">
        <v>291</v>
      </c>
      <c r="M5" s="331"/>
      <c r="N5" s="325"/>
      <c r="O5" s="63" t="s">
        <v>290</v>
      </c>
      <c r="P5" s="27" t="s">
        <v>291</v>
      </c>
      <c r="Q5" s="331"/>
      <c r="R5" s="325"/>
      <c r="S5" s="63" t="s">
        <v>290</v>
      </c>
      <c r="T5" s="27" t="s">
        <v>291</v>
      </c>
      <c r="U5" s="331"/>
      <c r="V5" s="322"/>
    </row>
    <row r="6" spans="2:22" x14ac:dyDescent="0.25">
      <c r="B6" s="346" t="s">
        <v>37</v>
      </c>
      <c r="C6" s="348" t="s">
        <v>38</v>
      </c>
      <c r="D6" s="37" t="s">
        <v>38</v>
      </c>
      <c r="E6" s="331"/>
      <c r="F6" s="326"/>
      <c r="G6" s="355" t="s">
        <v>39</v>
      </c>
      <c r="H6" s="37" t="s">
        <v>39</v>
      </c>
      <c r="I6" s="331"/>
      <c r="J6" s="326"/>
      <c r="K6" s="355" t="s">
        <v>40</v>
      </c>
      <c r="L6" s="37" t="s">
        <v>40</v>
      </c>
      <c r="M6" s="331"/>
      <c r="N6" s="326"/>
      <c r="O6" s="355" t="s">
        <v>41</v>
      </c>
      <c r="P6" s="37" t="s">
        <v>41</v>
      </c>
      <c r="Q6" s="331"/>
      <c r="R6" s="326"/>
      <c r="S6" s="355" t="s">
        <v>42</v>
      </c>
      <c r="T6" s="37" t="s">
        <v>42</v>
      </c>
      <c r="U6" s="331"/>
      <c r="V6" s="322"/>
    </row>
    <row r="7" spans="2:22" ht="30.75" thickBot="1" x14ac:dyDescent="0.3">
      <c r="B7" s="347"/>
      <c r="C7" s="349"/>
      <c r="D7" s="51" t="s">
        <v>89</v>
      </c>
      <c r="E7" s="327"/>
      <c r="F7" s="327"/>
      <c r="G7" s="356"/>
      <c r="H7" s="51" t="s">
        <v>90</v>
      </c>
      <c r="I7" s="327"/>
      <c r="J7" s="327"/>
      <c r="K7" s="356"/>
      <c r="L7" s="66" t="s">
        <v>88</v>
      </c>
      <c r="M7" s="327"/>
      <c r="N7" s="327"/>
      <c r="O7" s="356"/>
      <c r="P7" s="51" t="s">
        <v>91</v>
      </c>
      <c r="Q7" s="327"/>
      <c r="R7" s="327"/>
      <c r="S7" s="356"/>
      <c r="T7" s="51" t="s">
        <v>92</v>
      </c>
      <c r="U7" s="327"/>
      <c r="V7" s="323"/>
    </row>
    <row r="8" spans="2:22" x14ac:dyDescent="0.25">
      <c r="B8" s="44">
        <v>1</v>
      </c>
      <c r="C8" s="154">
        <v>3.2808400000000001E-2</v>
      </c>
      <c r="D8" s="58">
        <f>0.01/0.3048</f>
        <v>3.2808398950131233E-2</v>
      </c>
      <c r="E8" s="54">
        <f>C8-D8</f>
        <v>1.0498687683102581E-9</v>
      </c>
      <c r="F8" s="54">
        <f>(100*E8)/D8</f>
        <v>3.2000000058096667E-6</v>
      </c>
      <c r="G8" s="157">
        <v>0.39370100000000002</v>
      </c>
      <c r="H8" s="58">
        <f t="shared" ref="H8:H13" si="0">L8*100/2.54</f>
        <v>0.39370078740157477</v>
      </c>
      <c r="I8" s="54">
        <f>G8-H8</f>
        <v>2.1259842525322981E-7</v>
      </c>
      <c r="J8" s="54">
        <f>(100*I8)/H8</f>
        <v>5.4000000014320377E-5</v>
      </c>
      <c r="K8" s="157">
        <v>0.01</v>
      </c>
      <c r="L8" s="58">
        <f>1/100</f>
        <v>0.01</v>
      </c>
      <c r="M8" s="54">
        <f>K8-L8</f>
        <v>0</v>
      </c>
      <c r="N8" s="54">
        <f>(100*M8)/L8</f>
        <v>0</v>
      </c>
      <c r="O8" s="154">
        <v>6.2137119223733401E-6</v>
      </c>
      <c r="P8" s="58">
        <f>L8/63360/2.54*100</f>
        <v>6.2137119223733393E-6</v>
      </c>
      <c r="Q8" s="54">
        <f>O8-P8</f>
        <v>0</v>
      </c>
      <c r="R8" s="54">
        <f>(100*Q8)/P8</f>
        <v>0</v>
      </c>
      <c r="S8" s="157">
        <v>10</v>
      </c>
      <c r="T8" s="58">
        <f>L8*1000</f>
        <v>10</v>
      </c>
      <c r="U8" s="54">
        <f>S8-T8</f>
        <v>0</v>
      </c>
      <c r="V8" s="162">
        <f>(100*U8)/T8</f>
        <v>0</v>
      </c>
    </row>
    <row r="9" spans="2:22" x14ac:dyDescent="0.25">
      <c r="B9" s="47">
        <v>624</v>
      </c>
      <c r="C9" s="155">
        <v>20.4724</v>
      </c>
      <c r="D9" s="26">
        <f>L9/0.3048</f>
        <v>20.472440944881889</v>
      </c>
      <c r="E9" s="52">
        <f t="shared" ref="E9:E13" si="1">C9-D9</f>
        <v>-4.0944881888549389E-5</v>
      </c>
      <c r="F9" s="52">
        <f t="shared" ref="F9:F13" si="2">(100*E9)/D9</f>
        <v>-1.9999999999406818E-4</v>
      </c>
      <c r="G9" s="155">
        <v>245.66900000000001</v>
      </c>
      <c r="H9" s="26">
        <f t="shared" si="0"/>
        <v>245.66929133858267</v>
      </c>
      <c r="I9" s="52">
        <f t="shared" ref="I9:I13" si="3">G9-H9</f>
        <v>-2.9133858265595336E-4</v>
      </c>
      <c r="J9" s="52">
        <f t="shared" ref="J9:J13" si="4">(100*I9)/H9</f>
        <v>-1.1858974358110923E-4</v>
      </c>
      <c r="K9" s="155">
        <v>6.24</v>
      </c>
      <c r="L9" s="26">
        <f>624/100</f>
        <v>6.24</v>
      </c>
      <c r="M9" s="52">
        <f t="shared" ref="M9:M13" si="5">K9-L9</f>
        <v>0</v>
      </c>
      <c r="N9" s="52">
        <f t="shared" ref="N9:N13" si="6">(100*M9)/L9</f>
        <v>0</v>
      </c>
      <c r="O9" s="155">
        <v>3.8773599999999998E-3</v>
      </c>
      <c r="P9" s="26">
        <f>L9/63360/2.54*100</f>
        <v>3.8773562395609637E-3</v>
      </c>
      <c r="Q9" s="52">
        <f t="shared" ref="Q9:Q13" si="7">O9-P9</f>
        <v>3.7604390361149764E-9</v>
      </c>
      <c r="R9" s="52">
        <f t="shared" ref="R9:R13" si="8">(100*Q9)/P9</f>
        <v>9.698461538681764E-5</v>
      </c>
      <c r="S9" s="155">
        <v>6240</v>
      </c>
      <c r="T9" s="26">
        <f t="shared" ref="T9:T13" si="9">L9*1000</f>
        <v>6240</v>
      </c>
      <c r="U9" s="52">
        <f t="shared" ref="U9:U13" si="10">S9-T9</f>
        <v>0</v>
      </c>
      <c r="V9" s="153">
        <f t="shared" ref="V9:V13" si="11">(100*U9)/T9</f>
        <v>0</v>
      </c>
    </row>
    <row r="10" spans="2:22" x14ac:dyDescent="0.25">
      <c r="B10" s="47">
        <v>2687</v>
      </c>
      <c r="C10" s="155">
        <v>88.156199999999998</v>
      </c>
      <c r="D10" s="26">
        <f>L10/0.3048</f>
        <v>88.156167979002618</v>
      </c>
      <c r="E10" s="52">
        <f t="shared" si="1"/>
        <v>3.2020997380755034E-5</v>
      </c>
      <c r="F10" s="52">
        <f t="shared" si="2"/>
        <v>3.6323036850220078E-5</v>
      </c>
      <c r="G10" s="155">
        <v>1057.8699999999999</v>
      </c>
      <c r="H10" s="26">
        <f t="shared" si="0"/>
        <v>1057.8740157480315</v>
      </c>
      <c r="I10" s="52">
        <f t="shared" si="3"/>
        <v>-4.0157480316338479E-3</v>
      </c>
      <c r="J10" s="52">
        <f t="shared" si="4"/>
        <v>-3.7960550801451336E-4</v>
      </c>
      <c r="K10" s="159">
        <v>26.87</v>
      </c>
      <c r="L10" s="26">
        <v>26.87</v>
      </c>
      <c r="M10" s="52">
        <f t="shared" si="5"/>
        <v>0</v>
      </c>
      <c r="N10" s="52">
        <f t="shared" si="6"/>
        <v>0</v>
      </c>
      <c r="O10" s="155">
        <v>1.6696200000000001E-2</v>
      </c>
      <c r="P10" s="26">
        <f>L10/63360/2.54*100</f>
        <v>1.6696243935417167E-2</v>
      </c>
      <c r="Q10" s="52">
        <f t="shared" si="7"/>
        <v>-4.3935417165519297E-8</v>
      </c>
      <c r="R10" s="52">
        <f t="shared" si="8"/>
        <v>-2.6314551545524923E-4</v>
      </c>
      <c r="S10" s="155">
        <v>26870</v>
      </c>
      <c r="T10" s="26">
        <f t="shared" si="9"/>
        <v>26870</v>
      </c>
      <c r="U10" s="52">
        <f t="shared" si="10"/>
        <v>0</v>
      </c>
      <c r="V10" s="153">
        <f t="shared" si="11"/>
        <v>0</v>
      </c>
    </row>
    <row r="11" spans="2:22" x14ac:dyDescent="0.25">
      <c r="B11" s="47">
        <v>2233445566</v>
      </c>
      <c r="C11" s="155">
        <v>73275773</v>
      </c>
      <c r="D11" s="26">
        <f>L11/0.3048</f>
        <v>73275773.162729651</v>
      </c>
      <c r="E11" s="52">
        <f t="shared" si="1"/>
        <v>-0.1627296507358551</v>
      </c>
      <c r="F11" s="52">
        <f t="shared" si="2"/>
        <v>-2.2207838104207749E-7</v>
      </c>
      <c r="G11" s="155">
        <v>879309278</v>
      </c>
      <c r="H11" s="26">
        <f t="shared" si="0"/>
        <v>879309277.95275593</v>
      </c>
      <c r="I11" s="52">
        <f t="shared" si="3"/>
        <v>4.7244071960449219E-2</v>
      </c>
      <c r="J11" s="52">
        <f t="shared" si="4"/>
        <v>5.372861761500437E-9</v>
      </c>
      <c r="K11" s="155">
        <v>22334456</v>
      </c>
      <c r="L11" s="26">
        <f>B11/100</f>
        <v>22334455.66</v>
      </c>
      <c r="M11" s="52">
        <f t="shared" si="5"/>
        <v>0.33999999985098839</v>
      </c>
      <c r="N11" s="52">
        <f t="shared" si="6"/>
        <v>1.5223115576526587E-6</v>
      </c>
      <c r="O11" s="155">
        <v>13878</v>
      </c>
      <c r="P11" s="26">
        <f>L11/63360/2.54*100</f>
        <v>13877.987341426073</v>
      </c>
      <c r="Q11" s="52">
        <f t="shared" si="7"/>
        <v>1.265857392718317E-2</v>
      </c>
      <c r="R11" s="52">
        <f t="shared" si="8"/>
        <v>9.1213326657224066E-5</v>
      </c>
      <c r="S11" s="155">
        <v>22334455660</v>
      </c>
      <c r="T11" s="26">
        <f t="shared" si="9"/>
        <v>22334455660</v>
      </c>
      <c r="U11" s="52">
        <f t="shared" si="10"/>
        <v>0</v>
      </c>
      <c r="V11" s="153">
        <f t="shared" si="11"/>
        <v>0</v>
      </c>
    </row>
    <row r="12" spans="2:22" x14ac:dyDescent="0.25">
      <c r="B12" s="47">
        <v>-854</v>
      </c>
      <c r="C12" s="155">
        <v>-28.0184</v>
      </c>
      <c r="D12" s="26">
        <f>L12/0.3048</f>
        <v>-28.018372703412069</v>
      </c>
      <c r="E12" s="52">
        <f t="shared" si="1"/>
        <v>-2.7296587930436544E-5</v>
      </c>
      <c r="F12" s="52">
        <f t="shared" si="2"/>
        <v>9.7423887601839107E-5</v>
      </c>
      <c r="G12" s="155">
        <v>-336.22</v>
      </c>
      <c r="H12" s="26">
        <f t="shared" si="0"/>
        <v>-336.22047244094483</v>
      </c>
      <c r="I12" s="52">
        <f t="shared" si="3"/>
        <v>4.7244094480447529E-4</v>
      </c>
      <c r="J12" s="52">
        <f t="shared" si="4"/>
        <v>-1.4051522245941069E-4</v>
      </c>
      <c r="K12" s="155">
        <v>-8.5399999999999991</v>
      </c>
      <c r="L12" s="26">
        <f>B12/100</f>
        <v>-8.5399999999999991</v>
      </c>
      <c r="M12" s="52">
        <f t="shared" si="5"/>
        <v>0</v>
      </c>
      <c r="N12" s="52">
        <f t="shared" si="6"/>
        <v>0</v>
      </c>
      <c r="O12" s="155">
        <v>-5.3065100000000004E-3</v>
      </c>
      <c r="P12" s="26">
        <f t="shared" ref="P12:P13" si="12">L12/63360/2.54*100</f>
        <v>-5.3065099817068322E-3</v>
      </c>
      <c r="Q12" s="52">
        <f t="shared" si="7"/>
        <v>-1.829316819551563E-11</v>
      </c>
      <c r="R12" s="52">
        <f t="shared" si="8"/>
        <v>3.4473068473587711E-7</v>
      </c>
      <c r="S12" s="155">
        <v>-8540</v>
      </c>
      <c r="T12" s="26">
        <f t="shared" si="9"/>
        <v>-8540</v>
      </c>
      <c r="U12" s="52">
        <f t="shared" si="10"/>
        <v>0</v>
      </c>
      <c r="V12" s="153">
        <f t="shared" si="11"/>
        <v>0</v>
      </c>
    </row>
    <row r="13" spans="2:22" ht="15.75" thickBot="1" x14ac:dyDescent="0.3">
      <c r="B13" s="48">
        <v>0.12345</v>
      </c>
      <c r="C13" s="158">
        <v>4.0502000000000003E-3</v>
      </c>
      <c r="D13" s="59">
        <f>L13/0.3048</f>
        <v>4.0501968503937006E-3</v>
      </c>
      <c r="E13" s="57">
        <f t="shared" si="1"/>
        <v>3.1496062997266039E-9</v>
      </c>
      <c r="F13" s="57">
        <f t="shared" si="2"/>
        <v>7.7764277047927822E-5</v>
      </c>
      <c r="G13" s="158">
        <v>4.8602399999999997E-2</v>
      </c>
      <c r="H13" s="59">
        <f t="shared" si="0"/>
        <v>4.8602362204724414E-2</v>
      </c>
      <c r="I13" s="57">
        <f t="shared" si="3"/>
        <v>3.7795275582841459E-8</v>
      </c>
      <c r="J13" s="57">
        <f t="shared" si="4"/>
        <v>7.776427701937407E-5</v>
      </c>
      <c r="K13" s="158">
        <v>1.2344999999999999E-3</v>
      </c>
      <c r="L13" s="59">
        <f>B13/100</f>
        <v>1.2345000000000001E-3</v>
      </c>
      <c r="M13" s="57">
        <f t="shared" si="5"/>
        <v>0</v>
      </c>
      <c r="N13" s="57">
        <f t="shared" si="6"/>
        <v>0</v>
      </c>
      <c r="O13" s="156">
        <v>7.6708273681698899E-7</v>
      </c>
      <c r="P13" s="59">
        <f t="shared" si="12"/>
        <v>7.6708273681698888E-7</v>
      </c>
      <c r="Q13" s="57">
        <f t="shared" si="7"/>
        <v>0</v>
      </c>
      <c r="R13" s="57">
        <f t="shared" si="8"/>
        <v>0</v>
      </c>
      <c r="S13" s="158">
        <v>1.2344999999999999</v>
      </c>
      <c r="T13" s="59">
        <f t="shared" si="9"/>
        <v>1.2345000000000002</v>
      </c>
      <c r="U13" s="57">
        <f t="shared" si="10"/>
        <v>0</v>
      </c>
      <c r="V13" s="163">
        <f t="shared" si="11"/>
        <v>0</v>
      </c>
    </row>
    <row r="14" spans="2:22" ht="15.75" thickBot="1" x14ac:dyDescent="0.3">
      <c r="D14" s="165"/>
      <c r="E14" s="164"/>
      <c r="F14" s="164"/>
      <c r="G14" s="165"/>
      <c r="H14" s="165"/>
      <c r="I14" s="164"/>
      <c r="J14" s="164"/>
      <c r="K14" s="165"/>
      <c r="L14" s="165"/>
      <c r="M14" s="164"/>
      <c r="N14" s="164"/>
      <c r="O14" s="165"/>
      <c r="P14" s="165"/>
      <c r="Q14" s="164"/>
      <c r="R14" s="164"/>
      <c r="S14" s="165"/>
      <c r="T14" s="165"/>
      <c r="U14" s="164"/>
      <c r="V14" s="164"/>
    </row>
    <row r="15" spans="2:22" x14ac:dyDescent="0.25">
      <c r="B15" s="341" t="s">
        <v>10</v>
      </c>
      <c r="C15" s="62" t="s">
        <v>14</v>
      </c>
      <c r="D15" s="168" t="s">
        <v>14</v>
      </c>
      <c r="E15" s="343" t="s">
        <v>354</v>
      </c>
      <c r="F15" s="352" t="s">
        <v>355</v>
      </c>
      <c r="G15" s="166" t="s">
        <v>14</v>
      </c>
      <c r="H15" s="168" t="s">
        <v>14</v>
      </c>
      <c r="I15" s="343" t="s">
        <v>354</v>
      </c>
      <c r="J15" s="352" t="s">
        <v>355</v>
      </c>
      <c r="K15" s="166" t="s">
        <v>14</v>
      </c>
      <c r="L15" s="168" t="s">
        <v>14</v>
      </c>
      <c r="M15" s="343" t="s">
        <v>354</v>
      </c>
      <c r="N15" s="352" t="s">
        <v>355</v>
      </c>
      <c r="O15" s="166" t="s">
        <v>14</v>
      </c>
      <c r="P15" s="168" t="s">
        <v>14</v>
      </c>
      <c r="Q15" s="343" t="s">
        <v>354</v>
      </c>
      <c r="R15" s="352" t="s">
        <v>355</v>
      </c>
      <c r="S15" s="166" t="s">
        <v>14</v>
      </c>
      <c r="T15" s="168" t="s">
        <v>14</v>
      </c>
      <c r="U15" s="343" t="s">
        <v>354</v>
      </c>
      <c r="V15" s="357" t="s">
        <v>355</v>
      </c>
    </row>
    <row r="16" spans="2:22" ht="15.75" thickBot="1" x14ac:dyDescent="0.3">
      <c r="B16" s="342"/>
      <c r="C16" s="63" t="s">
        <v>290</v>
      </c>
      <c r="D16" s="169" t="s">
        <v>291</v>
      </c>
      <c r="E16" s="344"/>
      <c r="F16" s="353"/>
      <c r="G16" s="167" t="s">
        <v>290</v>
      </c>
      <c r="H16" s="169" t="s">
        <v>291</v>
      </c>
      <c r="I16" s="344"/>
      <c r="J16" s="353"/>
      <c r="K16" s="167" t="s">
        <v>290</v>
      </c>
      <c r="L16" s="169" t="s">
        <v>291</v>
      </c>
      <c r="M16" s="344"/>
      <c r="N16" s="353"/>
      <c r="O16" s="167" t="s">
        <v>290</v>
      </c>
      <c r="P16" s="169" t="s">
        <v>291</v>
      </c>
      <c r="Q16" s="344"/>
      <c r="R16" s="353"/>
      <c r="S16" s="167" t="s">
        <v>290</v>
      </c>
      <c r="T16" s="169" t="s">
        <v>291</v>
      </c>
      <c r="U16" s="344"/>
      <c r="V16" s="358"/>
    </row>
    <row r="17" spans="1:22" x14ac:dyDescent="0.25">
      <c r="B17" s="348" t="s">
        <v>38</v>
      </c>
      <c r="C17" s="355" t="s">
        <v>37</v>
      </c>
      <c r="D17" s="170" t="s">
        <v>37</v>
      </c>
      <c r="E17" s="344"/>
      <c r="F17" s="354"/>
      <c r="G17" s="350" t="s">
        <v>39</v>
      </c>
      <c r="H17" s="170" t="s">
        <v>39</v>
      </c>
      <c r="I17" s="344"/>
      <c r="J17" s="354"/>
      <c r="K17" s="350" t="s">
        <v>40</v>
      </c>
      <c r="L17" s="170" t="s">
        <v>40</v>
      </c>
      <c r="M17" s="344"/>
      <c r="N17" s="354"/>
      <c r="O17" s="350" t="s">
        <v>41</v>
      </c>
      <c r="P17" s="170" t="s">
        <v>41</v>
      </c>
      <c r="Q17" s="344"/>
      <c r="R17" s="354"/>
      <c r="S17" s="350" t="s">
        <v>42</v>
      </c>
      <c r="T17" s="170" t="s">
        <v>42</v>
      </c>
      <c r="U17" s="344"/>
      <c r="V17" s="358"/>
    </row>
    <row r="18" spans="1:22" ht="30.75" thickBot="1" x14ac:dyDescent="0.3">
      <c r="B18" s="349"/>
      <c r="C18" s="356"/>
      <c r="D18" s="171" t="s">
        <v>94</v>
      </c>
      <c r="E18" s="345"/>
      <c r="F18" s="345"/>
      <c r="G18" s="351"/>
      <c r="H18" s="171" t="s">
        <v>95</v>
      </c>
      <c r="I18" s="345"/>
      <c r="J18" s="345"/>
      <c r="K18" s="351"/>
      <c r="L18" s="173" t="s">
        <v>93</v>
      </c>
      <c r="M18" s="345"/>
      <c r="N18" s="345"/>
      <c r="O18" s="351"/>
      <c r="P18" s="171" t="s">
        <v>96</v>
      </c>
      <c r="Q18" s="345"/>
      <c r="R18" s="345"/>
      <c r="S18" s="351"/>
      <c r="T18" s="171" t="s">
        <v>97</v>
      </c>
      <c r="U18" s="345"/>
      <c r="V18" s="359"/>
    </row>
    <row r="19" spans="1:22" x14ac:dyDescent="0.25">
      <c r="B19" s="44">
        <v>1</v>
      </c>
      <c r="C19" s="157">
        <v>30.48</v>
      </c>
      <c r="D19" s="58">
        <f>L19*100</f>
        <v>30.48</v>
      </c>
      <c r="E19" s="54">
        <f>C19-D19</f>
        <v>0</v>
      </c>
      <c r="F19" s="54">
        <f>(100*E19)/D19</f>
        <v>0</v>
      </c>
      <c r="G19" s="157">
        <v>12</v>
      </c>
      <c r="H19" s="58">
        <f>L19*100/2.54</f>
        <v>12</v>
      </c>
      <c r="I19" s="54">
        <f>G19-H19</f>
        <v>0</v>
      </c>
      <c r="J19" s="54">
        <f>(100*I19)/H19</f>
        <v>0</v>
      </c>
      <c r="K19" s="157">
        <v>0.30480000000000002</v>
      </c>
      <c r="L19" s="58">
        <f>B19*0.3048</f>
        <v>0.30480000000000002</v>
      </c>
      <c r="M19" s="54">
        <f>K19-L19</f>
        <v>0</v>
      </c>
      <c r="N19" s="54">
        <f>(100*M19)/L19</f>
        <v>0</v>
      </c>
      <c r="O19" s="157">
        <v>1.8939400000000001E-4</v>
      </c>
      <c r="P19" s="58">
        <f>L19/63360/2.54*100</f>
        <v>1.8939393939393942E-4</v>
      </c>
      <c r="Q19" s="54">
        <f>O19-P19</f>
        <v>6.0606060588944827E-11</v>
      </c>
      <c r="R19" s="54">
        <f>(100*Q19)/P19</f>
        <v>3.1999999990962862E-5</v>
      </c>
      <c r="S19" s="157">
        <v>304.8</v>
      </c>
      <c r="T19" s="58">
        <f>L19*1000</f>
        <v>304.8</v>
      </c>
      <c r="U19" s="54">
        <f>S19-T19</f>
        <v>0</v>
      </c>
      <c r="V19" s="162">
        <f>(100*U19)/T19</f>
        <v>0</v>
      </c>
    </row>
    <row r="20" spans="1:22" x14ac:dyDescent="0.25">
      <c r="B20" s="47">
        <v>624</v>
      </c>
      <c r="C20" s="155">
        <v>19019.5</v>
      </c>
      <c r="D20" s="26">
        <f>L20*100</f>
        <v>19019.52</v>
      </c>
      <c r="E20" s="52">
        <f t="shared" ref="E20:E24" si="13">C20-D20</f>
        <v>-2.0000000000436557E-2</v>
      </c>
      <c r="F20" s="52">
        <f t="shared" ref="F20:F24" si="14">(100*E20)/D20</f>
        <v>-1.0515512484245952E-4</v>
      </c>
      <c r="G20" s="155">
        <v>7488</v>
      </c>
      <c r="H20" s="26">
        <f t="shared" ref="H20:H24" si="15">L20*100/2.54</f>
        <v>7488</v>
      </c>
      <c r="I20" s="52">
        <f t="shared" ref="I20:I24" si="16">G20-H20</f>
        <v>0</v>
      </c>
      <c r="J20" s="52">
        <f t="shared" ref="J20:J24" si="17">(100*I20)/H20</f>
        <v>0</v>
      </c>
      <c r="K20" s="155">
        <v>190.19499999999999</v>
      </c>
      <c r="L20" s="26">
        <f t="shared" ref="L20:L24" si="18">B20*0.3048</f>
        <v>190.1952</v>
      </c>
      <c r="M20" s="52">
        <f t="shared" ref="M20:M24" si="19">K20-L20</f>
        <v>-2.0000000000663931E-4</v>
      </c>
      <c r="N20" s="52">
        <f t="shared" ref="N20:N24" si="20">(100*M20)/L20</f>
        <v>-1.05155124843655E-4</v>
      </c>
      <c r="O20" s="155">
        <v>0.118182</v>
      </c>
      <c r="P20" s="26">
        <f t="shared" ref="P20:P24" si="21">L20/63360/2.54*100</f>
        <v>0.11818181818181819</v>
      </c>
      <c r="Q20" s="52">
        <f t="shared" ref="Q20:Q24" si="22">O20-P20</f>
        <v>1.8181818180196263E-7</v>
      </c>
      <c r="R20" s="52">
        <f t="shared" ref="R20:R24" si="23">(100*Q20)/P20</f>
        <v>1.5384615383242991E-4</v>
      </c>
      <c r="S20" s="155">
        <v>190195</v>
      </c>
      <c r="T20" s="26">
        <f t="shared" ref="T20:T24" si="24">L20*1000</f>
        <v>190195.20000000001</v>
      </c>
      <c r="U20" s="52">
        <f t="shared" ref="U20:U24" si="25">S20-T20</f>
        <v>-0.20000000001164153</v>
      </c>
      <c r="V20" s="153">
        <f t="shared" ref="V20:V24" si="26">(100*U20)/T20</f>
        <v>-1.0515512484628504E-4</v>
      </c>
    </row>
    <row r="21" spans="1:22" x14ac:dyDescent="0.25">
      <c r="B21" s="47">
        <v>2687</v>
      </c>
      <c r="C21" s="159">
        <v>81899.8</v>
      </c>
      <c r="D21" s="26">
        <f t="shared" ref="D21:D24" si="27">L21*100</f>
        <v>81899.760000000009</v>
      </c>
      <c r="E21" s="52">
        <f t="shared" si="13"/>
        <v>3.9999999993597157E-2</v>
      </c>
      <c r="F21" s="52">
        <f t="shared" si="14"/>
        <v>4.8840191953672575E-5</v>
      </c>
      <c r="G21" s="155">
        <v>32244</v>
      </c>
      <c r="H21" s="26">
        <f t="shared" si="15"/>
        <v>32244.000000000004</v>
      </c>
      <c r="I21" s="52">
        <f t="shared" si="16"/>
        <v>0</v>
      </c>
      <c r="J21" s="52">
        <f t="shared" si="17"/>
        <v>0</v>
      </c>
      <c r="K21" s="159">
        <v>818.99800000000005</v>
      </c>
      <c r="L21" s="26">
        <f t="shared" si="18"/>
        <v>818.99760000000003</v>
      </c>
      <c r="M21" s="52">
        <f t="shared" si="19"/>
        <v>4.0000000001327862E-4</v>
      </c>
      <c r="N21" s="52">
        <f t="shared" si="20"/>
        <v>4.8840191963111808E-5</v>
      </c>
      <c r="O21" s="155">
        <v>0.50890199999999997</v>
      </c>
      <c r="P21" s="26">
        <f t="shared" si="21"/>
        <v>0.50890151515151516</v>
      </c>
      <c r="Q21" s="52">
        <f t="shared" si="22"/>
        <v>4.8484848480523368E-7</v>
      </c>
      <c r="R21" s="52">
        <f t="shared" si="23"/>
        <v>9.5273539254619793E-5</v>
      </c>
      <c r="S21" s="155">
        <v>818998</v>
      </c>
      <c r="T21" s="26">
        <f t="shared" si="24"/>
        <v>818997.6</v>
      </c>
      <c r="U21" s="52">
        <f t="shared" si="25"/>
        <v>0.40000000002328306</v>
      </c>
      <c r="V21" s="153">
        <f t="shared" si="26"/>
        <v>4.8840191964333359E-5</v>
      </c>
    </row>
    <row r="22" spans="1:22" x14ac:dyDescent="0.25">
      <c r="B22" s="47">
        <v>2233445566</v>
      </c>
      <c r="C22" s="155">
        <v>68075420852</v>
      </c>
      <c r="D22" s="26">
        <f t="shared" si="27"/>
        <v>68075420851.680008</v>
      </c>
      <c r="E22" s="52">
        <f t="shared" si="13"/>
        <v>0.3199920654296875</v>
      </c>
      <c r="F22" s="52">
        <f t="shared" si="14"/>
        <v>4.7005521438769125E-10</v>
      </c>
      <c r="G22" s="155">
        <v>26801346792</v>
      </c>
      <c r="H22" s="26">
        <f t="shared" si="15"/>
        <v>26801346792.000004</v>
      </c>
      <c r="I22" s="52">
        <f t="shared" si="16"/>
        <v>0</v>
      </c>
      <c r="J22" s="52">
        <f t="shared" si="17"/>
        <v>0</v>
      </c>
      <c r="K22" s="155">
        <v>680754209</v>
      </c>
      <c r="L22" s="26">
        <f t="shared" si="18"/>
        <v>680754208.51680005</v>
      </c>
      <c r="M22" s="52">
        <f t="shared" si="19"/>
        <v>0.48319995403289795</v>
      </c>
      <c r="N22" s="52">
        <f t="shared" si="20"/>
        <v>7.0980090609454274E-8</v>
      </c>
      <c r="O22" s="155">
        <v>423001</v>
      </c>
      <c r="P22" s="26">
        <f t="shared" si="21"/>
        <v>423001.05416666676</v>
      </c>
      <c r="Q22" s="52">
        <f t="shared" si="22"/>
        <v>-5.4166666755918413E-2</v>
      </c>
      <c r="R22" s="52">
        <f t="shared" si="23"/>
        <v>-1.2805326658731255E-5</v>
      </c>
      <c r="S22" s="155">
        <v>680754208517</v>
      </c>
      <c r="T22" s="26">
        <f t="shared" si="24"/>
        <v>680754208516.80005</v>
      </c>
      <c r="U22" s="52">
        <f t="shared" si="25"/>
        <v>0.199951171875</v>
      </c>
      <c r="V22" s="153">
        <f t="shared" si="26"/>
        <v>2.9372006720405825E-11</v>
      </c>
    </row>
    <row r="23" spans="1:22" x14ac:dyDescent="0.25">
      <c r="B23" s="47">
        <v>-854</v>
      </c>
      <c r="C23" s="155">
        <v>-26029.9</v>
      </c>
      <c r="D23" s="26">
        <f t="shared" si="27"/>
        <v>-26029.919999999998</v>
      </c>
      <c r="E23" s="52">
        <f t="shared" si="13"/>
        <v>1.9999999996798579E-2</v>
      </c>
      <c r="F23" s="52">
        <f t="shared" si="14"/>
        <v>-7.6834657950537616E-5</v>
      </c>
      <c r="G23" s="155">
        <v>-10248</v>
      </c>
      <c r="H23" s="26">
        <f t="shared" si="15"/>
        <v>-10248</v>
      </c>
      <c r="I23" s="52">
        <f t="shared" si="16"/>
        <v>0</v>
      </c>
      <c r="J23" s="52">
        <f t="shared" si="17"/>
        <v>0</v>
      </c>
      <c r="K23" s="155">
        <v>-260.29899999999998</v>
      </c>
      <c r="L23" s="26">
        <f t="shared" si="18"/>
        <v>-260.29919999999998</v>
      </c>
      <c r="M23" s="52">
        <f t="shared" si="19"/>
        <v>2.0000000000663931E-4</v>
      </c>
      <c r="N23" s="52">
        <f t="shared" si="20"/>
        <v>-7.6834657965387269E-5</v>
      </c>
      <c r="O23" s="155">
        <v>-0.161742</v>
      </c>
      <c r="P23" s="26">
        <f t="shared" si="21"/>
        <v>-0.16174242424242424</v>
      </c>
      <c r="Q23" s="52">
        <f t="shared" si="22"/>
        <v>4.2424242424621283E-7</v>
      </c>
      <c r="R23" s="52">
        <f t="shared" si="23"/>
        <v>-2.622950819695555E-4</v>
      </c>
      <c r="S23" s="155">
        <v>-260299</v>
      </c>
      <c r="T23" s="26">
        <f t="shared" si="24"/>
        <v>-260299.19999999998</v>
      </c>
      <c r="U23" s="52">
        <f t="shared" si="25"/>
        <v>0.1999999999825377</v>
      </c>
      <c r="V23" s="153">
        <f t="shared" si="26"/>
        <v>-7.6834657956128074E-5</v>
      </c>
    </row>
    <row r="24" spans="1:22" ht="15.75" thickBot="1" x14ac:dyDescent="0.3">
      <c r="B24" s="48">
        <v>0.12345</v>
      </c>
      <c r="C24" s="158">
        <v>3.7627600000000001</v>
      </c>
      <c r="D24" s="59">
        <f t="shared" si="27"/>
        <v>3.7627560000000004</v>
      </c>
      <c r="E24" s="57">
        <f t="shared" si="13"/>
        <v>3.9999999996709334E-6</v>
      </c>
      <c r="F24" s="57">
        <f t="shared" si="14"/>
        <v>1.0630505936794554E-4</v>
      </c>
      <c r="G24" s="158">
        <v>1.4814000000000001</v>
      </c>
      <c r="H24" s="59">
        <f t="shared" si="15"/>
        <v>1.4814000000000001</v>
      </c>
      <c r="I24" s="57">
        <f t="shared" si="16"/>
        <v>0</v>
      </c>
      <c r="J24" s="57">
        <f t="shared" si="17"/>
        <v>0</v>
      </c>
      <c r="K24" s="158">
        <v>3.7627599999999997E-2</v>
      </c>
      <c r="L24" s="59">
        <f t="shared" si="18"/>
        <v>3.7627560000000004E-2</v>
      </c>
      <c r="M24" s="57">
        <f t="shared" si="19"/>
        <v>3.9999999992823554E-8</v>
      </c>
      <c r="N24" s="57">
        <f t="shared" si="20"/>
        <v>1.0630505935761859E-4</v>
      </c>
      <c r="O24" s="158">
        <v>2.3380681818181802E-5</v>
      </c>
      <c r="P24" s="59">
        <f t="shared" si="21"/>
        <v>2.3380681818181822E-5</v>
      </c>
      <c r="Q24" s="57">
        <f t="shared" si="22"/>
        <v>0</v>
      </c>
      <c r="R24" s="57">
        <f t="shared" si="23"/>
        <v>0</v>
      </c>
      <c r="S24" s="158">
        <v>37.627600000000001</v>
      </c>
      <c r="T24" s="59">
        <f t="shared" si="24"/>
        <v>37.627560000000003</v>
      </c>
      <c r="U24" s="57">
        <f t="shared" si="25"/>
        <v>3.9999999998485691E-5</v>
      </c>
      <c r="V24" s="163">
        <f t="shared" si="26"/>
        <v>1.0630505937266644E-4</v>
      </c>
    </row>
    <row r="25" spans="1:22" ht="15.75" thickBot="1" x14ac:dyDescent="0.3">
      <c r="D25" s="165"/>
      <c r="E25" s="164"/>
      <c r="F25" s="164"/>
      <c r="G25" s="165"/>
      <c r="H25" s="165"/>
      <c r="I25" s="164"/>
      <c r="J25" s="164"/>
      <c r="K25" s="165"/>
      <c r="L25" s="165"/>
      <c r="M25" s="164"/>
      <c r="N25" s="164"/>
      <c r="O25" s="165"/>
      <c r="P25" s="165"/>
      <c r="Q25" s="164"/>
      <c r="R25" s="164"/>
      <c r="S25" s="165"/>
      <c r="T25" s="165"/>
      <c r="U25" s="164"/>
      <c r="V25" s="164"/>
    </row>
    <row r="26" spans="1:22" x14ac:dyDescent="0.25">
      <c r="B26" s="341" t="s">
        <v>10</v>
      </c>
      <c r="C26" s="62" t="s">
        <v>14</v>
      </c>
      <c r="D26" s="168" t="s">
        <v>14</v>
      </c>
      <c r="E26" s="343" t="s">
        <v>354</v>
      </c>
      <c r="F26" s="352" t="s">
        <v>355</v>
      </c>
      <c r="G26" s="166" t="s">
        <v>14</v>
      </c>
      <c r="H26" s="168" t="s">
        <v>14</v>
      </c>
      <c r="I26" s="343" t="s">
        <v>354</v>
      </c>
      <c r="J26" s="352" t="s">
        <v>355</v>
      </c>
      <c r="K26" s="166" t="s">
        <v>14</v>
      </c>
      <c r="L26" s="168" t="s">
        <v>14</v>
      </c>
      <c r="M26" s="343" t="s">
        <v>354</v>
      </c>
      <c r="N26" s="352" t="s">
        <v>355</v>
      </c>
      <c r="O26" s="166" t="s">
        <v>14</v>
      </c>
      <c r="P26" s="168" t="s">
        <v>14</v>
      </c>
      <c r="Q26" s="343" t="s">
        <v>354</v>
      </c>
      <c r="R26" s="352" t="s">
        <v>355</v>
      </c>
      <c r="S26" s="166" t="s">
        <v>14</v>
      </c>
      <c r="T26" s="168" t="s">
        <v>14</v>
      </c>
      <c r="U26" s="343" t="s">
        <v>354</v>
      </c>
      <c r="V26" s="357" t="s">
        <v>355</v>
      </c>
    </row>
    <row r="27" spans="1:22" ht="15.75" thickBot="1" x14ac:dyDescent="0.3">
      <c r="B27" s="342"/>
      <c r="C27" s="63" t="s">
        <v>290</v>
      </c>
      <c r="D27" s="169" t="s">
        <v>291</v>
      </c>
      <c r="E27" s="344"/>
      <c r="F27" s="353"/>
      <c r="G27" s="167" t="s">
        <v>290</v>
      </c>
      <c r="H27" s="169" t="s">
        <v>291</v>
      </c>
      <c r="I27" s="344"/>
      <c r="J27" s="353"/>
      <c r="K27" s="167" t="s">
        <v>290</v>
      </c>
      <c r="L27" s="169" t="s">
        <v>291</v>
      </c>
      <c r="M27" s="344"/>
      <c r="N27" s="353"/>
      <c r="O27" s="167" t="s">
        <v>290</v>
      </c>
      <c r="P27" s="169" t="s">
        <v>291</v>
      </c>
      <c r="Q27" s="344"/>
      <c r="R27" s="353"/>
      <c r="S27" s="167" t="s">
        <v>290</v>
      </c>
      <c r="T27" s="169" t="s">
        <v>291</v>
      </c>
      <c r="U27" s="344"/>
      <c r="V27" s="358"/>
    </row>
    <row r="28" spans="1:22" x14ac:dyDescent="0.25">
      <c r="B28" s="348" t="s">
        <v>39</v>
      </c>
      <c r="C28" s="355" t="s">
        <v>37</v>
      </c>
      <c r="D28" s="170" t="s">
        <v>37</v>
      </c>
      <c r="E28" s="344"/>
      <c r="F28" s="354"/>
      <c r="G28" s="360" t="s">
        <v>38</v>
      </c>
      <c r="H28" s="170" t="s">
        <v>38</v>
      </c>
      <c r="I28" s="344"/>
      <c r="J28" s="354"/>
      <c r="K28" s="350" t="s">
        <v>40</v>
      </c>
      <c r="L28" s="170" t="s">
        <v>40</v>
      </c>
      <c r="M28" s="344"/>
      <c r="N28" s="354"/>
      <c r="O28" s="350" t="s">
        <v>41</v>
      </c>
      <c r="P28" s="170" t="s">
        <v>41</v>
      </c>
      <c r="Q28" s="344"/>
      <c r="R28" s="354"/>
      <c r="S28" s="350" t="s">
        <v>42</v>
      </c>
      <c r="T28" s="170" t="s">
        <v>42</v>
      </c>
      <c r="U28" s="344"/>
      <c r="V28" s="358"/>
    </row>
    <row r="29" spans="1:22" ht="30.75" thickBot="1" x14ac:dyDescent="0.3">
      <c r="B29" s="349"/>
      <c r="C29" s="356"/>
      <c r="D29" s="171" t="s">
        <v>99</v>
      </c>
      <c r="E29" s="345"/>
      <c r="F29" s="345"/>
      <c r="G29" s="361"/>
      <c r="H29" s="171" t="s">
        <v>100</v>
      </c>
      <c r="I29" s="345"/>
      <c r="J29" s="345"/>
      <c r="K29" s="351"/>
      <c r="L29" s="173" t="s">
        <v>98</v>
      </c>
      <c r="M29" s="345"/>
      <c r="N29" s="345"/>
      <c r="O29" s="351"/>
      <c r="P29" s="171" t="s">
        <v>101</v>
      </c>
      <c r="Q29" s="345"/>
      <c r="R29" s="345"/>
      <c r="S29" s="351"/>
      <c r="T29" s="171" t="s">
        <v>102</v>
      </c>
      <c r="U29" s="345"/>
      <c r="V29" s="359"/>
    </row>
    <row r="30" spans="1:22" x14ac:dyDescent="0.25">
      <c r="A30" s="60"/>
      <c r="B30" s="44">
        <v>1</v>
      </c>
      <c r="C30" s="157">
        <v>2.54</v>
      </c>
      <c r="D30" s="58">
        <f>L30*100</f>
        <v>2.54</v>
      </c>
      <c r="E30" s="54">
        <f>C30-D30</f>
        <v>0</v>
      </c>
      <c r="F30" s="54">
        <f>(100*E30)/D30</f>
        <v>0</v>
      </c>
      <c r="G30" s="157">
        <v>8.3333299999999999E-2</v>
      </c>
      <c r="H30" s="58">
        <f>L30/0.3048</f>
        <v>8.3333333333333329E-2</v>
      </c>
      <c r="I30" s="54">
        <f>G30-H30</f>
        <v>-3.3333333329665926E-8</v>
      </c>
      <c r="J30" s="54">
        <f>(100*I30)/H30</f>
        <v>-3.9999999995599111E-5</v>
      </c>
      <c r="K30" s="157">
        <v>2.5399999999999999E-2</v>
      </c>
      <c r="L30" s="58">
        <f>B30*2.54/100</f>
        <v>2.5399999999999999E-2</v>
      </c>
      <c r="M30" s="54">
        <f>K30-L30</f>
        <v>0</v>
      </c>
      <c r="N30" s="54">
        <f>(100*M30)/L30</f>
        <v>0</v>
      </c>
      <c r="O30" s="157">
        <v>1.57828282828283E-5</v>
      </c>
      <c r="P30" s="58">
        <f>L30/63360/2.54*100</f>
        <v>1.5782828282828279E-5</v>
      </c>
      <c r="Q30" s="54">
        <f>O30-P30</f>
        <v>0</v>
      </c>
      <c r="R30" s="54">
        <f>(100*Q30)/P30</f>
        <v>0</v>
      </c>
      <c r="S30" s="154">
        <v>25.4</v>
      </c>
      <c r="T30" s="58">
        <f>L30*1000</f>
        <v>25.4</v>
      </c>
      <c r="U30" s="54">
        <f>S30-T30</f>
        <v>0</v>
      </c>
      <c r="V30" s="162">
        <f>(100*U30)/T30</f>
        <v>0</v>
      </c>
    </row>
    <row r="31" spans="1:22" x14ac:dyDescent="0.25">
      <c r="A31" s="60"/>
      <c r="B31" s="47">
        <v>624</v>
      </c>
      <c r="C31" s="155">
        <v>1584.96</v>
      </c>
      <c r="D31" s="26">
        <f t="shared" ref="D31:D35" si="28">L31*100</f>
        <v>1584.96</v>
      </c>
      <c r="E31" s="52">
        <f t="shared" ref="E31:E35" si="29">C31-D31</f>
        <v>0</v>
      </c>
      <c r="F31" s="52">
        <f t="shared" ref="F31:F35" si="30">(100*E31)/D31</f>
        <v>0</v>
      </c>
      <c r="G31" s="155">
        <v>52</v>
      </c>
      <c r="H31" s="26">
        <f t="shared" ref="H31:H35" si="31">L31/0.3048</f>
        <v>52</v>
      </c>
      <c r="I31" s="52">
        <f t="shared" ref="I31:I35" si="32">G31-H31</f>
        <v>0</v>
      </c>
      <c r="J31" s="52">
        <f t="shared" ref="J31:J35" si="33">(100*I31)/H31</f>
        <v>0</v>
      </c>
      <c r="K31" s="155">
        <v>15.849600000000001</v>
      </c>
      <c r="L31" s="26">
        <f t="shared" ref="L31:L35" si="34">B31*2.54/100</f>
        <v>15.849600000000001</v>
      </c>
      <c r="M31" s="52">
        <f t="shared" ref="M31:M35" si="35">K31-L31</f>
        <v>0</v>
      </c>
      <c r="N31" s="52">
        <f t="shared" ref="N31:N35" si="36">(100*M31)/L31</f>
        <v>0</v>
      </c>
      <c r="O31" s="155">
        <v>9.8484799999999997E-3</v>
      </c>
      <c r="P31" s="26">
        <f t="shared" ref="P31:P35" si="37">L31/63360/2.54*100</f>
        <v>9.8484848484848477E-3</v>
      </c>
      <c r="Q31" s="52">
        <f t="shared" ref="Q31:Q35" si="38">O31-P31</f>
        <v>-4.8484848479829479E-9</v>
      </c>
      <c r="R31" s="52">
        <f t="shared" ref="R31:R35" si="39">(100*Q31)/P31</f>
        <v>-4.9230769225673014E-5</v>
      </c>
      <c r="S31" s="155">
        <v>15849.6</v>
      </c>
      <c r="T31" s="26">
        <f t="shared" ref="T31:T35" si="40">L31*1000</f>
        <v>15849.6</v>
      </c>
      <c r="U31" s="52">
        <f t="shared" ref="U31:U35" si="41">S31-T31</f>
        <v>0</v>
      </c>
      <c r="V31" s="153">
        <f t="shared" ref="V31:V35" si="42">(100*U31)/T31</f>
        <v>0</v>
      </c>
    </row>
    <row r="32" spans="1:22" x14ac:dyDescent="0.25">
      <c r="A32" s="60"/>
      <c r="B32" s="47">
        <v>2687</v>
      </c>
      <c r="C32" s="159">
        <v>6824.98</v>
      </c>
      <c r="D32" s="26">
        <f t="shared" si="28"/>
        <v>6824.9800000000005</v>
      </c>
      <c r="E32" s="52">
        <f t="shared" si="29"/>
        <v>0</v>
      </c>
      <c r="F32" s="52">
        <f t="shared" si="30"/>
        <v>0</v>
      </c>
      <c r="G32" s="155">
        <v>223.917</v>
      </c>
      <c r="H32" s="26">
        <f t="shared" si="31"/>
        <v>223.91666666666669</v>
      </c>
      <c r="I32" s="52">
        <f t="shared" si="32"/>
        <v>3.3333333331597714E-4</v>
      </c>
      <c r="J32" s="52">
        <f t="shared" si="33"/>
        <v>1.4886490509087181E-4</v>
      </c>
      <c r="K32" s="159">
        <v>68.249799999999993</v>
      </c>
      <c r="L32" s="26">
        <f t="shared" si="34"/>
        <v>68.249800000000008</v>
      </c>
      <c r="M32" s="52">
        <f t="shared" si="35"/>
        <v>0</v>
      </c>
      <c r="N32" s="52">
        <f t="shared" si="36"/>
        <v>0</v>
      </c>
      <c r="O32" s="155">
        <v>4.2408500000000002E-2</v>
      </c>
      <c r="P32" s="26">
        <f t="shared" si="37"/>
        <v>4.2408459595959597E-2</v>
      </c>
      <c r="Q32" s="52">
        <f t="shared" si="38"/>
        <v>4.0404040405062069E-8</v>
      </c>
      <c r="R32" s="52">
        <f t="shared" si="39"/>
        <v>9.5273539265527829E-5</v>
      </c>
      <c r="S32" s="155">
        <v>68249.8</v>
      </c>
      <c r="T32" s="26">
        <f t="shared" si="40"/>
        <v>68249.8</v>
      </c>
      <c r="U32" s="52">
        <f t="shared" si="41"/>
        <v>0</v>
      </c>
      <c r="V32" s="153">
        <f t="shared" si="42"/>
        <v>0</v>
      </c>
    </row>
    <row r="33" spans="1:22" x14ac:dyDescent="0.25">
      <c r="A33" s="60"/>
      <c r="B33" s="47">
        <v>2233445566</v>
      </c>
      <c r="C33" s="155">
        <v>5672951738</v>
      </c>
      <c r="D33" s="26">
        <f t="shared" si="28"/>
        <v>5672951737.6400003</v>
      </c>
      <c r="E33" s="52">
        <f t="shared" si="29"/>
        <v>0.35999965667724609</v>
      </c>
      <c r="F33" s="52">
        <f t="shared" si="30"/>
        <v>6.3458966923453719E-9</v>
      </c>
      <c r="G33" s="155">
        <v>186120464</v>
      </c>
      <c r="H33" s="26">
        <f t="shared" si="31"/>
        <v>186120463.83333334</v>
      </c>
      <c r="I33" s="52">
        <f t="shared" si="32"/>
        <v>0.1666666567325592</v>
      </c>
      <c r="J33" s="52">
        <f t="shared" si="33"/>
        <v>8.9547733387235392E-8</v>
      </c>
      <c r="K33" s="155">
        <v>56729517</v>
      </c>
      <c r="L33" s="26">
        <f t="shared" si="34"/>
        <v>56729517.376400001</v>
      </c>
      <c r="M33" s="52">
        <f t="shared" si="35"/>
        <v>-0.37640000134706497</v>
      </c>
      <c r="N33" s="52">
        <f t="shared" si="36"/>
        <v>-6.6349938930319691E-7</v>
      </c>
      <c r="O33" s="155">
        <v>35250.1</v>
      </c>
      <c r="P33" s="26">
        <f t="shared" si="37"/>
        <v>35250.087847222225</v>
      </c>
      <c r="Q33" s="52">
        <f t="shared" si="38"/>
        <v>1.2152777773735579E-2</v>
      </c>
      <c r="R33" s="52">
        <f t="shared" si="39"/>
        <v>3.4475879397540964E-5</v>
      </c>
      <c r="S33" s="155">
        <v>56729517376</v>
      </c>
      <c r="T33" s="26">
        <f t="shared" si="40"/>
        <v>56729517376.400002</v>
      </c>
      <c r="U33" s="52">
        <f t="shared" si="41"/>
        <v>-0.40000152587890625</v>
      </c>
      <c r="V33" s="153">
        <f t="shared" si="42"/>
        <v>-7.0510299466307556E-10</v>
      </c>
    </row>
    <row r="34" spans="1:22" x14ac:dyDescent="0.25">
      <c r="A34" s="60"/>
      <c r="B34" s="47">
        <v>-854</v>
      </c>
      <c r="C34" s="155">
        <v>-2169.16</v>
      </c>
      <c r="D34" s="26">
        <f t="shared" si="28"/>
        <v>-2169.16</v>
      </c>
      <c r="E34" s="52">
        <f t="shared" si="29"/>
        <v>0</v>
      </c>
      <c r="F34" s="52">
        <f t="shared" si="30"/>
        <v>0</v>
      </c>
      <c r="G34" s="155">
        <v>-71.166700000000006</v>
      </c>
      <c r="H34" s="26">
        <f t="shared" si="31"/>
        <v>-71.166666666666657</v>
      </c>
      <c r="I34" s="52">
        <f t="shared" si="32"/>
        <v>-3.333333334865074E-5</v>
      </c>
      <c r="J34" s="52">
        <f t="shared" si="33"/>
        <v>4.6838407515668496E-5</v>
      </c>
      <c r="K34" s="155">
        <v>-21.691600000000001</v>
      </c>
      <c r="L34" s="26">
        <f t="shared" si="34"/>
        <v>-21.691599999999998</v>
      </c>
      <c r="M34" s="52">
        <f t="shared" si="35"/>
        <v>0</v>
      </c>
      <c r="N34" s="52">
        <f t="shared" si="36"/>
        <v>0</v>
      </c>
      <c r="O34" s="155">
        <v>-1.3478499999999999E-2</v>
      </c>
      <c r="P34" s="26">
        <f t="shared" si="37"/>
        <v>-1.347853535353535E-2</v>
      </c>
      <c r="Q34" s="52">
        <f t="shared" si="38"/>
        <v>3.5353535350959864E-8</v>
      </c>
      <c r="R34" s="52">
        <f t="shared" si="39"/>
        <v>-2.622950819481051E-4</v>
      </c>
      <c r="S34" s="155">
        <v>-21691.599999999999</v>
      </c>
      <c r="T34" s="26">
        <f t="shared" si="40"/>
        <v>-21691.599999999999</v>
      </c>
      <c r="U34" s="52">
        <f t="shared" si="41"/>
        <v>0</v>
      </c>
      <c r="V34" s="153">
        <f t="shared" si="42"/>
        <v>0</v>
      </c>
    </row>
    <row r="35" spans="1:22" ht="15.75" thickBot="1" x14ac:dyDescent="0.3">
      <c r="A35" s="60"/>
      <c r="B35" s="48">
        <v>0.12345</v>
      </c>
      <c r="C35" s="158">
        <v>0.31356299999999998</v>
      </c>
      <c r="D35" s="59">
        <f t="shared" si="28"/>
        <v>0.31356300000000004</v>
      </c>
      <c r="E35" s="57">
        <f t="shared" si="29"/>
        <v>0</v>
      </c>
      <c r="F35" s="57">
        <f t="shared" si="30"/>
        <v>0</v>
      </c>
      <c r="G35" s="158">
        <v>1.02875E-2</v>
      </c>
      <c r="H35" s="59">
        <f t="shared" si="31"/>
        <v>1.0287500000000002E-2</v>
      </c>
      <c r="I35" s="57">
        <f t="shared" si="32"/>
        <v>0</v>
      </c>
      <c r="J35" s="57">
        <f t="shared" si="33"/>
        <v>0</v>
      </c>
      <c r="K35" s="158">
        <v>3.1356299999999999E-3</v>
      </c>
      <c r="L35" s="59">
        <f t="shared" si="34"/>
        <v>3.1356300000000004E-3</v>
      </c>
      <c r="M35" s="57">
        <f t="shared" si="35"/>
        <v>0</v>
      </c>
      <c r="N35" s="57">
        <f t="shared" si="36"/>
        <v>0</v>
      </c>
      <c r="O35" s="158">
        <v>1.94839015151515E-6</v>
      </c>
      <c r="P35" s="59">
        <f t="shared" si="37"/>
        <v>1.9483901515151517E-6</v>
      </c>
      <c r="Q35" s="57">
        <f t="shared" si="38"/>
        <v>0</v>
      </c>
      <c r="R35" s="57">
        <f t="shared" si="39"/>
        <v>0</v>
      </c>
      <c r="S35" s="158">
        <v>3.1356299999999999</v>
      </c>
      <c r="T35" s="59">
        <f t="shared" si="40"/>
        <v>3.1356300000000004</v>
      </c>
      <c r="U35" s="57">
        <f t="shared" si="41"/>
        <v>0</v>
      </c>
      <c r="V35" s="163">
        <f t="shared" si="42"/>
        <v>0</v>
      </c>
    </row>
    <row r="36" spans="1:22" ht="15.75" thickBot="1" x14ac:dyDescent="0.3">
      <c r="D36" s="165"/>
      <c r="E36" s="164"/>
      <c r="F36" s="164"/>
      <c r="G36" s="165"/>
      <c r="H36" s="165"/>
      <c r="I36" s="164"/>
      <c r="J36" s="164"/>
      <c r="K36" s="165"/>
      <c r="L36" s="165"/>
      <c r="M36" s="164"/>
      <c r="N36" s="164"/>
      <c r="O36" s="165"/>
      <c r="P36" s="165"/>
      <c r="Q36" s="164"/>
      <c r="R36" s="164"/>
      <c r="S36" s="165"/>
      <c r="T36" s="165"/>
      <c r="U36" s="164"/>
      <c r="V36" s="164"/>
    </row>
    <row r="37" spans="1:22" x14ac:dyDescent="0.25">
      <c r="B37" s="341" t="s">
        <v>10</v>
      </c>
      <c r="C37" s="62" t="s">
        <v>14</v>
      </c>
      <c r="D37" s="168" t="s">
        <v>14</v>
      </c>
      <c r="E37" s="343" t="s">
        <v>354</v>
      </c>
      <c r="F37" s="352" t="s">
        <v>355</v>
      </c>
      <c r="G37" s="166" t="s">
        <v>14</v>
      </c>
      <c r="H37" s="168" t="s">
        <v>14</v>
      </c>
      <c r="I37" s="343" t="s">
        <v>354</v>
      </c>
      <c r="J37" s="352" t="s">
        <v>355</v>
      </c>
      <c r="K37" s="166" t="s">
        <v>14</v>
      </c>
      <c r="L37" s="168" t="s">
        <v>14</v>
      </c>
      <c r="M37" s="343" t="s">
        <v>354</v>
      </c>
      <c r="N37" s="352" t="s">
        <v>355</v>
      </c>
      <c r="O37" s="166" t="s">
        <v>14</v>
      </c>
      <c r="P37" s="168" t="s">
        <v>14</v>
      </c>
      <c r="Q37" s="343" t="s">
        <v>354</v>
      </c>
      <c r="R37" s="352" t="s">
        <v>355</v>
      </c>
      <c r="S37" s="166" t="s">
        <v>14</v>
      </c>
      <c r="T37" s="168" t="s">
        <v>14</v>
      </c>
      <c r="U37" s="343" t="s">
        <v>354</v>
      </c>
      <c r="V37" s="357" t="s">
        <v>355</v>
      </c>
    </row>
    <row r="38" spans="1:22" ht="15.75" thickBot="1" x14ac:dyDescent="0.3">
      <c r="B38" s="342"/>
      <c r="C38" s="63" t="s">
        <v>290</v>
      </c>
      <c r="D38" s="169" t="s">
        <v>291</v>
      </c>
      <c r="E38" s="344"/>
      <c r="F38" s="353"/>
      <c r="G38" s="167" t="s">
        <v>290</v>
      </c>
      <c r="H38" s="169" t="s">
        <v>291</v>
      </c>
      <c r="I38" s="344"/>
      <c r="J38" s="353"/>
      <c r="K38" s="167" t="s">
        <v>290</v>
      </c>
      <c r="L38" s="169" t="s">
        <v>291</v>
      </c>
      <c r="M38" s="344"/>
      <c r="N38" s="353"/>
      <c r="O38" s="167" t="s">
        <v>290</v>
      </c>
      <c r="P38" s="169" t="s">
        <v>291</v>
      </c>
      <c r="Q38" s="344"/>
      <c r="R38" s="353"/>
      <c r="S38" s="167" t="s">
        <v>290</v>
      </c>
      <c r="T38" s="169" t="s">
        <v>291</v>
      </c>
      <c r="U38" s="344"/>
      <c r="V38" s="358"/>
    </row>
    <row r="39" spans="1:22" x14ac:dyDescent="0.25">
      <c r="B39" s="346" t="s">
        <v>40</v>
      </c>
      <c r="C39" s="355" t="s">
        <v>37</v>
      </c>
      <c r="D39" s="170" t="s">
        <v>37</v>
      </c>
      <c r="E39" s="344"/>
      <c r="F39" s="354"/>
      <c r="G39" s="360" t="s">
        <v>38</v>
      </c>
      <c r="H39" s="170" t="s">
        <v>38</v>
      </c>
      <c r="I39" s="344"/>
      <c r="J39" s="354"/>
      <c r="K39" s="350" t="s">
        <v>39</v>
      </c>
      <c r="L39" s="170" t="s">
        <v>39</v>
      </c>
      <c r="M39" s="344"/>
      <c r="N39" s="354"/>
      <c r="O39" s="350" t="s">
        <v>41</v>
      </c>
      <c r="P39" s="170" t="s">
        <v>41</v>
      </c>
      <c r="Q39" s="344"/>
      <c r="R39" s="354"/>
      <c r="S39" s="350" t="s">
        <v>42</v>
      </c>
      <c r="T39" s="170" t="s">
        <v>42</v>
      </c>
      <c r="U39" s="344"/>
      <c r="V39" s="358"/>
    </row>
    <row r="40" spans="1:22" ht="15.75" thickBot="1" x14ac:dyDescent="0.3">
      <c r="B40" s="347"/>
      <c r="C40" s="356"/>
      <c r="D40" s="172" t="s">
        <v>103</v>
      </c>
      <c r="E40" s="345"/>
      <c r="F40" s="345"/>
      <c r="G40" s="361"/>
      <c r="H40" s="172" t="s">
        <v>104</v>
      </c>
      <c r="I40" s="345"/>
      <c r="J40" s="345"/>
      <c r="K40" s="351"/>
      <c r="L40" s="172" t="s">
        <v>105</v>
      </c>
      <c r="M40" s="345"/>
      <c r="N40" s="345"/>
      <c r="O40" s="351"/>
      <c r="P40" s="172" t="s">
        <v>106</v>
      </c>
      <c r="Q40" s="345"/>
      <c r="R40" s="345"/>
      <c r="S40" s="351"/>
      <c r="T40" s="172" t="s">
        <v>107</v>
      </c>
      <c r="U40" s="345"/>
      <c r="V40" s="359"/>
    </row>
    <row r="41" spans="1:22" x14ac:dyDescent="0.25">
      <c r="B41" s="44">
        <v>1</v>
      </c>
      <c r="C41" s="157">
        <v>100</v>
      </c>
      <c r="D41" s="58">
        <f>B41*100</f>
        <v>100</v>
      </c>
      <c r="E41" s="54">
        <f>C41-D41</f>
        <v>0</v>
      </c>
      <c r="F41" s="54">
        <f>(100*E41)/D41</f>
        <v>0</v>
      </c>
      <c r="G41" s="157">
        <v>3.28084</v>
      </c>
      <c r="H41" s="58">
        <f>B41/0.3048</f>
        <v>3.280839895013123</v>
      </c>
      <c r="I41" s="54">
        <f>G41-H41</f>
        <v>1.0498687696980369E-7</v>
      </c>
      <c r="J41" s="54">
        <f>(100*I41)/H41</f>
        <v>3.2000000100396167E-6</v>
      </c>
      <c r="K41" s="157">
        <v>39.370100000000001</v>
      </c>
      <c r="L41" s="58">
        <f>B41*100/2.54</f>
        <v>39.370078740157481</v>
      </c>
      <c r="M41" s="54">
        <f>K41-L41</f>
        <v>2.1259842519327776E-5</v>
      </c>
      <c r="N41" s="54">
        <f>(100*M41)/L41</f>
        <v>5.3999999999092548E-5</v>
      </c>
      <c r="O41" s="157">
        <v>6.2137100000000001E-4</v>
      </c>
      <c r="P41" s="58">
        <f>B41/63360/2.54*100</f>
        <v>6.2137119223733392E-4</v>
      </c>
      <c r="Q41" s="54">
        <f>O41-P41</f>
        <v>-1.9223733390728859E-10</v>
      </c>
      <c r="R41" s="54">
        <f>(100*Q41)/P41</f>
        <v>-3.0937599989969145E-5</v>
      </c>
      <c r="S41" s="154">
        <v>1000</v>
      </c>
      <c r="T41" s="58">
        <f>B41*1000</f>
        <v>1000</v>
      </c>
      <c r="U41" s="54">
        <f>S41-T41</f>
        <v>0</v>
      </c>
      <c r="V41" s="162">
        <f>(100*U41)/T41</f>
        <v>0</v>
      </c>
    </row>
    <row r="42" spans="1:22" x14ac:dyDescent="0.25">
      <c r="B42" s="47">
        <v>624</v>
      </c>
      <c r="C42" s="155">
        <v>62400</v>
      </c>
      <c r="D42" s="26">
        <f t="shared" ref="D42:D46" si="43">B42*100</f>
        <v>62400</v>
      </c>
      <c r="E42" s="52">
        <f t="shared" ref="E42:E46" si="44">C42-D42</f>
        <v>0</v>
      </c>
      <c r="F42" s="52">
        <f t="shared" ref="F42:F46" si="45">(100*E42)/D42</f>
        <v>0</v>
      </c>
      <c r="G42" s="155">
        <v>2047.24</v>
      </c>
      <c r="H42" s="26">
        <f t="shared" ref="H42:H46" si="46">B42/0.3048</f>
        <v>2047.2440944881889</v>
      </c>
      <c r="I42" s="52">
        <f t="shared" ref="I42:I46" si="47">G42-H42</f>
        <v>-4.0944881889117823E-3</v>
      </c>
      <c r="J42" s="52">
        <f t="shared" ref="J42:J46" si="48">(100*I42)/H42</f>
        <v>-1.9999999999684476E-4</v>
      </c>
      <c r="K42" s="155">
        <v>24566.9</v>
      </c>
      <c r="L42" s="26">
        <f t="shared" ref="L42:L46" si="49">B42*100/2.54</f>
        <v>24566.929133858266</v>
      </c>
      <c r="M42" s="52">
        <f t="shared" ref="M42:M46" si="50">K42-L42</f>
        <v>-2.9133858264685841E-2</v>
      </c>
      <c r="N42" s="52">
        <f t="shared" ref="N42:N46" si="51">(100*M42)/L42</f>
        <v>-1.1858974357740711E-4</v>
      </c>
      <c r="O42" s="155">
        <v>0.38773600000000003</v>
      </c>
      <c r="P42" s="26">
        <f t="shared" ref="P42:P46" si="52">B42/63360/2.54*100</f>
        <v>0.3877356239560964</v>
      </c>
      <c r="Q42" s="52">
        <f t="shared" ref="Q42:Q46" si="53">O42-P42</f>
        <v>3.7604390362711015E-7</v>
      </c>
      <c r="R42" s="52">
        <f t="shared" ref="R42:R46" si="54">(100*Q42)/P42</f>
        <v>9.6984615390844218E-5</v>
      </c>
      <c r="S42" s="155">
        <v>624000</v>
      </c>
      <c r="T42" s="26">
        <f t="shared" ref="T42:T46" si="55">B42*1000</f>
        <v>624000</v>
      </c>
      <c r="U42" s="52">
        <f t="shared" ref="U42:U46" si="56">S42-T42</f>
        <v>0</v>
      </c>
      <c r="V42" s="153">
        <f t="shared" ref="V42:V46" si="57">(100*U42)/T42</f>
        <v>0</v>
      </c>
    </row>
    <row r="43" spans="1:22" x14ac:dyDescent="0.25">
      <c r="B43" s="47">
        <v>2687</v>
      </c>
      <c r="C43" s="159">
        <v>268700</v>
      </c>
      <c r="D43" s="26">
        <f t="shared" si="43"/>
        <v>268700</v>
      </c>
      <c r="E43" s="52">
        <f t="shared" si="44"/>
        <v>0</v>
      </c>
      <c r="F43" s="52">
        <f t="shared" si="45"/>
        <v>0</v>
      </c>
      <c r="G43" s="155">
        <v>8815.6200000000008</v>
      </c>
      <c r="H43" s="26">
        <f t="shared" si="46"/>
        <v>8815.6167979002621</v>
      </c>
      <c r="I43" s="52">
        <f t="shared" si="47"/>
        <v>3.202099738700781E-3</v>
      </c>
      <c r="J43" s="52">
        <f t="shared" si="48"/>
        <v>3.6323036857312915E-5</v>
      </c>
      <c r="K43" s="159">
        <v>105787</v>
      </c>
      <c r="L43" s="26">
        <f t="shared" si="49"/>
        <v>105787.40157480315</v>
      </c>
      <c r="M43" s="52">
        <f t="shared" si="50"/>
        <v>-0.40157480315247085</v>
      </c>
      <c r="N43" s="52">
        <f t="shared" si="51"/>
        <v>-3.7960550800419647E-4</v>
      </c>
      <c r="O43" s="155">
        <v>1.6696200000000001</v>
      </c>
      <c r="P43" s="26">
        <f t="shared" si="52"/>
        <v>1.6696243935417163</v>
      </c>
      <c r="Q43" s="52">
        <f t="shared" si="53"/>
        <v>-4.3935417162188628E-6</v>
      </c>
      <c r="R43" s="52">
        <f t="shared" si="54"/>
        <v>-2.6314551543530067E-4</v>
      </c>
      <c r="S43" s="155">
        <v>2687000</v>
      </c>
      <c r="T43" s="26">
        <f t="shared" si="55"/>
        <v>2687000</v>
      </c>
      <c r="U43" s="52">
        <f t="shared" si="56"/>
        <v>0</v>
      </c>
      <c r="V43" s="153">
        <f t="shared" si="57"/>
        <v>0</v>
      </c>
    </row>
    <row r="44" spans="1:22" x14ac:dyDescent="0.25">
      <c r="B44" s="47">
        <v>2233445566</v>
      </c>
      <c r="C44" s="155">
        <v>223344556600</v>
      </c>
      <c r="D44" s="26">
        <f t="shared" si="43"/>
        <v>223344556600</v>
      </c>
      <c r="E44" s="52">
        <f t="shared" si="44"/>
        <v>0</v>
      </c>
      <c r="F44" s="52">
        <f t="shared" si="45"/>
        <v>0</v>
      </c>
      <c r="G44" s="155">
        <v>7327577316</v>
      </c>
      <c r="H44" s="26">
        <f t="shared" si="46"/>
        <v>7327577316.2729654</v>
      </c>
      <c r="I44" s="52">
        <f t="shared" si="47"/>
        <v>-0.27296543121337891</v>
      </c>
      <c r="J44" s="52">
        <f t="shared" si="48"/>
        <v>-3.7251798163518752E-9</v>
      </c>
      <c r="K44" s="155">
        <v>87930927795</v>
      </c>
      <c r="L44" s="26">
        <f t="shared" si="49"/>
        <v>87930927795.275589</v>
      </c>
      <c r="M44" s="52">
        <f t="shared" si="50"/>
        <v>-0.2755889892578125</v>
      </c>
      <c r="N44" s="52">
        <f t="shared" si="51"/>
        <v>-3.1341530922936482E-10</v>
      </c>
      <c r="O44" s="155">
        <v>1387799</v>
      </c>
      <c r="P44" s="26">
        <f t="shared" si="52"/>
        <v>1387798.7341426073</v>
      </c>
      <c r="Q44" s="52">
        <f t="shared" si="53"/>
        <v>0.26585739268921316</v>
      </c>
      <c r="R44" s="52">
        <f t="shared" si="54"/>
        <v>1.9156768640047933E-5</v>
      </c>
      <c r="S44" s="155">
        <v>2233445566000</v>
      </c>
      <c r="T44" s="26">
        <f t="shared" si="55"/>
        <v>2233445566000</v>
      </c>
      <c r="U44" s="52">
        <f t="shared" si="56"/>
        <v>0</v>
      </c>
      <c r="V44" s="153">
        <f t="shared" si="57"/>
        <v>0</v>
      </c>
    </row>
    <row r="45" spans="1:22" x14ac:dyDescent="0.25">
      <c r="B45" s="47">
        <v>-854</v>
      </c>
      <c r="C45" s="155">
        <v>-85400</v>
      </c>
      <c r="D45" s="26">
        <f t="shared" si="43"/>
        <v>-85400</v>
      </c>
      <c r="E45" s="52">
        <f t="shared" si="44"/>
        <v>0</v>
      </c>
      <c r="F45" s="52">
        <f t="shared" si="45"/>
        <v>0</v>
      </c>
      <c r="G45" s="155">
        <v>-2801.84</v>
      </c>
      <c r="H45" s="26">
        <f t="shared" si="46"/>
        <v>-2801.8372703412074</v>
      </c>
      <c r="I45" s="52">
        <f t="shared" si="47"/>
        <v>-2.7296587927594373E-3</v>
      </c>
      <c r="J45" s="52">
        <f t="shared" si="48"/>
        <v>9.7423887591695135E-5</v>
      </c>
      <c r="K45" s="155">
        <v>-33622</v>
      </c>
      <c r="L45" s="26">
        <f t="shared" si="49"/>
        <v>-33622.047244094487</v>
      </c>
      <c r="M45" s="52">
        <f t="shared" si="50"/>
        <v>4.7244094486813992E-2</v>
      </c>
      <c r="N45" s="52">
        <f t="shared" si="51"/>
        <v>-1.4051522247834607E-4</v>
      </c>
      <c r="O45" s="155">
        <v>-0.53065099999999998</v>
      </c>
      <c r="P45" s="26">
        <f t="shared" si="52"/>
        <v>-0.53065099817068317</v>
      </c>
      <c r="Q45" s="52">
        <f t="shared" si="53"/>
        <v>-1.8293168091432221E-9</v>
      </c>
      <c r="R45" s="52">
        <f t="shared" si="54"/>
        <v>3.4473068277444845E-7</v>
      </c>
      <c r="S45" s="155">
        <v>-854000</v>
      </c>
      <c r="T45" s="26">
        <f t="shared" si="55"/>
        <v>-854000</v>
      </c>
      <c r="U45" s="52">
        <f t="shared" si="56"/>
        <v>0</v>
      </c>
      <c r="V45" s="153">
        <f t="shared" si="57"/>
        <v>0</v>
      </c>
    </row>
    <row r="46" spans="1:22" ht="15.75" thickBot="1" x14ac:dyDescent="0.3">
      <c r="B46" s="48">
        <v>0.12345</v>
      </c>
      <c r="C46" s="158">
        <v>12.345000000000001</v>
      </c>
      <c r="D46" s="59">
        <f t="shared" si="43"/>
        <v>12.345000000000001</v>
      </c>
      <c r="E46" s="57">
        <f t="shared" si="44"/>
        <v>0</v>
      </c>
      <c r="F46" s="57">
        <f t="shared" si="45"/>
        <v>0</v>
      </c>
      <c r="G46" s="158">
        <v>0.40501999999999999</v>
      </c>
      <c r="H46" s="59">
        <f t="shared" si="46"/>
        <v>0.40501968503937008</v>
      </c>
      <c r="I46" s="57">
        <f t="shared" si="47"/>
        <v>3.1496062991021034E-7</v>
      </c>
      <c r="J46" s="57">
        <f t="shared" si="48"/>
        <v>7.77642770325088E-5</v>
      </c>
      <c r="K46" s="158">
        <v>4.8602400000000001</v>
      </c>
      <c r="L46" s="59">
        <f t="shared" si="49"/>
        <v>4.8602362204724407</v>
      </c>
      <c r="M46" s="57">
        <f t="shared" si="50"/>
        <v>3.7795275593666133E-6</v>
      </c>
      <c r="N46" s="57">
        <f t="shared" si="51"/>
        <v>7.7764277041645995E-5</v>
      </c>
      <c r="O46" s="158">
        <v>7.6708273681698897E-5</v>
      </c>
      <c r="P46" s="59">
        <f t="shared" si="52"/>
        <v>7.6708273681698884E-5</v>
      </c>
      <c r="Q46" s="57">
        <f t="shared" si="53"/>
        <v>0</v>
      </c>
      <c r="R46" s="57">
        <f t="shared" si="54"/>
        <v>0</v>
      </c>
      <c r="S46" s="158">
        <v>123.45</v>
      </c>
      <c r="T46" s="59">
        <f t="shared" si="55"/>
        <v>123.45</v>
      </c>
      <c r="U46" s="57">
        <f t="shared" si="56"/>
        <v>0</v>
      </c>
      <c r="V46" s="163">
        <f t="shared" si="57"/>
        <v>0</v>
      </c>
    </row>
    <row r="47" spans="1:22" ht="15.75" thickBot="1" x14ac:dyDescent="0.3">
      <c r="D47" s="165"/>
      <c r="E47" s="164"/>
      <c r="F47" s="164"/>
      <c r="G47" s="165"/>
      <c r="H47" s="165"/>
      <c r="I47" s="164"/>
      <c r="J47" s="164"/>
      <c r="K47" s="165"/>
      <c r="L47" s="165"/>
      <c r="M47" s="164"/>
      <c r="N47" s="164"/>
      <c r="O47" s="165"/>
      <c r="P47" s="165"/>
      <c r="Q47" s="164"/>
      <c r="R47" s="164"/>
      <c r="S47" s="165"/>
      <c r="T47" s="165"/>
      <c r="U47" s="164"/>
      <c r="V47" s="164"/>
    </row>
    <row r="48" spans="1:22" x14ac:dyDescent="0.25">
      <c r="B48" s="341" t="s">
        <v>10</v>
      </c>
      <c r="C48" s="62" t="s">
        <v>14</v>
      </c>
      <c r="D48" s="168" t="s">
        <v>14</v>
      </c>
      <c r="E48" s="343" t="s">
        <v>354</v>
      </c>
      <c r="F48" s="352" t="s">
        <v>355</v>
      </c>
      <c r="G48" s="166" t="s">
        <v>14</v>
      </c>
      <c r="H48" s="168" t="s">
        <v>14</v>
      </c>
      <c r="I48" s="343" t="s">
        <v>354</v>
      </c>
      <c r="J48" s="352" t="s">
        <v>355</v>
      </c>
      <c r="K48" s="166" t="s">
        <v>14</v>
      </c>
      <c r="L48" s="168" t="s">
        <v>14</v>
      </c>
      <c r="M48" s="343" t="s">
        <v>354</v>
      </c>
      <c r="N48" s="352" t="s">
        <v>355</v>
      </c>
      <c r="O48" s="166" t="s">
        <v>14</v>
      </c>
      <c r="P48" s="168" t="s">
        <v>14</v>
      </c>
      <c r="Q48" s="343" t="s">
        <v>354</v>
      </c>
      <c r="R48" s="352" t="s">
        <v>355</v>
      </c>
      <c r="S48" s="166" t="s">
        <v>14</v>
      </c>
      <c r="T48" s="168" t="s">
        <v>14</v>
      </c>
      <c r="U48" s="343" t="s">
        <v>354</v>
      </c>
      <c r="V48" s="357" t="s">
        <v>355</v>
      </c>
    </row>
    <row r="49" spans="2:22" ht="15.75" thickBot="1" x14ac:dyDescent="0.3">
      <c r="B49" s="342"/>
      <c r="C49" s="63" t="s">
        <v>290</v>
      </c>
      <c r="D49" s="169" t="s">
        <v>291</v>
      </c>
      <c r="E49" s="344"/>
      <c r="F49" s="353"/>
      <c r="G49" s="167" t="s">
        <v>290</v>
      </c>
      <c r="H49" s="169" t="s">
        <v>291</v>
      </c>
      <c r="I49" s="344"/>
      <c r="J49" s="353"/>
      <c r="K49" s="167" t="s">
        <v>290</v>
      </c>
      <c r="L49" s="169" t="s">
        <v>291</v>
      </c>
      <c r="M49" s="344"/>
      <c r="N49" s="353"/>
      <c r="O49" s="167" t="s">
        <v>290</v>
      </c>
      <c r="P49" s="169" t="s">
        <v>291</v>
      </c>
      <c r="Q49" s="344"/>
      <c r="R49" s="353"/>
      <c r="S49" s="167" t="s">
        <v>290</v>
      </c>
      <c r="T49" s="169" t="s">
        <v>291</v>
      </c>
      <c r="U49" s="344"/>
      <c r="V49" s="358"/>
    </row>
    <row r="50" spans="2:22" x14ac:dyDescent="0.25">
      <c r="B50" s="346" t="s">
        <v>41</v>
      </c>
      <c r="C50" s="355" t="s">
        <v>37</v>
      </c>
      <c r="D50" s="170" t="s">
        <v>37</v>
      </c>
      <c r="E50" s="344"/>
      <c r="F50" s="354"/>
      <c r="G50" s="360" t="s">
        <v>38</v>
      </c>
      <c r="H50" s="170" t="s">
        <v>38</v>
      </c>
      <c r="I50" s="344"/>
      <c r="J50" s="354"/>
      <c r="K50" s="350" t="s">
        <v>39</v>
      </c>
      <c r="L50" s="170" t="s">
        <v>39</v>
      </c>
      <c r="M50" s="344"/>
      <c r="N50" s="354"/>
      <c r="O50" s="350" t="s">
        <v>40</v>
      </c>
      <c r="P50" s="170" t="s">
        <v>40</v>
      </c>
      <c r="Q50" s="344"/>
      <c r="R50" s="354"/>
      <c r="S50" s="350" t="s">
        <v>42</v>
      </c>
      <c r="T50" s="170" t="s">
        <v>42</v>
      </c>
      <c r="U50" s="344"/>
      <c r="V50" s="358"/>
    </row>
    <row r="51" spans="2:22" ht="30.75" thickBot="1" x14ac:dyDescent="0.3">
      <c r="B51" s="347"/>
      <c r="C51" s="356"/>
      <c r="D51" s="171" t="s">
        <v>109</v>
      </c>
      <c r="E51" s="345"/>
      <c r="F51" s="345"/>
      <c r="G51" s="361"/>
      <c r="H51" s="171" t="s">
        <v>110</v>
      </c>
      <c r="I51" s="345"/>
      <c r="J51" s="345"/>
      <c r="K51" s="351"/>
      <c r="L51" s="171" t="s">
        <v>111</v>
      </c>
      <c r="M51" s="345"/>
      <c r="N51" s="345"/>
      <c r="O51" s="351"/>
      <c r="P51" s="173" t="s">
        <v>108</v>
      </c>
      <c r="Q51" s="345"/>
      <c r="R51" s="345"/>
      <c r="S51" s="351"/>
      <c r="T51" s="171" t="s">
        <v>112</v>
      </c>
      <c r="U51" s="345"/>
      <c r="V51" s="359"/>
    </row>
    <row r="52" spans="2:22" x14ac:dyDescent="0.25">
      <c r="B52" s="44">
        <v>1</v>
      </c>
      <c r="C52" s="157">
        <v>160934</v>
      </c>
      <c r="D52" s="58">
        <f>P52*100</f>
        <v>160934.39999999999</v>
      </c>
      <c r="E52" s="54">
        <f>C52-D52</f>
        <v>-0.39999999999417923</v>
      </c>
      <c r="F52" s="54">
        <f t="shared" ref="F52:F57" si="58">100/(D52/C52)</f>
        <v>99.99975145152311</v>
      </c>
      <c r="G52" s="157">
        <v>5280</v>
      </c>
      <c r="H52" s="58">
        <f>P52/0.3048</f>
        <v>5280</v>
      </c>
      <c r="I52" s="54">
        <f>G52-H52</f>
        <v>0</v>
      </c>
      <c r="J52" s="54">
        <f>(100*I52)/H52</f>
        <v>0</v>
      </c>
      <c r="K52" s="157">
        <v>63360</v>
      </c>
      <c r="L52" s="58">
        <f>P52*100/2.54</f>
        <v>63360</v>
      </c>
      <c r="M52" s="54">
        <f>K52-L52</f>
        <v>0</v>
      </c>
      <c r="N52" s="54">
        <f>(100*M52)/L52</f>
        <v>0</v>
      </c>
      <c r="O52" s="157">
        <v>1609.34</v>
      </c>
      <c r="P52" s="58">
        <f>B52*63360*2.54/100</f>
        <v>1609.3440000000001</v>
      </c>
      <c r="Q52" s="54">
        <f>O52-P52</f>
        <v>-4.0000000001327862E-3</v>
      </c>
      <c r="R52" s="54">
        <f>(100*Q52)/P52</f>
        <v>-2.4854847690318455E-4</v>
      </c>
      <c r="S52" s="154">
        <v>1609344</v>
      </c>
      <c r="T52" s="58">
        <f>P52*1000</f>
        <v>1609344</v>
      </c>
      <c r="U52" s="54">
        <f>S52-T52</f>
        <v>0</v>
      </c>
      <c r="V52" s="162">
        <f>(100*U52)/T52</f>
        <v>0</v>
      </c>
    </row>
    <row r="53" spans="2:22" x14ac:dyDescent="0.25">
      <c r="B53" s="47">
        <v>624</v>
      </c>
      <c r="C53" s="155">
        <v>100423066</v>
      </c>
      <c r="D53" s="26">
        <f t="shared" ref="D53:D57" si="59">P53*100</f>
        <v>100423065.59999999</v>
      </c>
      <c r="E53" s="52">
        <f t="shared" ref="E53:E57" si="60">C53-D53</f>
        <v>0.40000000596046448</v>
      </c>
      <c r="F53" s="52">
        <f t="shared" si="58"/>
        <v>100.00000039831487</v>
      </c>
      <c r="G53" s="155">
        <v>3294720</v>
      </c>
      <c r="H53" s="26">
        <f t="shared" ref="H53:H57" si="61">P53/0.3048</f>
        <v>3294719.9999999995</v>
      </c>
      <c r="I53" s="52">
        <f t="shared" ref="I53:I57" si="62">G53-H53</f>
        <v>0</v>
      </c>
      <c r="J53" s="52">
        <f t="shared" ref="J53:J57" si="63">(100*I53)/H53</f>
        <v>0</v>
      </c>
      <c r="K53" s="155">
        <v>39536640</v>
      </c>
      <c r="L53" s="26">
        <f t="shared" ref="L53:L57" si="64">P53*100/2.54</f>
        <v>39536640</v>
      </c>
      <c r="M53" s="52">
        <f t="shared" ref="M53:M57" si="65">K53-L53</f>
        <v>0</v>
      </c>
      <c r="N53" s="52">
        <f t="shared" ref="N53:N57" si="66">(100*M53)/L53</f>
        <v>0</v>
      </c>
      <c r="O53" s="155">
        <v>1004231</v>
      </c>
      <c r="P53" s="26">
        <f t="shared" ref="P53:P57" si="67">B53*63360*2.54/100</f>
        <v>1004230.656</v>
      </c>
      <c r="Q53" s="52">
        <f t="shared" ref="Q53:Q57" si="68">O53-P53</f>
        <v>0.34400000004097819</v>
      </c>
      <c r="R53" s="52">
        <f t="shared" ref="R53:R57" si="69">(100*Q53)/P53</f>
        <v>3.4255078550497686E-5</v>
      </c>
      <c r="S53" s="155">
        <v>1004230656</v>
      </c>
      <c r="T53" s="26">
        <f t="shared" ref="T53:T57" si="70">P53*1000</f>
        <v>1004230656</v>
      </c>
      <c r="U53" s="52">
        <f t="shared" ref="U53:U57" si="71">S53-T53</f>
        <v>0</v>
      </c>
      <c r="V53" s="153">
        <f t="shared" ref="V53:V57" si="72">(100*U53)/T53</f>
        <v>0</v>
      </c>
    </row>
    <row r="54" spans="2:22" x14ac:dyDescent="0.25">
      <c r="B54" s="47">
        <v>2687</v>
      </c>
      <c r="C54" s="159">
        <v>432430733</v>
      </c>
      <c r="D54" s="26">
        <f t="shared" si="59"/>
        <v>432430732.79999995</v>
      </c>
      <c r="E54" s="52">
        <f t="shared" si="60"/>
        <v>0.20000004768371582</v>
      </c>
      <c r="F54" s="52">
        <f t="shared" si="58"/>
        <v>100.00000004625019</v>
      </c>
      <c r="G54" s="155">
        <v>14187360</v>
      </c>
      <c r="H54" s="26">
        <f t="shared" si="61"/>
        <v>14187359.999999998</v>
      </c>
      <c r="I54" s="52">
        <f t="shared" si="62"/>
        <v>0</v>
      </c>
      <c r="J54" s="52">
        <f t="shared" si="63"/>
        <v>0</v>
      </c>
      <c r="K54" s="159">
        <v>170248320</v>
      </c>
      <c r="L54" s="26">
        <f t="shared" si="64"/>
        <v>170248319.99999997</v>
      </c>
      <c r="M54" s="52">
        <f t="shared" si="65"/>
        <v>0</v>
      </c>
      <c r="N54" s="52">
        <f t="shared" si="66"/>
        <v>0</v>
      </c>
      <c r="O54" s="155">
        <v>4324307</v>
      </c>
      <c r="P54" s="26">
        <f t="shared" si="67"/>
        <v>4324307.3279999997</v>
      </c>
      <c r="Q54" s="52">
        <f t="shared" si="68"/>
        <v>-0.32799999974668026</v>
      </c>
      <c r="R54" s="52">
        <f t="shared" si="69"/>
        <v>-7.5850298063431323E-6</v>
      </c>
      <c r="S54" s="155">
        <v>4324307328</v>
      </c>
      <c r="T54" s="26">
        <f t="shared" si="70"/>
        <v>4324307328</v>
      </c>
      <c r="U54" s="52">
        <f t="shared" si="71"/>
        <v>0</v>
      </c>
      <c r="V54" s="153">
        <f t="shared" si="72"/>
        <v>0</v>
      </c>
    </row>
    <row r="55" spans="2:22" x14ac:dyDescent="0.25">
      <c r="B55" s="47">
        <v>2233445566</v>
      </c>
      <c r="C55" s="155">
        <v>359438222096870</v>
      </c>
      <c r="D55" s="26">
        <f t="shared" si="59"/>
        <v>359438222096870.37</v>
      </c>
      <c r="E55" s="52">
        <f t="shared" si="60"/>
        <v>0</v>
      </c>
      <c r="F55" s="52">
        <f t="shared" si="58"/>
        <v>99.999999999999886</v>
      </c>
      <c r="G55" s="155">
        <v>11792592588480</v>
      </c>
      <c r="H55" s="26">
        <f t="shared" si="61"/>
        <v>11792592588479.998</v>
      </c>
      <c r="I55" s="52">
        <f t="shared" si="62"/>
        <v>0</v>
      </c>
      <c r="J55" s="52">
        <f t="shared" si="63"/>
        <v>0</v>
      </c>
      <c r="K55" s="155">
        <v>141511111061760</v>
      </c>
      <c r="L55" s="26">
        <f t="shared" si="64"/>
        <v>141511111061760</v>
      </c>
      <c r="M55" s="52">
        <f t="shared" si="65"/>
        <v>0</v>
      </c>
      <c r="N55" s="52">
        <f t="shared" si="66"/>
        <v>0</v>
      </c>
      <c r="O55" s="155">
        <v>3594382220969</v>
      </c>
      <c r="P55" s="26">
        <f t="shared" si="67"/>
        <v>3594382220968.7036</v>
      </c>
      <c r="Q55" s="52">
        <f t="shared" si="68"/>
        <v>0.29638671875</v>
      </c>
      <c r="R55" s="52">
        <f t="shared" si="69"/>
        <v>8.2458319825019152E-12</v>
      </c>
      <c r="S55" s="155">
        <v>3594382220968700</v>
      </c>
      <c r="T55" s="26">
        <f t="shared" si="70"/>
        <v>3594382220968703.5</v>
      </c>
      <c r="U55" s="52">
        <f t="shared" si="71"/>
        <v>0</v>
      </c>
      <c r="V55" s="153">
        <f t="shared" si="72"/>
        <v>0</v>
      </c>
    </row>
    <row r="56" spans="2:22" x14ac:dyDescent="0.25">
      <c r="B56" s="47">
        <v>-854</v>
      </c>
      <c r="C56" s="155">
        <v>-137437978</v>
      </c>
      <c r="D56" s="26">
        <f t="shared" si="59"/>
        <v>-137437977.59999999</v>
      </c>
      <c r="E56" s="52">
        <f t="shared" si="60"/>
        <v>-0.40000000596046448</v>
      </c>
      <c r="F56" s="52">
        <f t="shared" si="58"/>
        <v>100.00000029104037</v>
      </c>
      <c r="G56" s="155">
        <v>-4509120</v>
      </c>
      <c r="H56" s="26">
        <f t="shared" si="61"/>
        <v>-4509119.9999999991</v>
      </c>
      <c r="I56" s="52">
        <f t="shared" si="62"/>
        <v>0</v>
      </c>
      <c r="J56" s="52">
        <f t="shared" si="63"/>
        <v>0</v>
      </c>
      <c r="K56" s="155">
        <v>-54109440</v>
      </c>
      <c r="L56" s="26">
        <f t="shared" si="64"/>
        <v>-54109440</v>
      </c>
      <c r="M56" s="52">
        <f t="shared" si="65"/>
        <v>0</v>
      </c>
      <c r="N56" s="52">
        <f t="shared" si="66"/>
        <v>0</v>
      </c>
      <c r="O56" s="155">
        <v>-1374380</v>
      </c>
      <c r="P56" s="26">
        <f>B56*63360*2.54/100</f>
        <v>-1374379.7759999998</v>
      </c>
      <c r="Q56" s="52">
        <f t="shared" si="68"/>
        <v>-0.22400000016205013</v>
      </c>
      <c r="R56" s="52">
        <f t="shared" si="69"/>
        <v>1.6298260791786429E-5</v>
      </c>
      <c r="S56" s="155">
        <v>-1374379776</v>
      </c>
      <c r="T56" s="26">
        <f t="shared" si="70"/>
        <v>-1374379775.9999998</v>
      </c>
      <c r="U56" s="52">
        <f t="shared" si="71"/>
        <v>0</v>
      </c>
      <c r="V56" s="153">
        <f t="shared" si="72"/>
        <v>0</v>
      </c>
    </row>
    <row r="57" spans="2:22" ht="15.75" thickBot="1" x14ac:dyDescent="0.3">
      <c r="B57" s="48">
        <v>0.12345</v>
      </c>
      <c r="C57" s="158">
        <v>19867.400000000001</v>
      </c>
      <c r="D57" s="59">
        <f t="shared" si="59"/>
        <v>19867.35168</v>
      </c>
      <c r="E57" s="57">
        <f t="shared" si="60"/>
        <v>4.8320000001695007E-2</v>
      </c>
      <c r="F57" s="57">
        <f t="shared" si="58"/>
        <v>100.0002432130904</v>
      </c>
      <c r="G57" s="158">
        <v>651.81600000000003</v>
      </c>
      <c r="H57" s="59">
        <f t="shared" si="61"/>
        <v>651.81599999999992</v>
      </c>
      <c r="I57" s="57">
        <f t="shared" si="62"/>
        <v>0</v>
      </c>
      <c r="J57" s="57">
        <f t="shared" si="63"/>
        <v>0</v>
      </c>
      <c r="K57" s="158">
        <v>7821.79</v>
      </c>
      <c r="L57" s="59">
        <f t="shared" si="64"/>
        <v>7821.7919999999995</v>
      </c>
      <c r="M57" s="57">
        <f t="shared" si="65"/>
        <v>-1.9999999994979589E-3</v>
      </c>
      <c r="N57" s="57">
        <f t="shared" si="66"/>
        <v>-2.5569588139111332E-5</v>
      </c>
      <c r="O57" s="158">
        <v>198.67400000000001</v>
      </c>
      <c r="P57" s="59">
        <f t="shared" si="67"/>
        <v>198.67351679999999</v>
      </c>
      <c r="Q57" s="57">
        <f t="shared" si="68"/>
        <v>4.8320000001922381E-4</v>
      </c>
      <c r="R57" s="57">
        <f t="shared" si="69"/>
        <v>2.4321309040180227E-4</v>
      </c>
      <c r="S57" s="158">
        <v>198674</v>
      </c>
      <c r="T57" s="59">
        <f t="shared" si="70"/>
        <v>198673.51679999998</v>
      </c>
      <c r="U57" s="57">
        <f t="shared" si="71"/>
        <v>0.48320000001695007</v>
      </c>
      <c r="V57" s="163">
        <f t="shared" si="72"/>
        <v>2.4321309040065782E-4</v>
      </c>
    </row>
    <row r="58" spans="2:22" ht="15.75" thickBot="1" x14ac:dyDescent="0.3">
      <c r="D58" s="165"/>
      <c r="E58" s="164"/>
      <c r="F58" s="164"/>
      <c r="G58" s="165"/>
      <c r="H58" s="165"/>
      <c r="I58" s="164"/>
      <c r="J58" s="164"/>
      <c r="K58" s="165"/>
      <c r="L58" s="165"/>
      <c r="M58" s="164"/>
      <c r="N58" s="164"/>
      <c r="O58" s="165"/>
      <c r="P58" s="165"/>
      <c r="Q58" s="164"/>
      <c r="R58" s="164"/>
      <c r="S58" s="165"/>
      <c r="T58" s="165"/>
      <c r="U58" s="164"/>
      <c r="V58" s="164"/>
    </row>
    <row r="59" spans="2:22" x14ac:dyDescent="0.25">
      <c r="B59" s="341" t="s">
        <v>10</v>
      </c>
      <c r="C59" s="62" t="s">
        <v>14</v>
      </c>
      <c r="D59" s="168" t="s">
        <v>14</v>
      </c>
      <c r="E59" s="343" t="s">
        <v>354</v>
      </c>
      <c r="F59" s="352" t="s">
        <v>355</v>
      </c>
      <c r="G59" s="166" t="s">
        <v>14</v>
      </c>
      <c r="H59" s="168" t="s">
        <v>14</v>
      </c>
      <c r="I59" s="343" t="s">
        <v>354</v>
      </c>
      <c r="J59" s="352" t="s">
        <v>355</v>
      </c>
      <c r="K59" s="166" t="s">
        <v>14</v>
      </c>
      <c r="L59" s="168" t="s">
        <v>14</v>
      </c>
      <c r="M59" s="343" t="s">
        <v>354</v>
      </c>
      <c r="N59" s="352" t="s">
        <v>355</v>
      </c>
      <c r="O59" s="166" t="s">
        <v>14</v>
      </c>
      <c r="P59" s="168" t="s">
        <v>14</v>
      </c>
      <c r="Q59" s="343" t="s">
        <v>354</v>
      </c>
      <c r="R59" s="352" t="s">
        <v>355</v>
      </c>
      <c r="S59" s="166" t="s">
        <v>14</v>
      </c>
      <c r="T59" s="168" t="s">
        <v>14</v>
      </c>
      <c r="U59" s="343" t="s">
        <v>354</v>
      </c>
      <c r="V59" s="357" t="s">
        <v>355</v>
      </c>
    </row>
    <row r="60" spans="2:22" ht="15.75" thickBot="1" x14ac:dyDescent="0.3">
      <c r="B60" s="342"/>
      <c r="C60" s="63" t="s">
        <v>290</v>
      </c>
      <c r="D60" s="169" t="s">
        <v>291</v>
      </c>
      <c r="E60" s="344"/>
      <c r="F60" s="353"/>
      <c r="G60" s="167" t="s">
        <v>290</v>
      </c>
      <c r="H60" s="169" t="s">
        <v>291</v>
      </c>
      <c r="I60" s="344"/>
      <c r="J60" s="353"/>
      <c r="K60" s="167" t="s">
        <v>290</v>
      </c>
      <c r="L60" s="169" t="s">
        <v>291</v>
      </c>
      <c r="M60" s="344"/>
      <c r="N60" s="353"/>
      <c r="O60" s="167" t="s">
        <v>290</v>
      </c>
      <c r="P60" s="169" t="s">
        <v>291</v>
      </c>
      <c r="Q60" s="344"/>
      <c r="R60" s="353"/>
      <c r="S60" s="167" t="s">
        <v>290</v>
      </c>
      <c r="T60" s="169" t="s">
        <v>291</v>
      </c>
      <c r="U60" s="344"/>
      <c r="V60" s="358"/>
    </row>
    <row r="61" spans="2:22" x14ac:dyDescent="0.25">
      <c r="B61" s="348" t="s">
        <v>42</v>
      </c>
      <c r="C61" s="355" t="s">
        <v>37</v>
      </c>
      <c r="D61" s="170" t="s">
        <v>37</v>
      </c>
      <c r="E61" s="344"/>
      <c r="F61" s="354"/>
      <c r="G61" s="360" t="s">
        <v>38</v>
      </c>
      <c r="H61" s="170" t="s">
        <v>38</v>
      </c>
      <c r="I61" s="344"/>
      <c r="J61" s="354"/>
      <c r="K61" s="350" t="s">
        <v>39</v>
      </c>
      <c r="L61" s="170" t="s">
        <v>39</v>
      </c>
      <c r="M61" s="344"/>
      <c r="N61" s="354"/>
      <c r="O61" s="350" t="s">
        <v>40</v>
      </c>
      <c r="P61" s="170" t="s">
        <v>40</v>
      </c>
      <c r="Q61" s="344"/>
      <c r="R61" s="354"/>
      <c r="S61" s="350" t="s">
        <v>41</v>
      </c>
      <c r="T61" s="170" t="s">
        <v>41</v>
      </c>
      <c r="U61" s="344"/>
      <c r="V61" s="358"/>
    </row>
    <row r="62" spans="2:22" ht="30.75" thickBot="1" x14ac:dyDescent="0.3">
      <c r="B62" s="349"/>
      <c r="C62" s="356"/>
      <c r="D62" s="171" t="s">
        <v>114</v>
      </c>
      <c r="E62" s="345"/>
      <c r="F62" s="345"/>
      <c r="G62" s="361"/>
      <c r="H62" s="171" t="s">
        <v>115</v>
      </c>
      <c r="I62" s="345"/>
      <c r="J62" s="345"/>
      <c r="K62" s="351"/>
      <c r="L62" s="171" t="s">
        <v>116</v>
      </c>
      <c r="M62" s="345"/>
      <c r="N62" s="345"/>
      <c r="O62" s="351"/>
      <c r="P62" s="173" t="s">
        <v>113</v>
      </c>
      <c r="Q62" s="345"/>
      <c r="R62" s="345"/>
      <c r="S62" s="351"/>
      <c r="T62" s="171" t="s">
        <v>117</v>
      </c>
      <c r="U62" s="345"/>
      <c r="V62" s="359"/>
    </row>
    <row r="63" spans="2:22" x14ac:dyDescent="0.25">
      <c r="B63" s="44">
        <v>1</v>
      </c>
      <c r="C63" s="157">
        <v>0.1</v>
      </c>
      <c r="D63" s="58">
        <f>P63*100</f>
        <v>0.1</v>
      </c>
      <c r="E63" s="54">
        <f>C63-D63</f>
        <v>0</v>
      </c>
      <c r="F63" s="54">
        <f t="shared" ref="F63:F68" si="73">100/(D63/C63)</f>
        <v>100</v>
      </c>
      <c r="G63" s="157">
        <v>3.2808400000000001E-3</v>
      </c>
      <c r="H63" s="58">
        <f>P63/0.3048</f>
        <v>3.2808398950131233E-3</v>
      </c>
      <c r="I63" s="54">
        <f>G63-H63</f>
        <v>1.0498687683102581E-10</v>
      </c>
      <c r="J63" s="54">
        <f>(100*I63)/H63</f>
        <v>3.2000000058096667E-6</v>
      </c>
      <c r="K63" s="157">
        <v>3.9370099999999998E-2</v>
      </c>
      <c r="L63" s="58">
        <f>P63*100/2.54</f>
        <v>3.937007874015748E-2</v>
      </c>
      <c r="M63" s="54">
        <f>K63-L63</f>
        <v>2.1259842518384087E-8</v>
      </c>
      <c r="N63" s="54">
        <f>(100*M63)/L63</f>
        <v>5.399999999669558E-5</v>
      </c>
      <c r="O63" s="157">
        <v>1E-3</v>
      </c>
      <c r="P63" s="174">
        <f>B63/1000</f>
        <v>1E-3</v>
      </c>
      <c r="Q63" s="54">
        <f>O63-P63</f>
        <v>0</v>
      </c>
      <c r="R63" s="54">
        <f>(100*Q63)/P63</f>
        <v>0</v>
      </c>
      <c r="S63" s="154">
        <v>6.2137119223733397E-7</v>
      </c>
      <c r="T63" s="58">
        <f>P63/63360/2.54*100</f>
        <v>6.2137119223733397E-7</v>
      </c>
      <c r="U63" s="54">
        <f>S63-T63</f>
        <v>0</v>
      </c>
      <c r="V63" s="162">
        <f>(100*U63)/T63</f>
        <v>0</v>
      </c>
    </row>
    <row r="64" spans="2:22" x14ac:dyDescent="0.25">
      <c r="B64" s="47">
        <v>624</v>
      </c>
      <c r="C64" s="155">
        <v>62.4</v>
      </c>
      <c r="D64" s="26">
        <f t="shared" ref="D64:D68" si="74">P64*100</f>
        <v>62.4</v>
      </c>
      <c r="E64" s="52">
        <f t="shared" ref="E64:E68" si="75">C64-D64</f>
        <v>0</v>
      </c>
      <c r="F64" s="52">
        <f t="shared" si="73"/>
        <v>100</v>
      </c>
      <c r="G64" s="155">
        <v>2.0472399999999999</v>
      </c>
      <c r="H64" s="26">
        <f t="shared" ref="H64:H68" si="76">P64/0.3048</f>
        <v>2.0472440944881889</v>
      </c>
      <c r="I64" s="52">
        <f t="shared" ref="I64:I68" si="77">G64-H64</f>
        <v>-4.0944881889437568E-6</v>
      </c>
      <c r="J64" s="52">
        <f t="shared" ref="J64:J68" si="78">(100*I64)/H64</f>
        <v>-1.9999999999840658E-4</v>
      </c>
      <c r="K64" s="155">
        <v>24.5669</v>
      </c>
      <c r="L64" s="26">
        <f t="shared" ref="L64:L68" si="79">P64*100/2.54</f>
        <v>24.566929133858267</v>
      </c>
      <c r="M64" s="52">
        <f t="shared" ref="M64:M68" si="80">K64-L64</f>
        <v>-2.9133858266305879E-5</v>
      </c>
      <c r="N64" s="52">
        <f t="shared" ref="N64:N68" si="81">(100*M64)/L64</f>
        <v>-1.185897435840015E-4</v>
      </c>
      <c r="O64" s="155">
        <v>0.624</v>
      </c>
      <c r="P64" s="175">
        <f t="shared" ref="P64:P68" si="82">B64/1000</f>
        <v>0.624</v>
      </c>
      <c r="Q64" s="52">
        <f t="shared" ref="Q64:Q68" si="83">O64-P64</f>
        <v>0</v>
      </c>
      <c r="R64" s="52">
        <f t="shared" ref="R64:R68" si="84">(100*Q64)/P64</f>
        <v>0</v>
      </c>
      <c r="S64" s="155">
        <v>3.8773600000000002E-4</v>
      </c>
      <c r="T64" s="26">
        <f t="shared" ref="T64:T68" si="85">P64/63360/2.54*100</f>
        <v>3.8773562395609643E-4</v>
      </c>
      <c r="U64" s="52">
        <f t="shared" ref="U64:U67" si="86">S64-T64</f>
        <v>3.760439035898136E-10</v>
      </c>
      <c r="V64" s="153">
        <f t="shared" ref="V64:V68" si="87">(100*U64)/T64</f>
        <v>9.6984615381225149E-5</v>
      </c>
    </row>
    <row r="65" spans="2:22" x14ac:dyDescent="0.25">
      <c r="B65" s="47">
        <v>2687</v>
      </c>
      <c r="C65" s="159">
        <v>268.7</v>
      </c>
      <c r="D65" s="26">
        <f t="shared" si="74"/>
        <v>268.7</v>
      </c>
      <c r="E65" s="52">
        <f t="shared" si="75"/>
        <v>0</v>
      </c>
      <c r="F65" s="52">
        <f t="shared" si="73"/>
        <v>100</v>
      </c>
      <c r="G65" s="155">
        <v>8.8156199999999991</v>
      </c>
      <c r="H65" s="26">
        <f t="shared" si="76"/>
        <v>8.8156167979002618</v>
      </c>
      <c r="I65" s="52">
        <f t="shared" si="77"/>
        <v>3.2020997373649607E-6</v>
      </c>
      <c r="J65" s="52">
        <f t="shared" si="78"/>
        <v>3.6323036842160031E-5</v>
      </c>
      <c r="K65" s="159">
        <v>105.78700000000001</v>
      </c>
      <c r="L65" s="26">
        <f t="shared" si="79"/>
        <v>105.78740157480314</v>
      </c>
      <c r="M65" s="52">
        <f t="shared" si="80"/>
        <v>-4.0157480313496308E-4</v>
      </c>
      <c r="N65" s="52">
        <f t="shared" si="81"/>
        <v>-3.7960550798764656E-4</v>
      </c>
      <c r="O65" s="155">
        <v>2.6869999999999998</v>
      </c>
      <c r="P65" s="175">
        <f t="shared" si="82"/>
        <v>2.6869999999999998</v>
      </c>
      <c r="Q65" s="52">
        <f t="shared" si="83"/>
        <v>0</v>
      </c>
      <c r="R65" s="52">
        <f t="shared" si="84"/>
        <v>0</v>
      </c>
      <c r="S65" s="155">
        <v>1.6696199999999999E-3</v>
      </c>
      <c r="T65" s="26">
        <f t="shared" si="85"/>
        <v>1.6696243935417166E-3</v>
      </c>
      <c r="U65" s="52">
        <f t="shared" si="86"/>
        <v>-4.3935417166386659E-9</v>
      </c>
      <c r="V65" s="153">
        <f t="shared" si="87"/>
        <v>-2.6314551546044424E-4</v>
      </c>
    </row>
    <row r="66" spans="2:22" x14ac:dyDescent="0.25">
      <c r="B66" s="47">
        <v>2233445566</v>
      </c>
      <c r="C66" s="155">
        <v>223344557</v>
      </c>
      <c r="D66" s="26">
        <f t="shared" si="74"/>
        <v>223344556.60000002</v>
      </c>
      <c r="E66" s="52">
        <f t="shared" si="75"/>
        <v>0.39999997615814209</v>
      </c>
      <c r="F66" s="52">
        <f t="shared" si="73"/>
        <v>100.00000017909547</v>
      </c>
      <c r="G66" s="155">
        <v>7327577</v>
      </c>
      <c r="H66" s="26">
        <f t="shared" si="76"/>
        <v>7327577.3162729656</v>
      </c>
      <c r="I66" s="52">
        <f t="shared" si="77"/>
        <v>-0.31627296563237906</v>
      </c>
      <c r="J66" s="52">
        <f t="shared" si="78"/>
        <v>-4.3162010031611012E-6</v>
      </c>
      <c r="K66" s="155">
        <v>87930928</v>
      </c>
      <c r="L66" s="26">
        <f t="shared" si="79"/>
        <v>87930927.795275599</v>
      </c>
      <c r="M66" s="52">
        <f t="shared" si="80"/>
        <v>0.20472440123558044</v>
      </c>
      <c r="N66" s="52">
        <f t="shared" si="81"/>
        <v>2.3282411134365397E-7</v>
      </c>
      <c r="O66" s="155">
        <v>2233446</v>
      </c>
      <c r="P66" s="175">
        <f t="shared" si="82"/>
        <v>2233445.5660000001</v>
      </c>
      <c r="Q66" s="52">
        <f t="shared" si="83"/>
        <v>0.43399999989196658</v>
      </c>
      <c r="R66" s="52">
        <f t="shared" si="84"/>
        <v>1.9431859298422075E-5</v>
      </c>
      <c r="S66" s="155">
        <v>1387.8</v>
      </c>
      <c r="T66" s="26">
        <f t="shared" si="85"/>
        <v>1387.7987341426071</v>
      </c>
      <c r="U66" s="52">
        <f t="shared" si="86"/>
        <v>1.2658573928092665E-3</v>
      </c>
      <c r="V66" s="153">
        <f t="shared" si="87"/>
        <v>9.121332666377758E-5</v>
      </c>
    </row>
    <row r="67" spans="2:22" x14ac:dyDescent="0.25">
      <c r="B67" s="47">
        <v>-854</v>
      </c>
      <c r="C67" s="155">
        <v>-85.4</v>
      </c>
      <c r="D67" s="26">
        <f t="shared" si="74"/>
        <v>-85.399999999999991</v>
      </c>
      <c r="E67" s="52">
        <f t="shared" si="75"/>
        <v>0</v>
      </c>
      <c r="F67" s="52">
        <f t="shared" si="73"/>
        <v>100.00000000000001</v>
      </c>
      <c r="G67" s="155">
        <v>-2.8018399999999999</v>
      </c>
      <c r="H67" s="26">
        <f t="shared" si="76"/>
        <v>-2.8018372703412071</v>
      </c>
      <c r="I67" s="52">
        <f t="shared" si="77"/>
        <v>-2.7296587927772009E-6</v>
      </c>
      <c r="J67" s="52">
        <f t="shared" si="78"/>
        <v>9.7423887592329149E-5</v>
      </c>
      <c r="K67" s="155">
        <v>-33.622</v>
      </c>
      <c r="L67" s="26">
        <f t="shared" si="79"/>
        <v>-33.622047244094482</v>
      </c>
      <c r="M67" s="52">
        <f t="shared" si="80"/>
        <v>4.7244094481868615E-5</v>
      </c>
      <c r="N67" s="52">
        <f t="shared" si="81"/>
        <v>-1.4051522246363735E-4</v>
      </c>
      <c r="O67" s="155">
        <v>-0.85399999999999998</v>
      </c>
      <c r="P67" s="175">
        <f t="shared" si="82"/>
        <v>-0.85399999999999998</v>
      </c>
      <c r="Q67" s="52">
        <f t="shared" si="83"/>
        <v>0</v>
      </c>
      <c r="R67" s="52">
        <f t="shared" si="84"/>
        <v>0</v>
      </c>
      <c r="S67" s="155">
        <v>-5.3065100000000004E-4</v>
      </c>
      <c r="T67" s="26">
        <f t="shared" si="85"/>
        <v>-5.3065099817068328E-4</v>
      </c>
      <c r="U67" s="52">
        <f t="shared" si="86"/>
        <v>-1.8293167544994327E-12</v>
      </c>
      <c r="V67" s="153">
        <f t="shared" si="87"/>
        <v>3.4473067247694783E-7</v>
      </c>
    </row>
    <row r="68" spans="2:22" ht="15.75" thickBot="1" x14ac:dyDescent="0.3">
      <c r="B68" s="48">
        <v>0.12345</v>
      </c>
      <c r="C68" s="158">
        <v>1.2345E-2</v>
      </c>
      <c r="D68" s="59">
        <f t="shared" si="74"/>
        <v>1.2344999999999998E-2</v>
      </c>
      <c r="E68" s="57">
        <f t="shared" si="75"/>
        <v>0</v>
      </c>
      <c r="F68" s="57">
        <f t="shared" si="73"/>
        <v>100.00000000000001</v>
      </c>
      <c r="G68" s="158">
        <v>4.0502000000000002E-4</v>
      </c>
      <c r="H68" s="59">
        <f t="shared" si="76"/>
        <v>4.0501968503937002E-4</v>
      </c>
      <c r="I68" s="57">
        <f t="shared" si="77"/>
        <v>3.1496063000518645E-10</v>
      </c>
      <c r="J68" s="57">
        <f t="shared" si="78"/>
        <v>7.7764277055958561E-5</v>
      </c>
      <c r="K68" s="158">
        <v>4.86024E-3</v>
      </c>
      <c r="L68" s="59">
        <f t="shared" si="79"/>
        <v>4.8602362204724402E-3</v>
      </c>
      <c r="M68" s="57">
        <f t="shared" si="80"/>
        <v>3.779527559845397E-9</v>
      </c>
      <c r="N68" s="57">
        <f t="shared" si="81"/>
        <v>7.7764277051497042E-5</v>
      </c>
      <c r="O68" s="158">
        <v>1.2344999999999999E-4</v>
      </c>
      <c r="P68" s="176">
        <f t="shared" si="82"/>
        <v>1.2344999999999999E-4</v>
      </c>
      <c r="Q68" s="57">
        <f t="shared" si="83"/>
        <v>0</v>
      </c>
      <c r="R68" s="57">
        <f t="shared" si="84"/>
        <v>0</v>
      </c>
      <c r="S68" s="158">
        <v>7.6708273681698904E-8</v>
      </c>
      <c r="T68" s="59">
        <f t="shared" si="85"/>
        <v>7.6708273681698878E-8</v>
      </c>
      <c r="U68" s="57">
        <f>S68-T68</f>
        <v>0</v>
      </c>
      <c r="V68" s="163">
        <f t="shared" si="87"/>
        <v>0</v>
      </c>
    </row>
  </sheetData>
  <mergeCells count="103">
    <mergeCell ref="V4:V7"/>
    <mergeCell ref="V15:V18"/>
    <mergeCell ref="V26:V29"/>
    <mergeCell ref="V37:V40"/>
    <mergeCell ref="B61:B62"/>
    <mergeCell ref="K17:K18"/>
    <mergeCell ref="K28:K29"/>
    <mergeCell ref="O50:O51"/>
    <mergeCell ref="O61:O62"/>
    <mergeCell ref="O17:O18"/>
    <mergeCell ref="O28:O29"/>
    <mergeCell ref="O39:O40"/>
    <mergeCell ref="C17:C18"/>
    <mergeCell ref="C28:C29"/>
    <mergeCell ref="C39:C40"/>
    <mergeCell ref="C50:C51"/>
    <mergeCell ref="C61:C62"/>
    <mergeCell ref="M48:M51"/>
    <mergeCell ref="M26:M29"/>
    <mergeCell ref="B48:B49"/>
    <mergeCell ref="E59:E62"/>
    <mergeCell ref="I59:I62"/>
    <mergeCell ref="M59:M62"/>
    <mergeCell ref="F59:F62"/>
    <mergeCell ref="N59:N62"/>
    <mergeCell ref="F15:F18"/>
    <mergeCell ref="J15:J18"/>
    <mergeCell ref="K61:K62"/>
    <mergeCell ref="G50:G51"/>
    <mergeCell ref="G61:G62"/>
    <mergeCell ref="S61:S62"/>
    <mergeCell ref="S50:S51"/>
    <mergeCell ref="F48:F51"/>
    <mergeCell ref="J48:J51"/>
    <mergeCell ref="N48:N51"/>
    <mergeCell ref="M37:M40"/>
    <mergeCell ref="K39:K40"/>
    <mergeCell ref="G28:G29"/>
    <mergeCell ref="G39:G40"/>
    <mergeCell ref="N37:N40"/>
    <mergeCell ref="J26:J29"/>
    <mergeCell ref="N26:N29"/>
    <mergeCell ref="J37:J40"/>
    <mergeCell ref="V48:V51"/>
    <mergeCell ref="Q48:Q51"/>
    <mergeCell ref="U48:U51"/>
    <mergeCell ref="Q59:Q62"/>
    <mergeCell ref="U59:U62"/>
    <mergeCell ref="R48:R51"/>
    <mergeCell ref="R59:R62"/>
    <mergeCell ref="V59:V62"/>
    <mergeCell ref="Q26:Q29"/>
    <mergeCell ref="U26:U29"/>
    <mergeCell ref="Q37:Q40"/>
    <mergeCell ref="U37:U40"/>
    <mergeCell ref="S28:S29"/>
    <mergeCell ref="S39:S40"/>
    <mergeCell ref="R37:R40"/>
    <mergeCell ref="R26:R29"/>
    <mergeCell ref="M4:M7"/>
    <mergeCell ref="Q4:Q7"/>
    <mergeCell ref="U4:U7"/>
    <mergeCell ref="E15:E18"/>
    <mergeCell ref="I15:I18"/>
    <mergeCell ref="M15:M18"/>
    <mergeCell ref="Q15:Q18"/>
    <mergeCell ref="U15:U18"/>
    <mergeCell ref="G6:G7"/>
    <mergeCell ref="K6:K7"/>
    <mergeCell ref="O6:O7"/>
    <mergeCell ref="S6:S7"/>
    <mergeCell ref="G17:G18"/>
    <mergeCell ref="S17:S18"/>
    <mergeCell ref="F4:F7"/>
    <mergeCell ref="J4:J7"/>
    <mergeCell ref="N4:N7"/>
    <mergeCell ref="R4:R7"/>
    <mergeCell ref="N15:N18"/>
    <mergeCell ref="R15:R18"/>
    <mergeCell ref="B1:K1"/>
    <mergeCell ref="B4:B5"/>
    <mergeCell ref="B15:B16"/>
    <mergeCell ref="B26:B27"/>
    <mergeCell ref="B37:B38"/>
    <mergeCell ref="B59:B60"/>
    <mergeCell ref="E4:E7"/>
    <mergeCell ref="I4:I7"/>
    <mergeCell ref="E26:E29"/>
    <mergeCell ref="I26:I29"/>
    <mergeCell ref="E48:E51"/>
    <mergeCell ref="I48:I51"/>
    <mergeCell ref="B6:B7"/>
    <mergeCell ref="C6:C7"/>
    <mergeCell ref="B17:B18"/>
    <mergeCell ref="B28:B29"/>
    <mergeCell ref="B39:B40"/>
    <mergeCell ref="B50:B51"/>
    <mergeCell ref="K50:K51"/>
    <mergeCell ref="E37:E40"/>
    <mergeCell ref="I37:I40"/>
    <mergeCell ref="F26:F29"/>
    <mergeCell ref="F37:F40"/>
    <mergeCell ref="J59:J62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N46"/>
  <sheetViews>
    <sheetView workbookViewId="0">
      <pane xSplit="2" ySplit="1" topLeftCell="H26" activePane="bottomRight" state="frozen"/>
      <selection pane="topRight" activeCell="C1" sqref="C1"/>
      <selection pane="bottomLeft" activeCell="A2" sqref="A2"/>
      <selection pane="bottomRight" activeCell="L48" sqref="L48"/>
    </sheetView>
  </sheetViews>
  <sheetFormatPr defaultRowHeight="15" x14ac:dyDescent="0.25"/>
  <cols>
    <col min="1" max="1" width="4.140625" customWidth="1"/>
    <col min="2" max="2" width="24.5703125" bestFit="1" customWidth="1"/>
    <col min="3" max="3" width="28.140625" bestFit="1" customWidth="1"/>
    <col min="4" max="4" width="49.28515625" bestFit="1" customWidth="1"/>
    <col min="5" max="5" width="23.7109375" bestFit="1" customWidth="1"/>
    <col min="6" max="6" width="23.7109375" customWidth="1"/>
    <col min="7" max="7" width="29.140625" bestFit="1" customWidth="1"/>
    <col min="8" max="8" width="49.28515625" bestFit="1" customWidth="1"/>
    <col min="9" max="9" width="27.140625" bestFit="1" customWidth="1"/>
    <col min="10" max="10" width="27.140625" customWidth="1"/>
    <col min="11" max="11" width="27.140625" bestFit="1" customWidth="1"/>
    <col min="12" max="12" width="49.28515625" bestFit="1" customWidth="1"/>
    <col min="13" max="13" width="23.7109375" bestFit="1" customWidth="1"/>
    <col min="14" max="14" width="23.85546875" customWidth="1"/>
  </cols>
  <sheetData>
    <row r="1" spans="2:14" ht="31.5" x14ac:dyDescent="0.5">
      <c r="B1" s="340" t="s">
        <v>289</v>
      </c>
      <c r="C1" s="340"/>
      <c r="D1" s="340"/>
      <c r="E1" s="340"/>
      <c r="F1" s="340"/>
      <c r="G1" s="340"/>
      <c r="H1" s="340"/>
      <c r="I1" s="340"/>
      <c r="J1" s="340"/>
      <c r="K1" s="340"/>
    </row>
    <row r="2" spans="2:14" x14ac:dyDescent="0.25">
      <c r="B2" s="70" t="s">
        <v>340</v>
      </c>
      <c r="C2" t="s">
        <v>341</v>
      </c>
      <c r="D2" t="s">
        <v>350</v>
      </c>
    </row>
    <row r="3" spans="2:14" ht="15.75" thickBot="1" x14ac:dyDescent="0.3"/>
    <row r="4" spans="2:14" x14ac:dyDescent="0.25">
      <c r="B4" s="341" t="s">
        <v>10</v>
      </c>
      <c r="C4" s="62" t="s">
        <v>14</v>
      </c>
      <c r="D4" s="65" t="s">
        <v>14</v>
      </c>
      <c r="E4" s="330" t="s">
        <v>354</v>
      </c>
      <c r="F4" s="324" t="s">
        <v>355</v>
      </c>
      <c r="G4" s="62" t="s">
        <v>14</v>
      </c>
      <c r="H4" s="65" t="s">
        <v>14</v>
      </c>
      <c r="I4" s="330" t="s">
        <v>354</v>
      </c>
      <c r="J4" s="324" t="s">
        <v>355</v>
      </c>
      <c r="K4" s="62" t="s">
        <v>14</v>
      </c>
      <c r="L4" s="65" t="s">
        <v>14</v>
      </c>
      <c r="M4" s="330" t="s">
        <v>354</v>
      </c>
      <c r="N4" s="321" t="s">
        <v>355</v>
      </c>
    </row>
    <row r="5" spans="2:14" ht="15.75" thickBot="1" x14ac:dyDescent="0.3">
      <c r="B5" s="342"/>
      <c r="C5" s="63" t="s">
        <v>290</v>
      </c>
      <c r="D5" s="27" t="s">
        <v>291</v>
      </c>
      <c r="E5" s="331"/>
      <c r="F5" s="325"/>
      <c r="G5" s="63" t="s">
        <v>290</v>
      </c>
      <c r="H5" s="27" t="s">
        <v>291</v>
      </c>
      <c r="I5" s="331"/>
      <c r="J5" s="325"/>
      <c r="K5" s="63" t="s">
        <v>290</v>
      </c>
      <c r="L5" s="27" t="s">
        <v>291</v>
      </c>
      <c r="M5" s="331"/>
      <c r="N5" s="322"/>
    </row>
    <row r="6" spans="2:14" ht="15.75" thickBot="1" x14ac:dyDescent="0.3">
      <c r="B6" s="346" t="s">
        <v>78</v>
      </c>
      <c r="C6" s="346" t="s">
        <v>79</v>
      </c>
      <c r="D6" s="16" t="s">
        <v>79</v>
      </c>
      <c r="E6" s="331"/>
      <c r="F6" s="326"/>
      <c r="G6" s="346" t="s">
        <v>80</v>
      </c>
      <c r="H6" s="16" t="s">
        <v>80</v>
      </c>
      <c r="I6" s="331"/>
      <c r="J6" s="326"/>
      <c r="K6" s="346" t="s">
        <v>81</v>
      </c>
      <c r="L6" s="16" t="s">
        <v>81</v>
      </c>
      <c r="M6" s="331"/>
      <c r="N6" s="322"/>
    </row>
    <row r="7" spans="2:14" ht="30.75" thickBot="1" x14ac:dyDescent="0.3">
      <c r="B7" s="347"/>
      <c r="C7" s="347"/>
      <c r="D7" s="22" t="s">
        <v>217</v>
      </c>
      <c r="E7" s="327"/>
      <c r="F7" s="327"/>
      <c r="G7" s="347"/>
      <c r="H7" s="89" t="s">
        <v>216</v>
      </c>
      <c r="I7" s="327"/>
      <c r="J7" s="327"/>
      <c r="K7" s="347"/>
      <c r="L7" s="22" t="s">
        <v>218</v>
      </c>
      <c r="M7" s="327"/>
      <c r="N7" s="323"/>
    </row>
    <row r="8" spans="2:14" x14ac:dyDescent="0.25">
      <c r="B8" s="44">
        <v>1</v>
      </c>
      <c r="C8" s="154">
        <v>16.666699999999999</v>
      </c>
      <c r="D8" s="58">
        <f>H8*60</f>
        <v>16.666666666666668</v>
      </c>
      <c r="E8" s="54">
        <f>C8-D8</f>
        <v>3.3333333330887172E-5</v>
      </c>
      <c r="F8" s="54">
        <f>(100*E8)/D8</f>
        <v>1.99999999985323E-4</v>
      </c>
      <c r="G8" s="157">
        <v>0.27777800000000002</v>
      </c>
      <c r="H8" s="58">
        <f>B8*1000/3600</f>
        <v>0.27777777777777779</v>
      </c>
      <c r="I8" s="54">
        <f>G8-H8</f>
        <v>2.2222222223478028E-7</v>
      </c>
      <c r="J8" s="54">
        <f>(100*I8)/H8</f>
        <v>8.0000000004520899E-5</v>
      </c>
      <c r="K8" s="157">
        <v>0.62134999999999996</v>
      </c>
      <c r="L8" s="58">
        <f>H8*3600/1609.4</f>
        <v>0.62134957126879575</v>
      </c>
      <c r="M8" s="54">
        <f>K8-L8</f>
        <v>4.2873120420505728E-7</v>
      </c>
      <c r="N8" s="162">
        <f>(100*M8)/L8</f>
        <v>6.9000000004761921E-5</v>
      </c>
    </row>
    <row r="9" spans="2:14" x14ac:dyDescent="0.25">
      <c r="B9" s="47">
        <v>987</v>
      </c>
      <c r="C9" s="155">
        <v>16450</v>
      </c>
      <c r="D9" s="26">
        <f t="shared" ref="D9:D13" si="0">H9*60</f>
        <v>16450</v>
      </c>
      <c r="E9" s="52">
        <f t="shared" ref="E9:E13" si="1">C9-D9</f>
        <v>0</v>
      </c>
      <c r="F9" s="52">
        <f t="shared" ref="F9:F13" si="2">(100*E9)/D9</f>
        <v>0</v>
      </c>
      <c r="G9" s="155">
        <v>274.16699999999997</v>
      </c>
      <c r="H9" s="26">
        <f t="shared" ref="H9:H13" si="3">B9*1000/3600</f>
        <v>274.16666666666669</v>
      </c>
      <c r="I9" s="52">
        <f t="shared" ref="I9:I13" si="4">G9-H9</f>
        <v>3.3333333328755543E-4</v>
      </c>
      <c r="J9" s="52">
        <f t="shared" ref="J9:J13" si="5">(100*I9)/H9</f>
        <v>1.2158054709576489E-4</v>
      </c>
      <c r="K9" s="155">
        <v>613.27200000000005</v>
      </c>
      <c r="L9" s="26">
        <f t="shared" ref="L9:L13" si="6">H9*3600/1609.4</f>
        <v>613.27202684230156</v>
      </c>
      <c r="M9" s="52">
        <f t="shared" ref="M9:M13" si="7">K9-L9</f>
        <v>-2.6842301508622768E-5</v>
      </c>
      <c r="N9" s="153">
        <f t="shared" ref="N9:N13" si="8">(100*M9)/L9</f>
        <v>-4.3768997009095725E-6</v>
      </c>
    </row>
    <row r="10" spans="2:14" x14ac:dyDescent="0.25">
      <c r="B10" s="47">
        <v>5987</v>
      </c>
      <c r="C10" s="155">
        <v>99783.3</v>
      </c>
      <c r="D10" s="26">
        <f t="shared" si="0"/>
        <v>99783.333333333343</v>
      </c>
      <c r="E10" s="52">
        <f t="shared" si="1"/>
        <v>-3.3333333340124227E-2</v>
      </c>
      <c r="F10" s="52">
        <f t="shared" si="2"/>
        <v>-3.3405712383622073E-5</v>
      </c>
      <c r="G10" s="155">
        <v>1663.06</v>
      </c>
      <c r="H10" s="26">
        <f t="shared" si="3"/>
        <v>1663.0555555555557</v>
      </c>
      <c r="I10" s="52">
        <f t="shared" si="4"/>
        <v>4.4444444442888198E-3</v>
      </c>
      <c r="J10" s="52">
        <f t="shared" si="5"/>
        <v>2.6724569900517372E-4</v>
      </c>
      <c r="K10" s="159">
        <v>3720.02</v>
      </c>
      <c r="L10" s="26">
        <f t="shared" si="6"/>
        <v>3720.0198831862804</v>
      </c>
      <c r="M10" s="52">
        <f t="shared" si="7"/>
        <v>1.1681371961458353E-4</v>
      </c>
      <c r="N10" s="153">
        <f t="shared" si="8"/>
        <v>3.1401369692285074E-6</v>
      </c>
    </row>
    <row r="11" spans="2:14" x14ac:dyDescent="0.25">
      <c r="B11" s="47">
        <v>4455667788</v>
      </c>
      <c r="C11" s="159">
        <v>74261129800</v>
      </c>
      <c r="D11" s="26">
        <f t="shared" si="0"/>
        <v>74261129800</v>
      </c>
      <c r="E11" s="52">
        <f t="shared" si="1"/>
        <v>0</v>
      </c>
      <c r="F11" s="52">
        <f t="shared" si="2"/>
        <v>0</v>
      </c>
      <c r="G11" s="155">
        <v>1237685497</v>
      </c>
      <c r="H11" s="26">
        <f t="shared" si="3"/>
        <v>1237685496.6666667</v>
      </c>
      <c r="I11" s="52">
        <f t="shared" si="4"/>
        <v>0.33333325386047363</v>
      </c>
      <c r="J11" s="52">
        <f t="shared" si="5"/>
        <v>2.6931983509397694E-8</v>
      </c>
      <c r="K11" s="155">
        <v>2768527270</v>
      </c>
      <c r="L11" s="26">
        <f t="shared" si="6"/>
        <v>2768527269.7899837</v>
      </c>
      <c r="M11" s="52">
        <f t="shared" si="7"/>
        <v>0.21001625061035156</v>
      </c>
      <c r="N11" s="153">
        <f t="shared" si="8"/>
        <v>7.5858472806837497E-9</v>
      </c>
    </row>
    <row r="12" spans="2:14" x14ac:dyDescent="0.25">
      <c r="B12" s="47">
        <v>-654</v>
      </c>
      <c r="C12" s="155">
        <v>-10900</v>
      </c>
      <c r="D12" s="26">
        <f t="shared" si="0"/>
        <v>-10900</v>
      </c>
      <c r="E12" s="52">
        <f t="shared" si="1"/>
        <v>0</v>
      </c>
      <c r="F12" s="52">
        <f t="shared" si="2"/>
        <v>0</v>
      </c>
      <c r="G12" s="155">
        <v>-181.667</v>
      </c>
      <c r="H12" s="26">
        <f t="shared" si="3"/>
        <v>-181.66666666666666</v>
      </c>
      <c r="I12" s="52">
        <f t="shared" si="4"/>
        <v>-3.3333333334439885E-4</v>
      </c>
      <c r="J12" s="52">
        <f t="shared" si="5"/>
        <v>1.8348623853820122E-4</v>
      </c>
      <c r="K12" s="155">
        <v>-406.363</v>
      </c>
      <c r="L12" s="26">
        <f t="shared" si="6"/>
        <v>-406.36261960979243</v>
      </c>
      <c r="M12" s="52">
        <f t="shared" si="7"/>
        <v>-3.8039020756741593E-4</v>
      </c>
      <c r="N12" s="153">
        <f t="shared" si="8"/>
        <v>9.3608562700152792E-5</v>
      </c>
    </row>
    <row r="13" spans="2:14" ht="15.75" thickBot="1" x14ac:dyDescent="0.3">
      <c r="B13" s="74">
        <v>0.65469999999999995</v>
      </c>
      <c r="C13" s="158">
        <v>10.9117</v>
      </c>
      <c r="D13" s="59">
        <f t="shared" si="0"/>
        <v>10.911666666666665</v>
      </c>
      <c r="E13" s="57">
        <f t="shared" si="1"/>
        <v>3.3333333334439885E-5</v>
      </c>
      <c r="F13" s="57">
        <f t="shared" si="2"/>
        <v>3.0548342753419788E-4</v>
      </c>
      <c r="G13" s="156">
        <v>0.18186099999999999</v>
      </c>
      <c r="H13" s="59">
        <f t="shared" si="3"/>
        <v>0.18186111111111108</v>
      </c>
      <c r="I13" s="57">
        <f t="shared" si="4"/>
        <v>-1.1111111108963456E-7</v>
      </c>
      <c r="J13" s="57">
        <f t="shared" si="5"/>
        <v>-6.1096685493002055E-5</v>
      </c>
      <c r="K13" s="158">
        <v>0.40679799999999999</v>
      </c>
      <c r="L13" s="59">
        <f t="shared" si="6"/>
        <v>0.40679756430968056</v>
      </c>
      <c r="M13" s="57">
        <f t="shared" si="7"/>
        <v>4.3569031943357928E-7</v>
      </c>
      <c r="N13" s="163">
        <f t="shared" si="8"/>
        <v>1.0710248970465902E-4</v>
      </c>
    </row>
    <row r="14" spans="2:14" ht="15.75" thickBot="1" x14ac:dyDescent="0.3">
      <c r="C14" s="165"/>
      <c r="D14" s="165"/>
      <c r="E14" s="164"/>
      <c r="F14" s="164"/>
      <c r="G14" s="165"/>
      <c r="H14" s="165"/>
      <c r="I14" s="164"/>
      <c r="J14" s="164"/>
      <c r="K14" s="165"/>
      <c r="L14" s="165"/>
      <c r="M14" s="164"/>
      <c r="N14" s="164"/>
    </row>
    <row r="15" spans="2:14" x14ac:dyDescent="0.25">
      <c r="B15" s="341" t="s">
        <v>10</v>
      </c>
      <c r="C15" s="166" t="s">
        <v>14</v>
      </c>
      <c r="D15" s="168" t="s">
        <v>14</v>
      </c>
      <c r="E15" s="343" t="s">
        <v>354</v>
      </c>
      <c r="F15" s="352" t="s">
        <v>355</v>
      </c>
      <c r="G15" s="166" t="s">
        <v>14</v>
      </c>
      <c r="H15" s="168" t="s">
        <v>14</v>
      </c>
      <c r="I15" s="343" t="s">
        <v>354</v>
      </c>
      <c r="J15" s="352" t="s">
        <v>355</v>
      </c>
      <c r="K15" s="166" t="s">
        <v>14</v>
      </c>
      <c r="L15" s="168" t="s">
        <v>14</v>
      </c>
      <c r="M15" s="343" t="s">
        <v>354</v>
      </c>
      <c r="N15" s="357" t="s">
        <v>355</v>
      </c>
    </row>
    <row r="16" spans="2:14" ht="15.75" thickBot="1" x14ac:dyDescent="0.3">
      <c r="B16" s="342"/>
      <c r="C16" s="167" t="s">
        <v>290</v>
      </c>
      <c r="D16" s="169" t="s">
        <v>291</v>
      </c>
      <c r="E16" s="344"/>
      <c r="F16" s="353"/>
      <c r="G16" s="167" t="s">
        <v>290</v>
      </c>
      <c r="H16" s="169" t="s">
        <v>291</v>
      </c>
      <c r="I16" s="344"/>
      <c r="J16" s="353"/>
      <c r="K16" s="167" t="s">
        <v>290</v>
      </c>
      <c r="L16" s="169" t="s">
        <v>291</v>
      </c>
      <c r="M16" s="344"/>
      <c r="N16" s="358"/>
    </row>
    <row r="17" spans="2:14" ht="15.75" thickBot="1" x14ac:dyDescent="0.3">
      <c r="B17" s="346" t="s">
        <v>79</v>
      </c>
      <c r="C17" s="363" t="s">
        <v>78</v>
      </c>
      <c r="D17" s="177" t="s">
        <v>78</v>
      </c>
      <c r="E17" s="344"/>
      <c r="F17" s="354"/>
      <c r="G17" s="363" t="s">
        <v>80</v>
      </c>
      <c r="H17" s="177" t="s">
        <v>80</v>
      </c>
      <c r="I17" s="344"/>
      <c r="J17" s="354"/>
      <c r="K17" s="363" t="s">
        <v>81</v>
      </c>
      <c r="L17" s="177" t="s">
        <v>81</v>
      </c>
      <c r="M17" s="344"/>
      <c r="N17" s="358"/>
    </row>
    <row r="18" spans="2:14" ht="30.75" thickBot="1" x14ac:dyDescent="0.3">
      <c r="B18" s="347"/>
      <c r="C18" s="364"/>
      <c r="D18" s="208" t="s">
        <v>220</v>
      </c>
      <c r="E18" s="345"/>
      <c r="F18" s="345"/>
      <c r="G18" s="364"/>
      <c r="H18" s="210" t="s">
        <v>219</v>
      </c>
      <c r="I18" s="345"/>
      <c r="J18" s="345"/>
      <c r="K18" s="364"/>
      <c r="L18" s="208" t="s">
        <v>221</v>
      </c>
      <c r="M18" s="345"/>
      <c r="N18" s="359"/>
    </row>
    <row r="19" spans="2:14" x14ac:dyDescent="0.25">
      <c r="B19" s="44">
        <v>1</v>
      </c>
      <c r="C19" s="154">
        <v>0.06</v>
      </c>
      <c r="D19" s="58">
        <f>H19*3600/1000</f>
        <v>0.06</v>
      </c>
      <c r="E19" s="54">
        <f>C19-D19</f>
        <v>0</v>
      </c>
      <c r="F19" s="54">
        <f>(100*E19)/D19</f>
        <v>0</v>
      </c>
      <c r="G19" s="154">
        <v>1.66667E-2</v>
      </c>
      <c r="H19" s="58">
        <f>B19/60</f>
        <v>1.6666666666666666E-2</v>
      </c>
      <c r="I19" s="54">
        <f>G19-H19</f>
        <v>3.3333333333135373E-8</v>
      </c>
      <c r="J19" s="54">
        <f>(100*I19)/H19</f>
        <v>1.9999999999881224E-4</v>
      </c>
      <c r="K19" s="154">
        <v>3.7281000000000002E-2</v>
      </c>
      <c r="L19" s="58">
        <f>H19*3600/1609.4</f>
        <v>3.7280974276127747E-2</v>
      </c>
      <c r="M19" s="54">
        <f>K19-L19</f>
        <v>2.5723872254523883E-8</v>
      </c>
      <c r="N19" s="162">
        <f>(100*M19)/L19</f>
        <v>6.9000000010717904E-5</v>
      </c>
    </row>
    <row r="20" spans="2:14" x14ac:dyDescent="0.25">
      <c r="B20" s="47">
        <v>987</v>
      </c>
      <c r="C20" s="159">
        <v>59.22</v>
      </c>
      <c r="D20" s="26">
        <f t="shared" ref="D20:D24" si="9">H20*3600/1000</f>
        <v>59.22</v>
      </c>
      <c r="E20" s="52">
        <f t="shared" ref="E20:E24" si="10">C20-D20</f>
        <v>0</v>
      </c>
      <c r="F20" s="52">
        <f t="shared" ref="F20:F24" si="11">(100*E20)/D20</f>
        <v>0</v>
      </c>
      <c r="G20" s="159">
        <v>16.45</v>
      </c>
      <c r="H20" s="26">
        <f t="shared" ref="H20:H24" si="12">B20/60</f>
        <v>16.45</v>
      </c>
      <c r="I20" s="52">
        <f t="shared" ref="I20:I24" si="13">G20-H20</f>
        <v>0</v>
      </c>
      <c r="J20" s="52">
        <f t="shared" ref="J20:J24" si="14">(100*I20)/H20</f>
        <v>0</v>
      </c>
      <c r="K20" s="159">
        <v>36.796300000000002</v>
      </c>
      <c r="L20" s="26">
        <f t="shared" ref="L20:L24" si="15">H20*3600/1609.4</f>
        <v>36.796321610538087</v>
      </c>
      <c r="M20" s="52">
        <f t="shared" ref="M20:M24" si="16">K20-L20</f>
        <v>-2.1610538084360087E-5</v>
      </c>
      <c r="N20" s="153">
        <f t="shared" ref="N20:N24" si="17">(100*M20)/L20</f>
        <v>-5.8730158718286264E-5</v>
      </c>
    </row>
    <row r="21" spans="2:14" x14ac:dyDescent="0.25">
      <c r="B21" s="47">
        <v>5987</v>
      </c>
      <c r="C21" s="159">
        <v>359.22</v>
      </c>
      <c r="D21" s="26">
        <f t="shared" si="9"/>
        <v>359.22</v>
      </c>
      <c r="E21" s="52">
        <f t="shared" si="10"/>
        <v>0</v>
      </c>
      <c r="F21" s="52">
        <f t="shared" si="11"/>
        <v>0</v>
      </c>
      <c r="G21" s="159">
        <v>99.783299999999997</v>
      </c>
      <c r="H21" s="26">
        <f t="shared" si="12"/>
        <v>99.783333333333331</v>
      </c>
      <c r="I21" s="52">
        <f t="shared" si="13"/>
        <v>-3.3333333334439885E-5</v>
      </c>
      <c r="J21" s="52">
        <f t="shared" si="14"/>
        <v>-3.340571237792539E-5</v>
      </c>
      <c r="K21" s="159">
        <v>223.20099999999999</v>
      </c>
      <c r="L21" s="26">
        <f t="shared" si="15"/>
        <v>223.20119299117681</v>
      </c>
      <c r="M21" s="52">
        <f t="shared" si="16"/>
        <v>-1.9299117681725875E-4</v>
      </c>
      <c r="N21" s="153">
        <f t="shared" si="17"/>
        <v>-8.6465118860223889E-5</v>
      </c>
    </row>
    <row r="22" spans="2:14" x14ac:dyDescent="0.25">
      <c r="B22" s="47">
        <v>4455667788</v>
      </c>
      <c r="C22" s="159">
        <v>267340067</v>
      </c>
      <c r="D22" s="26">
        <f t="shared" si="9"/>
        <v>267340067.28</v>
      </c>
      <c r="E22" s="52">
        <f t="shared" si="10"/>
        <v>-0.2800000011920929</v>
      </c>
      <c r="F22" s="52">
        <f t="shared" si="11"/>
        <v>-1.0473551684223728E-7</v>
      </c>
      <c r="G22" s="155">
        <v>74261130</v>
      </c>
      <c r="H22" s="26">
        <f t="shared" si="12"/>
        <v>74261129.799999997</v>
      </c>
      <c r="I22" s="52">
        <f t="shared" si="13"/>
        <v>0.20000000298023224</v>
      </c>
      <c r="J22" s="52">
        <f t="shared" si="14"/>
        <v>2.6931990331802392E-7</v>
      </c>
      <c r="K22" s="155">
        <v>166111636</v>
      </c>
      <c r="L22" s="26">
        <f t="shared" si="15"/>
        <v>166111636.18739903</v>
      </c>
      <c r="M22" s="52">
        <f t="shared" si="16"/>
        <v>-0.18739902973175049</v>
      </c>
      <c r="N22" s="153">
        <f t="shared" si="17"/>
        <v>-1.1281511279579238E-7</v>
      </c>
    </row>
    <row r="23" spans="2:14" x14ac:dyDescent="0.25">
      <c r="B23" s="47">
        <v>-654</v>
      </c>
      <c r="C23" s="159">
        <v>-39.24</v>
      </c>
      <c r="D23" s="26">
        <f t="shared" si="9"/>
        <v>-39.24</v>
      </c>
      <c r="E23" s="52">
        <f t="shared" si="10"/>
        <v>0</v>
      </c>
      <c r="F23" s="52">
        <f t="shared" si="11"/>
        <v>0</v>
      </c>
      <c r="G23" s="159">
        <v>-10.9</v>
      </c>
      <c r="H23" s="26">
        <f t="shared" si="12"/>
        <v>-10.9</v>
      </c>
      <c r="I23" s="52">
        <f t="shared" si="13"/>
        <v>0</v>
      </c>
      <c r="J23" s="52">
        <f t="shared" si="14"/>
        <v>0</v>
      </c>
      <c r="K23" s="159">
        <v>-24.381799999999998</v>
      </c>
      <c r="L23" s="26">
        <f t="shared" si="15"/>
        <v>-24.381757176587548</v>
      </c>
      <c r="M23" s="52">
        <f t="shared" si="16"/>
        <v>-4.2823412449877196E-5</v>
      </c>
      <c r="N23" s="153">
        <f t="shared" si="17"/>
        <v>1.7563710498683067E-4</v>
      </c>
    </row>
    <row r="24" spans="2:14" ht="15.75" thickBot="1" x14ac:dyDescent="0.3">
      <c r="B24" s="74">
        <v>0.65469999999999995</v>
      </c>
      <c r="C24" s="156">
        <v>3.9281999999999997E-2</v>
      </c>
      <c r="D24" s="59">
        <f t="shared" si="9"/>
        <v>3.9281999999999997E-2</v>
      </c>
      <c r="E24" s="57">
        <f t="shared" si="10"/>
        <v>0</v>
      </c>
      <c r="F24" s="57">
        <f t="shared" si="11"/>
        <v>0</v>
      </c>
      <c r="G24" s="156">
        <v>1.09117E-2</v>
      </c>
      <c r="H24" s="59">
        <f t="shared" si="12"/>
        <v>1.0911666666666665E-2</v>
      </c>
      <c r="I24" s="57">
        <f t="shared" si="13"/>
        <v>3.3333333334870097E-8</v>
      </c>
      <c r="J24" s="57">
        <f t="shared" si="14"/>
        <v>3.0548342753814053E-4</v>
      </c>
      <c r="K24" s="156">
        <v>2.44079E-2</v>
      </c>
      <c r="L24" s="59">
        <f t="shared" si="15"/>
        <v>2.4407853858580835E-2</v>
      </c>
      <c r="M24" s="57">
        <f t="shared" si="16"/>
        <v>4.614141916464698E-8</v>
      </c>
      <c r="N24" s="163">
        <f t="shared" si="17"/>
        <v>1.8904332774192468E-4</v>
      </c>
    </row>
    <row r="25" spans="2:14" ht="15.75" thickBot="1" x14ac:dyDescent="0.3">
      <c r="C25" s="165"/>
      <c r="D25" s="165"/>
      <c r="E25" s="164"/>
      <c r="F25" s="164"/>
      <c r="G25" s="165"/>
      <c r="H25" s="165"/>
      <c r="I25" s="164"/>
      <c r="J25" s="164"/>
      <c r="K25" s="165"/>
      <c r="L25" s="165"/>
      <c r="M25" s="164"/>
      <c r="N25" s="164"/>
    </row>
    <row r="26" spans="2:14" x14ac:dyDescent="0.25">
      <c r="B26" s="341" t="s">
        <v>10</v>
      </c>
      <c r="C26" s="166" t="s">
        <v>14</v>
      </c>
      <c r="D26" s="168" t="s">
        <v>14</v>
      </c>
      <c r="E26" s="343" t="s">
        <v>354</v>
      </c>
      <c r="F26" s="352" t="s">
        <v>355</v>
      </c>
      <c r="G26" s="166" t="s">
        <v>14</v>
      </c>
      <c r="H26" s="168" t="s">
        <v>14</v>
      </c>
      <c r="I26" s="343" t="s">
        <v>354</v>
      </c>
      <c r="J26" s="352" t="s">
        <v>355</v>
      </c>
      <c r="K26" s="166" t="s">
        <v>14</v>
      </c>
      <c r="L26" s="168" t="s">
        <v>14</v>
      </c>
      <c r="M26" s="343" t="s">
        <v>354</v>
      </c>
      <c r="N26" s="357" t="s">
        <v>355</v>
      </c>
    </row>
    <row r="27" spans="2:14" ht="15.75" thickBot="1" x14ac:dyDescent="0.3">
      <c r="B27" s="342"/>
      <c r="C27" s="167" t="s">
        <v>290</v>
      </c>
      <c r="D27" s="169" t="s">
        <v>291</v>
      </c>
      <c r="E27" s="344"/>
      <c r="F27" s="353"/>
      <c r="G27" s="167" t="s">
        <v>290</v>
      </c>
      <c r="H27" s="169" t="s">
        <v>291</v>
      </c>
      <c r="I27" s="344"/>
      <c r="J27" s="353"/>
      <c r="K27" s="167" t="s">
        <v>290</v>
      </c>
      <c r="L27" s="169" t="s">
        <v>291</v>
      </c>
      <c r="M27" s="344"/>
      <c r="N27" s="358"/>
    </row>
    <row r="28" spans="2:14" ht="15.75" thickBot="1" x14ac:dyDescent="0.3">
      <c r="B28" s="346" t="s">
        <v>80</v>
      </c>
      <c r="C28" s="363" t="s">
        <v>78</v>
      </c>
      <c r="D28" s="177" t="s">
        <v>78</v>
      </c>
      <c r="E28" s="344"/>
      <c r="F28" s="354"/>
      <c r="G28" s="363" t="s">
        <v>79</v>
      </c>
      <c r="H28" s="177" t="s">
        <v>79</v>
      </c>
      <c r="I28" s="344"/>
      <c r="J28" s="354"/>
      <c r="K28" s="363" t="s">
        <v>81</v>
      </c>
      <c r="L28" s="177" t="s">
        <v>81</v>
      </c>
      <c r="M28" s="344"/>
      <c r="N28" s="358"/>
    </row>
    <row r="29" spans="2:14" ht="15.75" thickBot="1" x14ac:dyDescent="0.3">
      <c r="B29" s="347"/>
      <c r="C29" s="364"/>
      <c r="D29" s="209" t="s">
        <v>222</v>
      </c>
      <c r="E29" s="345"/>
      <c r="F29" s="345"/>
      <c r="G29" s="364"/>
      <c r="H29" s="209" t="s">
        <v>223</v>
      </c>
      <c r="I29" s="345"/>
      <c r="J29" s="345"/>
      <c r="K29" s="364"/>
      <c r="L29" s="209" t="s">
        <v>224</v>
      </c>
      <c r="M29" s="345"/>
      <c r="N29" s="359"/>
    </row>
    <row r="30" spans="2:14" x14ac:dyDescent="0.25">
      <c r="B30" s="44">
        <v>1</v>
      </c>
      <c r="C30" s="154">
        <v>3.6</v>
      </c>
      <c r="D30" s="58">
        <f>B30*3600/1000</f>
        <v>3.6</v>
      </c>
      <c r="E30" s="54">
        <f>C30-D30</f>
        <v>0</v>
      </c>
      <c r="F30" s="54">
        <f>(100*E30)/D30</f>
        <v>0</v>
      </c>
      <c r="G30" s="154">
        <v>60</v>
      </c>
      <c r="H30" s="58">
        <f>B30*60</f>
        <v>60</v>
      </c>
      <c r="I30" s="54">
        <f>G30-H30</f>
        <v>0</v>
      </c>
      <c r="J30" s="54">
        <f>(100*I30)/H30</f>
        <v>0</v>
      </c>
      <c r="K30" s="154">
        <v>2.2368600000000001</v>
      </c>
      <c r="L30" s="58">
        <f>B30*3600/1609.4</f>
        <v>2.2368584565676648</v>
      </c>
      <c r="M30" s="54">
        <f>K30-L30</f>
        <v>1.543432335271433E-6</v>
      </c>
      <c r="N30" s="162">
        <f>(100*M30)/L30</f>
        <v>6.9000000010717904E-5</v>
      </c>
    </row>
    <row r="31" spans="2:14" x14ac:dyDescent="0.25">
      <c r="B31" s="47">
        <v>987</v>
      </c>
      <c r="C31" s="159">
        <v>3553.2</v>
      </c>
      <c r="D31" s="26">
        <f t="shared" ref="D31:D35" si="18">B31*3600/1000</f>
        <v>3553.2</v>
      </c>
      <c r="E31" s="52">
        <f t="shared" ref="E31:E35" si="19">C31-D31</f>
        <v>0</v>
      </c>
      <c r="F31" s="52">
        <f t="shared" ref="F31:F35" si="20">(100*E31)/D31</f>
        <v>0</v>
      </c>
      <c r="G31" s="159">
        <v>59220</v>
      </c>
      <c r="H31" s="26">
        <f t="shared" ref="H31:H35" si="21">B31*60</f>
        <v>59220</v>
      </c>
      <c r="I31" s="52">
        <f t="shared" ref="I31:I35" si="22">G31-H31</f>
        <v>0</v>
      </c>
      <c r="J31" s="52">
        <f t="shared" ref="J31:J35" si="23">(100*I31)/H31</f>
        <v>0</v>
      </c>
      <c r="K31" s="159">
        <v>2207.7800000000002</v>
      </c>
      <c r="L31" s="26">
        <f t="shared" ref="L31:L35" si="24">B31*3600/1609.4</f>
        <v>2207.7792966322854</v>
      </c>
      <c r="M31" s="52">
        <f t="shared" ref="M31:M35" si="25">K31-L31</f>
        <v>7.0336771477741422E-4</v>
      </c>
      <c r="N31" s="153">
        <f t="shared" ref="N31:N35" si="26">(100*M31)/L31</f>
        <v>3.1858606331272387E-5</v>
      </c>
    </row>
    <row r="32" spans="2:14" x14ac:dyDescent="0.25">
      <c r="B32" s="47">
        <v>5987</v>
      </c>
      <c r="C32" s="159">
        <v>21553.200000000001</v>
      </c>
      <c r="D32" s="26">
        <f t="shared" si="18"/>
        <v>21553.200000000001</v>
      </c>
      <c r="E32" s="52">
        <f t="shared" si="19"/>
        <v>0</v>
      </c>
      <c r="F32" s="52">
        <f t="shared" si="20"/>
        <v>0</v>
      </c>
      <c r="G32" s="159">
        <v>359220</v>
      </c>
      <c r="H32" s="26">
        <f t="shared" si="21"/>
        <v>359220</v>
      </c>
      <c r="I32" s="52">
        <f t="shared" si="22"/>
        <v>0</v>
      </c>
      <c r="J32" s="52">
        <f t="shared" si="23"/>
        <v>0</v>
      </c>
      <c r="K32" s="159">
        <v>13392.1</v>
      </c>
      <c r="L32" s="26">
        <f t="shared" si="24"/>
        <v>13392.07157947061</v>
      </c>
      <c r="M32" s="52">
        <f t="shared" si="25"/>
        <v>2.8420529390132288E-2</v>
      </c>
      <c r="N32" s="153">
        <f t="shared" si="26"/>
        <v>2.1221906724049749E-4</v>
      </c>
    </row>
    <row r="33" spans="2:14" x14ac:dyDescent="0.25">
      <c r="B33" s="47">
        <v>4455667788</v>
      </c>
      <c r="C33" s="159">
        <v>16040404037</v>
      </c>
      <c r="D33" s="26">
        <f t="shared" si="18"/>
        <v>16040404036.799999</v>
      </c>
      <c r="E33" s="52">
        <f t="shared" si="19"/>
        <v>0.20000076293945313</v>
      </c>
      <c r="F33" s="52">
        <f t="shared" si="20"/>
        <v>1.2468561420311488E-9</v>
      </c>
      <c r="G33" s="155">
        <v>267340067280</v>
      </c>
      <c r="H33" s="26">
        <f t="shared" si="21"/>
        <v>267340067280</v>
      </c>
      <c r="I33" s="52">
        <f t="shared" si="22"/>
        <v>0</v>
      </c>
      <c r="J33" s="52">
        <f t="shared" si="23"/>
        <v>0</v>
      </c>
      <c r="K33" s="155">
        <v>9966698171</v>
      </c>
      <c r="L33" s="26">
        <f t="shared" si="24"/>
        <v>9966698171.2439404</v>
      </c>
      <c r="M33" s="52">
        <f t="shared" si="25"/>
        <v>-0.24394035339355469</v>
      </c>
      <c r="N33" s="153">
        <f t="shared" si="26"/>
        <v>-2.4475543374773289E-9</v>
      </c>
    </row>
    <row r="34" spans="2:14" x14ac:dyDescent="0.25">
      <c r="B34" s="47">
        <v>-654</v>
      </c>
      <c r="C34" s="159">
        <v>-2354.4</v>
      </c>
      <c r="D34" s="26">
        <f t="shared" si="18"/>
        <v>-2354.4</v>
      </c>
      <c r="E34" s="52">
        <f t="shared" si="19"/>
        <v>0</v>
      </c>
      <c r="F34" s="52">
        <f t="shared" si="20"/>
        <v>0</v>
      </c>
      <c r="G34" s="159">
        <v>-39240</v>
      </c>
      <c r="H34" s="26">
        <f t="shared" si="21"/>
        <v>-39240</v>
      </c>
      <c r="I34" s="52">
        <f t="shared" si="22"/>
        <v>0</v>
      </c>
      <c r="J34" s="52">
        <f t="shared" si="23"/>
        <v>0</v>
      </c>
      <c r="K34" s="159">
        <v>-1462.91</v>
      </c>
      <c r="L34" s="26">
        <f t="shared" si="24"/>
        <v>-1462.9054305952527</v>
      </c>
      <c r="M34" s="52">
        <f t="shared" si="25"/>
        <v>-4.5694047473716637E-3</v>
      </c>
      <c r="N34" s="153">
        <f t="shared" si="26"/>
        <v>3.1235134218569302E-4</v>
      </c>
    </row>
    <row r="35" spans="2:14" ht="15.75" thickBot="1" x14ac:dyDescent="0.3">
      <c r="B35" s="74">
        <v>0.65469999999999995</v>
      </c>
      <c r="C35" s="156">
        <v>2.3569200000000001</v>
      </c>
      <c r="D35" s="59">
        <f t="shared" si="18"/>
        <v>2.3569199999999997</v>
      </c>
      <c r="E35" s="57">
        <f t="shared" si="19"/>
        <v>0</v>
      </c>
      <c r="F35" s="57">
        <f t="shared" si="20"/>
        <v>0</v>
      </c>
      <c r="G35" s="156">
        <v>39.281999999999996</v>
      </c>
      <c r="H35" s="59">
        <f t="shared" si="21"/>
        <v>39.281999999999996</v>
      </c>
      <c r="I35" s="57">
        <f t="shared" si="22"/>
        <v>0</v>
      </c>
      <c r="J35" s="57">
        <f t="shared" si="23"/>
        <v>0</v>
      </c>
      <c r="K35" s="156">
        <v>1.4644699999999999</v>
      </c>
      <c r="L35" s="59">
        <f t="shared" si="24"/>
        <v>1.46447123151485</v>
      </c>
      <c r="M35" s="57">
        <f t="shared" si="25"/>
        <v>-1.231514850097426E-6</v>
      </c>
      <c r="N35" s="163">
        <f t="shared" si="26"/>
        <v>-8.4092799066018262E-5</v>
      </c>
    </row>
    <row r="36" spans="2:14" ht="15.75" thickBot="1" x14ac:dyDescent="0.3">
      <c r="C36" s="165"/>
      <c r="D36" s="165"/>
      <c r="E36" s="164"/>
      <c r="F36" s="164"/>
      <c r="G36" s="165"/>
      <c r="H36" s="165"/>
      <c r="I36" s="164"/>
      <c r="J36" s="164"/>
      <c r="K36" s="165"/>
      <c r="L36" s="165"/>
      <c r="M36" s="164"/>
      <c r="N36" s="164"/>
    </row>
    <row r="37" spans="2:14" x14ac:dyDescent="0.25">
      <c r="B37" s="341" t="s">
        <v>10</v>
      </c>
      <c r="C37" s="166" t="s">
        <v>14</v>
      </c>
      <c r="D37" s="168" t="s">
        <v>14</v>
      </c>
      <c r="E37" s="343" t="s">
        <v>354</v>
      </c>
      <c r="F37" s="352" t="s">
        <v>355</v>
      </c>
      <c r="G37" s="166" t="s">
        <v>14</v>
      </c>
      <c r="H37" s="168" t="s">
        <v>14</v>
      </c>
      <c r="I37" s="343" t="s">
        <v>354</v>
      </c>
      <c r="J37" s="352" t="s">
        <v>355</v>
      </c>
      <c r="K37" s="166" t="s">
        <v>14</v>
      </c>
      <c r="L37" s="168" t="s">
        <v>14</v>
      </c>
      <c r="M37" s="343" t="s">
        <v>354</v>
      </c>
      <c r="N37" s="357" t="s">
        <v>355</v>
      </c>
    </row>
    <row r="38" spans="2:14" ht="15.75" thickBot="1" x14ac:dyDescent="0.3">
      <c r="B38" s="342"/>
      <c r="C38" s="167" t="s">
        <v>290</v>
      </c>
      <c r="D38" s="169" t="s">
        <v>291</v>
      </c>
      <c r="E38" s="344"/>
      <c r="F38" s="353"/>
      <c r="G38" s="167" t="s">
        <v>290</v>
      </c>
      <c r="H38" s="169" t="s">
        <v>291</v>
      </c>
      <c r="I38" s="344"/>
      <c r="J38" s="353"/>
      <c r="K38" s="167" t="s">
        <v>290</v>
      </c>
      <c r="L38" s="169" t="s">
        <v>291</v>
      </c>
      <c r="M38" s="344"/>
      <c r="N38" s="358"/>
    </row>
    <row r="39" spans="2:14" ht="15.75" thickBot="1" x14ac:dyDescent="0.3">
      <c r="B39" s="346" t="s">
        <v>81</v>
      </c>
      <c r="C39" s="363" t="s">
        <v>78</v>
      </c>
      <c r="D39" s="177" t="s">
        <v>78</v>
      </c>
      <c r="E39" s="344"/>
      <c r="F39" s="354"/>
      <c r="G39" s="363" t="s">
        <v>79</v>
      </c>
      <c r="H39" s="177" t="s">
        <v>79</v>
      </c>
      <c r="I39" s="344"/>
      <c r="J39" s="354"/>
      <c r="K39" s="363" t="s">
        <v>80</v>
      </c>
      <c r="L39" s="177" t="s">
        <v>80</v>
      </c>
      <c r="M39" s="344"/>
      <c r="N39" s="358"/>
    </row>
    <row r="40" spans="2:14" ht="30.75" thickBot="1" x14ac:dyDescent="0.3">
      <c r="B40" s="347"/>
      <c r="C40" s="364"/>
      <c r="D40" s="208" t="s">
        <v>226</v>
      </c>
      <c r="E40" s="345"/>
      <c r="F40" s="345"/>
      <c r="G40" s="364"/>
      <c r="H40" s="208" t="s">
        <v>227</v>
      </c>
      <c r="I40" s="345"/>
      <c r="J40" s="345"/>
      <c r="K40" s="364"/>
      <c r="L40" s="210" t="s">
        <v>225</v>
      </c>
      <c r="M40" s="345"/>
      <c r="N40" s="359"/>
    </row>
    <row r="41" spans="2:14" x14ac:dyDescent="0.25">
      <c r="B41" s="44">
        <v>1</v>
      </c>
      <c r="C41" s="154">
        <v>1.6093999999999999</v>
      </c>
      <c r="D41" s="58">
        <f>L41*3600/1000</f>
        <v>1.6094000000000002</v>
      </c>
      <c r="E41" s="54">
        <f>C41-D41</f>
        <v>0</v>
      </c>
      <c r="F41" s="54">
        <f>(100*E41)/D41</f>
        <v>0</v>
      </c>
      <c r="G41" s="154">
        <v>26.8233</v>
      </c>
      <c r="H41" s="58">
        <f>L41*60</f>
        <v>26.823333333333334</v>
      </c>
      <c r="I41" s="54">
        <f>G41-H41</f>
        <v>-3.3333333334439885E-5</v>
      </c>
      <c r="J41" s="54">
        <f>(100*I41)/H41</f>
        <v>-1.242699142578845E-4</v>
      </c>
      <c r="K41" s="154">
        <v>0.44705600000000001</v>
      </c>
      <c r="L41" s="58">
        <f>B41*1609.4/3600</f>
        <v>0.44705555555555559</v>
      </c>
      <c r="M41" s="54">
        <f>K41-L41</f>
        <v>4.444444444140494E-7</v>
      </c>
      <c r="N41" s="162">
        <f>(100*M41)/L41</f>
        <v>9.9415931396208378E-5</v>
      </c>
    </row>
    <row r="42" spans="2:14" x14ac:dyDescent="0.25">
      <c r="B42" s="47">
        <v>987</v>
      </c>
      <c r="C42" s="159">
        <v>1588.48</v>
      </c>
      <c r="D42" s="26">
        <f t="shared" ref="D42:D46" si="27">L42*3600/1000</f>
        <v>1588.4778000000001</v>
      </c>
      <c r="E42" s="52">
        <f t="shared" ref="E42:E46" si="28">C42-D42</f>
        <v>2.1999999999025022E-3</v>
      </c>
      <c r="F42" s="52">
        <f t="shared" ref="F42:F46" si="29">(100*E42)/D42</f>
        <v>1.3849737150261099E-4</v>
      </c>
      <c r="G42" s="159">
        <v>26474.6</v>
      </c>
      <c r="H42" s="26">
        <f t="shared" ref="H42:H46" si="30">L42*60</f>
        <v>26474.63</v>
      </c>
      <c r="I42" s="52">
        <f t="shared" ref="I42:I46" si="31">G42-H42</f>
        <v>-3.0000000002473826E-2</v>
      </c>
      <c r="J42" s="52">
        <f t="shared" ref="J42:J46" si="32">(100*I42)/H42</f>
        <v>-1.1331603124377498E-4</v>
      </c>
      <c r="K42" s="159">
        <v>441.24400000000003</v>
      </c>
      <c r="L42" s="26">
        <f t="shared" ref="L42:L46" si="33">B42*1609.4/3600</f>
        <v>441.24383333333333</v>
      </c>
      <c r="M42" s="52">
        <f t="shared" ref="M42:M46" si="34">K42-L42</f>
        <v>1.6666666670062114E-4</v>
      </c>
      <c r="N42" s="153">
        <f t="shared" ref="N42:N46" si="35">(100*M42)/L42</f>
        <v>3.777201041917212E-5</v>
      </c>
    </row>
    <row r="43" spans="2:14" x14ac:dyDescent="0.25">
      <c r="B43" s="47">
        <v>5987</v>
      </c>
      <c r="C43" s="159">
        <v>9635.48</v>
      </c>
      <c r="D43" s="26">
        <f t="shared" si="27"/>
        <v>9635.4778000000006</v>
      </c>
      <c r="E43" s="52">
        <f t="shared" si="28"/>
        <v>2.1999999989930075E-3</v>
      </c>
      <c r="F43" s="52">
        <f t="shared" si="29"/>
        <v>2.2832287559139075E-5</v>
      </c>
      <c r="G43" s="159">
        <v>160591</v>
      </c>
      <c r="H43" s="26">
        <f t="shared" si="30"/>
        <v>160591.29666666669</v>
      </c>
      <c r="I43" s="52">
        <f t="shared" si="31"/>
        <v>-0.29666666669072583</v>
      </c>
      <c r="J43" s="52">
        <f t="shared" si="32"/>
        <v>-1.8473396307802761E-4</v>
      </c>
      <c r="K43" s="159">
        <v>2676.52</v>
      </c>
      <c r="L43" s="26">
        <f t="shared" si="33"/>
        <v>2676.5216111111113</v>
      </c>
      <c r="M43" s="52">
        <f t="shared" si="34"/>
        <v>-1.6111111112877552E-3</v>
      </c>
      <c r="N43" s="153">
        <f t="shared" si="35"/>
        <v>-6.0194212690064196E-5</v>
      </c>
    </row>
    <row r="44" spans="2:14" x14ac:dyDescent="0.25">
      <c r="B44" s="47">
        <v>4455667788</v>
      </c>
      <c r="C44" s="159">
        <v>7170951738</v>
      </c>
      <c r="D44" s="26">
        <f t="shared" si="27"/>
        <v>7170951738.0072002</v>
      </c>
      <c r="E44" s="52">
        <f t="shared" si="28"/>
        <v>-7.2002410888671875E-3</v>
      </c>
      <c r="F44" s="52">
        <f t="shared" si="29"/>
        <v>-1.0040844440082827E-10</v>
      </c>
      <c r="G44" s="155">
        <v>119515862300</v>
      </c>
      <c r="H44" s="26">
        <f t="shared" si="30"/>
        <v>119515862300.12</v>
      </c>
      <c r="I44" s="52">
        <f t="shared" si="31"/>
        <v>-0.1199951171875</v>
      </c>
      <c r="J44" s="52">
        <f t="shared" si="32"/>
        <v>-1.0040099688707139E-10</v>
      </c>
      <c r="K44" s="155">
        <v>1991931038</v>
      </c>
      <c r="L44" s="26">
        <f t="shared" si="33"/>
        <v>1991931038.3353333</v>
      </c>
      <c r="M44" s="52">
        <f t="shared" si="34"/>
        <v>-0.33533334732055664</v>
      </c>
      <c r="N44" s="153">
        <f t="shared" si="35"/>
        <v>-1.6834586181296535E-8</v>
      </c>
    </row>
    <row r="45" spans="2:14" x14ac:dyDescent="0.25">
      <c r="B45" s="47">
        <v>-654</v>
      </c>
      <c r="C45" s="159">
        <v>-1052.55</v>
      </c>
      <c r="D45" s="26">
        <f t="shared" si="27"/>
        <v>-1052.5476000000001</v>
      </c>
      <c r="E45" s="52">
        <f t="shared" si="28"/>
        <v>-2.3999999998522981E-3</v>
      </c>
      <c r="F45" s="52">
        <f t="shared" si="29"/>
        <v>2.2801819127726838E-4</v>
      </c>
      <c r="G45" s="159">
        <v>-17542.5</v>
      </c>
      <c r="H45" s="26">
        <f t="shared" si="30"/>
        <v>-17542.460000000003</v>
      </c>
      <c r="I45" s="52">
        <f t="shared" si="31"/>
        <v>-3.9999999997235136E-2</v>
      </c>
      <c r="J45" s="52">
        <f t="shared" si="32"/>
        <v>2.2801819127554019E-4</v>
      </c>
      <c r="K45" s="159">
        <v>-292.37400000000002</v>
      </c>
      <c r="L45" s="26">
        <f t="shared" si="33"/>
        <v>-292.37433333333337</v>
      </c>
      <c r="M45" s="52">
        <f t="shared" si="34"/>
        <v>3.3333333334439885E-4</v>
      </c>
      <c r="N45" s="153">
        <f t="shared" si="35"/>
        <v>-1.1400909564943531E-4</v>
      </c>
    </row>
    <row r="46" spans="2:14" ht="15.75" thickBot="1" x14ac:dyDescent="0.3">
      <c r="B46" s="74">
        <v>0.65469999999999995</v>
      </c>
      <c r="C46" s="156">
        <v>1.0536700000000001</v>
      </c>
      <c r="D46" s="59">
        <f t="shared" si="27"/>
        <v>1.05367418</v>
      </c>
      <c r="E46" s="57">
        <f t="shared" si="28"/>
        <v>-4.1799999999092563E-6</v>
      </c>
      <c r="F46" s="57">
        <f t="shared" si="29"/>
        <v>-3.9670707313993936E-4</v>
      </c>
      <c r="G46" s="156">
        <v>17.561199999999999</v>
      </c>
      <c r="H46" s="59">
        <f t="shared" si="30"/>
        <v>17.561236333333333</v>
      </c>
      <c r="I46" s="57">
        <f t="shared" si="31"/>
        <v>-3.6333333333971041E-5</v>
      </c>
      <c r="J46" s="57">
        <f t="shared" si="32"/>
        <v>-2.0689507643038786E-4</v>
      </c>
      <c r="K46" s="156">
        <v>0.29268699999999997</v>
      </c>
      <c r="L46" s="59">
        <f t="shared" si="33"/>
        <v>0.29268727222222224</v>
      </c>
      <c r="M46" s="57">
        <f t="shared" si="34"/>
        <v>-2.7222222226397363E-7</v>
      </c>
      <c r="N46" s="163">
        <f t="shared" si="35"/>
        <v>-9.3007878407944377E-5</v>
      </c>
    </row>
  </sheetData>
  <mergeCells count="45">
    <mergeCell ref="I26:I29"/>
    <mergeCell ref="B37:B38"/>
    <mergeCell ref="J37:J40"/>
    <mergeCell ref="N4:N7"/>
    <mergeCell ref="N15:N18"/>
    <mergeCell ref="N26:N29"/>
    <mergeCell ref="N37:N40"/>
    <mergeCell ref="M4:M7"/>
    <mergeCell ref="M37:M40"/>
    <mergeCell ref="K39:K40"/>
    <mergeCell ref="M15:M18"/>
    <mergeCell ref="M26:M29"/>
    <mergeCell ref="J26:J29"/>
    <mergeCell ref="K28:K29"/>
    <mergeCell ref="I15:I18"/>
    <mergeCell ref="I37:I40"/>
    <mergeCell ref="C28:C29"/>
    <mergeCell ref="C39:C40"/>
    <mergeCell ref="B17:B18"/>
    <mergeCell ref="G28:G29"/>
    <mergeCell ref="G39:G40"/>
    <mergeCell ref="G17:G18"/>
    <mergeCell ref="B28:B29"/>
    <mergeCell ref="E26:E29"/>
    <mergeCell ref="E37:E40"/>
    <mergeCell ref="F15:F18"/>
    <mergeCell ref="F26:F29"/>
    <mergeCell ref="F37:F40"/>
    <mergeCell ref="B39:B40"/>
    <mergeCell ref="B1:K1"/>
    <mergeCell ref="B4:B5"/>
    <mergeCell ref="B15:B16"/>
    <mergeCell ref="B26:B27"/>
    <mergeCell ref="E4:E7"/>
    <mergeCell ref="I4:I7"/>
    <mergeCell ref="J4:J7"/>
    <mergeCell ref="J15:J18"/>
    <mergeCell ref="B6:B7"/>
    <mergeCell ref="C6:C7"/>
    <mergeCell ref="G6:G7"/>
    <mergeCell ref="K6:K7"/>
    <mergeCell ref="C17:C18"/>
    <mergeCell ref="K17:K18"/>
    <mergeCell ref="E15:E18"/>
    <mergeCell ref="F4:F7"/>
  </mergeCells>
  <pageMargins left="0.7" right="0.7" top="0.78740157499999996" bottom="0.78740157499999996" header="0.3" footer="0.3"/>
  <legacy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2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1" sqref="B1:I1"/>
    </sheetView>
  </sheetViews>
  <sheetFormatPr defaultRowHeight="15" x14ac:dyDescent="0.25"/>
  <cols>
    <col min="1" max="1" width="4" customWidth="1"/>
    <col min="2" max="2" width="16.85546875" bestFit="1" customWidth="1"/>
    <col min="3" max="3" width="33" customWidth="1"/>
    <col min="4" max="4" width="35.42578125" bestFit="1" customWidth="1"/>
    <col min="5" max="5" width="23.7109375" bestFit="1" customWidth="1"/>
    <col min="6" max="6" width="25.42578125" customWidth="1"/>
    <col min="9" max="9" width="56.85546875" customWidth="1"/>
  </cols>
  <sheetData>
    <row r="1" spans="2:9" ht="31.5" x14ac:dyDescent="0.5">
      <c r="B1" s="340" t="s">
        <v>289</v>
      </c>
      <c r="C1" s="340"/>
      <c r="D1" s="340"/>
      <c r="E1" s="340"/>
      <c r="F1" s="340"/>
      <c r="G1" s="340"/>
      <c r="H1" s="340"/>
      <c r="I1" s="340"/>
    </row>
    <row r="2" spans="2:9" x14ac:dyDescent="0.25">
      <c r="B2" s="70" t="s">
        <v>340</v>
      </c>
      <c r="C2" t="s">
        <v>341</v>
      </c>
      <c r="D2" t="s">
        <v>351</v>
      </c>
    </row>
    <row r="3" spans="2:9" ht="15.75" thickBot="1" x14ac:dyDescent="0.3"/>
    <row r="4" spans="2:9" x14ac:dyDescent="0.25">
      <c r="B4" s="341" t="s">
        <v>10</v>
      </c>
      <c r="C4" s="62" t="s">
        <v>14</v>
      </c>
      <c r="D4" s="65" t="s">
        <v>14</v>
      </c>
      <c r="E4" s="330" t="s">
        <v>354</v>
      </c>
      <c r="F4" s="321" t="s">
        <v>355</v>
      </c>
    </row>
    <row r="5" spans="2:9" ht="15.75" thickBot="1" x14ac:dyDescent="0.3">
      <c r="B5" s="342"/>
      <c r="C5" s="63" t="s">
        <v>290</v>
      </c>
      <c r="D5" s="27" t="s">
        <v>291</v>
      </c>
      <c r="E5" s="331"/>
      <c r="F5" s="322"/>
    </row>
    <row r="6" spans="2:9" ht="15.75" thickBot="1" x14ac:dyDescent="0.3">
      <c r="B6" s="346" t="s">
        <v>34</v>
      </c>
      <c r="C6" s="346" t="s">
        <v>35</v>
      </c>
      <c r="D6" s="16" t="s">
        <v>35</v>
      </c>
      <c r="E6" s="331"/>
      <c r="F6" s="322"/>
    </row>
    <row r="7" spans="2:9" ht="15.75" thickBot="1" x14ac:dyDescent="0.3">
      <c r="B7" s="347"/>
      <c r="C7" s="347"/>
      <c r="D7" s="19" t="s">
        <v>36</v>
      </c>
      <c r="E7" s="327"/>
      <c r="F7" s="323"/>
    </row>
    <row r="8" spans="2:9" x14ac:dyDescent="0.25">
      <c r="B8" s="44">
        <v>1</v>
      </c>
      <c r="C8" s="157">
        <v>0.10197199999999999</v>
      </c>
      <c r="D8" s="58">
        <f>1/9.80665</f>
        <v>0.10197162129779283</v>
      </c>
      <c r="E8" s="92">
        <f>C8-D8</f>
        <v>3.7870220716273995E-7</v>
      </c>
      <c r="F8" s="162">
        <f>(100*E8)/D8</f>
        <v>3.7137999998724836E-4</v>
      </c>
    </row>
    <row r="9" spans="2:9" x14ac:dyDescent="0.25">
      <c r="B9" s="47">
        <v>624</v>
      </c>
      <c r="C9" s="155">
        <v>63.630299999999998</v>
      </c>
      <c r="D9" s="26">
        <f>624/9.80665</f>
        <v>63.630291689822727</v>
      </c>
      <c r="E9" s="91">
        <f t="shared" ref="E9:E13" si="0">C9-D9</f>
        <v>8.3101772716531741E-6</v>
      </c>
      <c r="F9" s="153">
        <f t="shared" ref="F9:F13" si="1">(100*E9)/D9</f>
        <v>1.3060096144400255E-5</v>
      </c>
    </row>
    <row r="10" spans="2:9" x14ac:dyDescent="0.25">
      <c r="B10" s="47">
        <v>10397</v>
      </c>
      <c r="C10" s="155">
        <v>1060.2</v>
      </c>
      <c r="D10" s="26">
        <f>10397/9.80665</f>
        <v>1060.198946633152</v>
      </c>
      <c r="E10" s="91">
        <f t="shared" si="0"/>
        <v>1.0533668480547931E-3</v>
      </c>
      <c r="F10" s="153">
        <f t="shared" si="1"/>
        <v>9.9355583345931876E-5</v>
      </c>
    </row>
    <row r="11" spans="2:9" x14ac:dyDescent="0.25">
      <c r="B11" s="47">
        <v>11223344556677</v>
      </c>
      <c r="C11" s="155">
        <v>1144462640828</v>
      </c>
      <c r="D11" s="26">
        <f>11223344556677/9.80665</f>
        <v>1144462640828.1116</v>
      </c>
      <c r="E11" s="91">
        <f t="shared" si="0"/>
        <v>-0.111572265625</v>
      </c>
      <c r="F11" s="153">
        <f t="shared" si="1"/>
        <v>-9.7488779139412022E-12</v>
      </c>
    </row>
    <row r="12" spans="2:9" x14ac:dyDescent="0.25">
      <c r="B12" s="93">
        <v>0.12345</v>
      </c>
      <c r="C12" s="155">
        <v>1.25884E-2</v>
      </c>
      <c r="D12" s="26">
        <f>0.12345/9.80665</f>
        <v>1.2588396649212526E-2</v>
      </c>
      <c r="E12" s="91">
        <f t="shared" si="0"/>
        <v>3.3507874738769594E-9</v>
      </c>
      <c r="F12" s="153">
        <f t="shared" si="1"/>
        <v>2.6618063977882123E-5</v>
      </c>
    </row>
    <row r="13" spans="2:9" ht="15.75" thickBot="1" x14ac:dyDescent="0.3">
      <c r="B13" s="86">
        <v>-521</v>
      </c>
      <c r="C13" s="158">
        <v>-53.127200000000002</v>
      </c>
      <c r="D13" s="59">
        <f>-521/9.80665</f>
        <v>-53.127214696150062</v>
      </c>
      <c r="E13" s="94">
        <f t="shared" si="0"/>
        <v>1.4696150060444779E-5</v>
      </c>
      <c r="F13" s="163">
        <f t="shared" si="1"/>
        <v>-2.7662188097938731E-5</v>
      </c>
    </row>
    <row r="14" spans="2:9" ht="15.75" thickBot="1" x14ac:dyDescent="0.3">
      <c r="C14" s="165"/>
      <c r="D14" s="165"/>
      <c r="E14" s="223"/>
      <c r="F14" s="164"/>
    </row>
    <row r="15" spans="2:9" x14ac:dyDescent="0.25">
      <c r="B15" s="341" t="s">
        <v>10</v>
      </c>
      <c r="C15" s="166" t="s">
        <v>14</v>
      </c>
      <c r="D15" s="168" t="s">
        <v>14</v>
      </c>
      <c r="E15" s="343" t="s">
        <v>354</v>
      </c>
      <c r="F15" s="357" t="s">
        <v>355</v>
      </c>
    </row>
    <row r="16" spans="2:9" ht="15.75" thickBot="1" x14ac:dyDescent="0.3">
      <c r="B16" s="342"/>
      <c r="C16" s="167" t="s">
        <v>290</v>
      </c>
      <c r="D16" s="169" t="s">
        <v>291</v>
      </c>
      <c r="E16" s="344"/>
      <c r="F16" s="358"/>
    </row>
    <row r="17" spans="2:6" ht="15.75" thickBot="1" x14ac:dyDescent="0.3">
      <c r="B17" s="346" t="s">
        <v>35</v>
      </c>
      <c r="C17" s="363" t="s">
        <v>34</v>
      </c>
      <c r="D17" s="177" t="s">
        <v>34</v>
      </c>
      <c r="E17" s="344"/>
      <c r="F17" s="358"/>
    </row>
    <row r="18" spans="2:6" ht="15.75" thickBot="1" x14ac:dyDescent="0.3">
      <c r="B18" s="347"/>
      <c r="C18" s="364"/>
      <c r="D18" s="209" t="s">
        <v>68</v>
      </c>
      <c r="E18" s="345"/>
      <c r="F18" s="359"/>
    </row>
    <row r="19" spans="2:6" x14ac:dyDescent="0.25">
      <c r="B19" s="95">
        <v>1</v>
      </c>
      <c r="C19" s="154">
        <v>9.8066499999999994</v>
      </c>
      <c r="D19" s="58">
        <f>B19*C19</f>
        <v>9.8066499999999994</v>
      </c>
      <c r="E19" s="92">
        <f>C19-D19</f>
        <v>0</v>
      </c>
      <c r="F19" s="162">
        <f>(100*E19)/D19</f>
        <v>0</v>
      </c>
    </row>
    <row r="20" spans="2:6" x14ac:dyDescent="0.25">
      <c r="B20" s="32">
        <v>624</v>
      </c>
      <c r="C20" s="155">
        <v>6119.35</v>
      </c>
      <c r="D20" s="26">
        <f>B20*C19</f>
        <v>6119.3495999999996</v>
      </c>
      <c r="E20" s="91">
        <f t="shared" ref="E20:E24" si="2">C20-D20</f>
        <v>4.0000000080908649E-4</v>
      </c>
      <c r="F20" s="153">
        <f t="shared" ref="F20:F24" si="3">(100*E20)/D20</f>
        <v>6.5366424041059286E-6</v>
      </c>
    </row>
    <row r="21" spans="2:6" x14ac:dyDescent="0.25">
      <c r="B21" s="32">
        <v>10397</v>
      </c>
      <c r="C21" s="155">
        <v>101960</v>
      </c>
      <c r="D21" s="26">
        <f>B21*C19</f>
        <v>101959.74004999999</v>
      </c>
      <c r="E21" s="91">
        <f t="shared" si="2"/>
        <v>0.25995000000693835</v>
      </c>
      <c r="F21" s="153">
        <f t="shared" si="3"/>
        <v>2.5495357273318036E-4</v>
      </c>
    </row>
    <row r="22" spans="2:6" x14ac:dyDescent="0.25">
      <c r="B22" s="32">
        <v>11223344556677</v>
      </c>
      <c r="C22" s="155">
        <f>11223344556677*9.80665</f>
        <v>110063411896736.5</v>
      </c>
      <c r="D22" s="26">
        <f>B22*C19</f>
        <v>110063411896736.5</v>
      </c>
      <c r="E22" s="91">
        <f>C22-D22</f>
        <v>0</v>
      </c>
      <c r="F22" s="153">
        <f t="shared" si="3"/>
        <v>0</v>
      </c>
    </row>
    <row r="23" spans="2:6" x14ac:dyDescent="0.25">
      <c r="B23" s="96">
        <v>0.12345</v>
      </c>
      <c r="C23" s="155">
        <v>1.2106300000000001</v>
      </c>
      <c r="D23" s="26">
        <f>B23*C19</f>
        <v>1.2106309424999999</v>
      </c>
      <c r="E23" s="91">
        <f t="shared" si="2"/>
        <v>-9.4249999982309873E-7</v>
      </c>
      <c r="F23" s="153">
        <f t="shared" si="3"/>
        <v>-7.7851966832831782E-5</v>
      </c>
    </row>
    <row r="24" spans="2:6" ht="15.75" thickBot="1" x14ac:dyDescent="0.3">
      <c r="B24" s="34">
        <v>-521</v>
      </c>
      <c r="C24" s="158">
        <v>-5109.26</v>
      </c>
      <c r="D24" s="59">
        <f>B24*C19</f>
        <v>-5109.2646500000001</v>
      </c>
      <c r="E24" s="94">
        <f t="shared" si="2"/>
        <v>4.649999999855936E-3</v>
      </c>
      <c r="F24" s="163">
        <f t="shared" si="3"/>
        <v>-9.1011139927072208E-5</v>
      </c>
    </row>
  </sheetData>
  <mergeCells count="11">
    <mergeCell ref="B1:I1"/>
    <mergeCell ref="B4:B5"/>
    <mergeCell ref="B15:B16"/>
    <mergeCell ref="E4:E7"/>
    <mergeCell ref="E15:E18"/>
    <mergeCell ref="B6:B7"/>
    <mergeCell ref="C6:C7"/>
    <mergeCell ref="C17:C18"/>
    <mergeCell ref="B17:B18"/>
    <mergeCell ref="F4:F7"/>
    <mergeCell ref="F15:F18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47"/>
  <sheetViews>
    <sheetView workbookViewId="0">
      <pane xSplit="2" ySplit="1" topLeftCell="D26" activePane="bottomRight" state="frozen"/>
      <selection pane="topRight" activeCell="C1" sqref="C1"/>
      <selection pane="bottomLeft" activeCell="A2" sqref="A2"/>
      <selection pane="bottomRight" activeCell="D13" sqref="D13"/>
    </sheetView>
  </sheetViews>
  <sheetFormatPr defaultRowHeight="15" x14ac:dyDescent="0.25"/>
  <cols>
    <col min="1" max="1" width="4.28515625" customWidth="1"/>
    <col min="2" max="2" width="22.28515625" bestFit="1" customWidth="1"/>
    <col min="3" max="3" width="31.28515625" bestFit="1" customWidth="1"/>
    <col min="4" max="4" width="42.42578125" bestFit="1" customWidth="1"/>
    <col min="5" max="5" width="23.7109375" bestFit="1" customWidth="1"/>
    <col min="6" max="6" width="26.42578125" customWidth="1"/>
    <col min="7" max="7" width="31.28515625" bestFit="1" customWidth="1"/>
    <col min="8" max="8" width="42.42578125" bestFit="1" customWidth="1"/>
    <col min="9" max="9" width="23.85546875" bestFit="1" customWidth="1"/>
    <col min="10" max="10" width="23.7109375" bestFit="1" customWidth="1"/>
    <col min="11" max="11" width="19.5703125" bestFit="1" customWidth="1"/>
    <col min="12" max="13" width="17.85546875" bestFit="1" customWidth="1"/>
  </cols>
  <sheetData>
    <row r="1" spans="2:10" ht="31.5" x14ac:dyDescent="0.5">
      <c r="B1" s="340" t="s">
        <v>289</v>
      </c>
      <c r="C1" s="340"/>
      <c r="D1" s="340"/>
      <c r="E1" s="340"/>
      <c r="F1" s="340"/>
      <c r="G1" s="340"/>
      <c r="H1" s="340"/>
      <c r="I1" s="340"/>
      <c r="J1" s="340"/>
    </row>
    <row r="2" spans="2:10" x14ac:dyDescent="0.25">
      <c r="B2" s="70" t="s">
        <v>340</v>
      </c>
      <c r="C2" t="s">
        <v>341</v>
      </c>
      <c r="D2" t="s">
        <v>351</v>
      </c>
    </row>
    <row r="3" spans="2:10" ht="15.75" thickBot="1" x14ac:dyDescent="0.3"/>
    <row r="4" spans="2:10" x14ac:dyDescent="0.25">
      <c r="B4" s="341" t="s">
        <v>10</v>
      </c>
      <c r="C4" s="62" t="s">
        <v>14</v>
      </c>
      <c r="D4" s="65" t="s">
        <v>14</v>
      </c>
      <c r="E4" s="330" t="s">
        <v>354</v>
      </c>
      <c r="F4" s="324" t="s">
        <v>355</v>
      </c>
      <c r="G4" s="62" t="s">
        <v>14</v>
      </c>
      <c r="H4" s="65" t="s">
        <v>14</v>
      </c>
      <c r="I4" s="330" t="s">
        <v>354</v>
      </c>
      <c r="J4" s="321" t="s">
        <v>355</v>
      </c>
    </row>
    <row r="5" spans="2:10" ht="15.75" thickBot="1" x14ac:dyDescent="0.3">
      <c r="B5" s="342"/>
      <c r="C5" s="63" t="s">
        <v>290</v>
      </c>
      <c r="D5" s="27" t="s">
        <v>291</v>
      </c>
      <c r="E5" s="331"/>
      <c r="F5" s="325"/>
      <c r="G5" s="63" t="s">
        <v>290</v>
      </c>
      <c r="H5" s="27" t="s">
        <v>291</v>
      </c>
      <c r="I5" s="331"/>
      <c r="J5" s="322"/>
    </row>
    <row r="6" spans="2:10" ht="15.75" thickBot="1" x14ac:dyDescent="0.3">
      <c r="B6" s="387" t="s">
        <v>15</v>
      </c>
      <c r="C6" s="388" t="s">
        <v>16</v>
      </c>
      <c r="D6" s="18" t="s">
        <v>16</v>
      </c>
      <c r="E6" s="331"/>
      <c r="F6" s="326"/>
      <c r="G6" s="388" t="s">
        <v>17</v>
      </c>
      <c r="H6" s="18" t="s">
        <v>17</v>
      </c>
      <c r="I6" s="331"/>
      <c r="J6" s="322"/>
    </row>
    <row r="7" spans="2:10" ht="30.75" thickBot="1" x14ac:dyDescent="0.3">
      <c r="B7" s="347"/>
      <c r="C7" s="389"/>
      <c r="D7" s="97" t="s">
        <v>151</v>
      </c>
      <c r="E7" s="327"/>
      <c r="F7" s="327"/>
      <c r="G7" s="389"/>
      <c r="H7" s="98" t="s">
        <v>150</v>
      </c>
      <c r="I7" s="327"/>
      <c r="J7" s="323"/>
    </row>
    <row r="8" spans="2:10" x14ac:dyDescent="0.25">
      <c r="B8" s="95">
        <v>1</v>
      </c>
      <c r="C8" s="154">
        <v>33.799999999999997</v>
      </c>
      <c r="D8" s="106">
        <v>33.799999999999997</v>
      </c>
      <c r="E8" s="100">
        <f>C8-D8</f>
        <v>0</v>
      </c>
      <c r="F8" s="54">
        <f>(100*E8)/D8</f>
        <v>0</v>
      </c>
      <c r="G8" s="230">
        <v>274.14999999999998</v>
      </c>
      <c r="H8" s="106">
        <v>274.14999999999998</v>
      </c>
      <c r="I8" s="100">
        <f>G8-H8</f>
        <v>0</v>
      </c>
      <c r="J8" s="162">
        <f>(100*I8)/H8</f>
        <v>0</v>
      </c>
    </row>
    <row r="9" spans="2:10" x14ac:dyDescent="0.25">
      <c r="B9" s="32">
        <v>50</v>
      </c>
      <c r="C9" s="159">
        <v>122</v>
      </c>
      <c r="D9" s="104">
        <v>122</v>
      </c>
      <c r="E9" s="99">
        <f t="shared" ref="E9:E17" si="0">C9-D9</f>
        <v>0</v>
      </c>
      <c r="F9" s="52">
        <f t="shared" ref="F9:F17" si="1">(100*E9)/D9</f>
        <v>0</v>
      </c>
      <c r="G9" s="231">
        <v>323.14999999999998</v>
      </c>
      <c r="H9" s="104">
        <v>323.14999999999998</v>
      </c>
      <c r="I9" s="99">
        <f t="shared" ref="I9:I17" si="2">G9-H9</f>
        <v>0</v>
      </c>
      <c r="J9" s="153">
        <f t="shared" ref="J9:J17" si="3">(100*I9)/H9</f>
        <v>0</v>
      </c>
    </row>
    <row r="10" spans="2:10" x14ac:dyDescent="0.25">
      <c r="B10" s="32">
        <v>456</v>
      </c>
      <c r="C10" s="159">
        <v>852.8</v>
      </c>
      <c r="D10" s="104">
        <v>852.8</v>
      </c>
      <c r="E10" s="99">
        <f t="shared" si="0"/>
        <v>0</v>
      </c>
      <c r="F10" s="52">
        <f t="shared" si="1"/>
        <v>0</v>
      </c>
      <c r="G10" s="231">
        <v>729.15</v>
      </c>
      <c r="H10" s="104">
        <v>729.15</v>
      </c>
      <c r="I10" s="99">
        <f t="shared" si="2"/>
        <v>0</v>
      </c>
      <c r="J10" s="153">
        <f t="shared" si="3"/>
        <v>0</v>
      </c>
    </row>
    <row r="11" spans="2:10" x14ac:dyDescent="0.25">
      <c r="B11" s="32">
        <v>3214</v>
      </c>
      <c r="C11" s="159">
        <v>5817.2</v>
      </c>
      <c r="D11" s="104">
        <v>5817.2</v>
      </c>
      <c r="E11" s="99">
        <f t="shared" si="0"/>
        <v>0</v>
      </c>
      <c r="F11" s="52">
        <f t="shared" si="1"/>
        <v>0</v>
      </c>
      <c r="G11" s="231">
        <v>3487.15</v>
      </c>
      <c r="H11" s="104">
        <v>3487.15</v>
      </c>
      <c r="I11" s="99">
        <f t="shared" si="2"/>
        <v>0</v>
      </c>
      <c r="J11" s="153">
        <f t="shared" si="3"/>
        <v>0</v>
      </c>
    </row>
    <row r="12" spans="2:10" x14ac:dyDescent="0.25">
      <c r="B12" s="32">
        <v>13467</v>
      </c>
      <c r="C12" s="159">
        <v>24272.6</v>
      </c>
      <c r="D12" s="104">
        <v>24272.6</v>
      </c>
      <c r="E12" s="99">
        <f t="shared" si="0"/>
        <v>0</v>
      </c>
      <c r="F12" s="52">
        <f t="shared" si="1"/>
        <v>0</v>
      </c>
      <c r="G12" s="231">
        <v>13740.2</v>
      </c>
      <c r="H12" s="104">
        <v>13740.15</v>
      </c>
      <c r="I12" s="99">
        <f t="shared" si="2"/>
        <v>5.0000000001091394E-2</v>
      </c>
      <c r="J12" s="153">
        <f t="shared" si="3"/>
        <v>3.6389704625561871E-4</v>
      </c>
    </row>
    <row r="13" spans="2:10" x14ac:dyDescent="0.25">
      <c r="B13" s="32">
        <v>33225588774411</v>
      </c>
      <c r="C13" s="159">
        <v>59806059793972</v>
      </c>
      <c r="D13" s="104">
        <v>59806059793971.797</v>
      </c>
      <c r="E13" s="99">
        <f t="shared" si="0"/>
        <v>0.203125</v>
      </c>
      <c r="F13" s="52">
        <f t="shared" si="1"/>
        <v>3.3963949589682577E-13</v>
      </c>
      <c r="G13" s="231">
        <v>33225588774684</v>
      </c>
      <c r="H13" s="104">
        <v>33225588774684.102</v>
      </c>
      <c r="I13" s="99">
        <f t="shared" si="2"/>
        <v>-0.1015625</v>
      </c>
      <c r="J13" s="153">
        <f t="shared" si="3"/>
        <v>-3.0567554630479419E-13</v>
      </c>
    </row>
    <row r="14" spans="2:10" x14ac:dyDescent="0.25">
      <c r="B14" s="32">
        <v>333555777</v>
      </c>
      <c r="C14" s="159">
        <v>600400431</v>
      </c>
      <c r="D14" s="104">
        <v>600400430.60000002</v>
      </c>
      <c r="E14" s="99">
        <f t="shared" si="0"/>
        <v>0.39999997615814209</v>
      </c>
      <c r="F14" s="52">
        <f t="shared" si="1"/>
        <v>6.6622200080437792E-8</v>
      </c>
      <c r="G14" s="231">
        <v>333556050</v>
      </c>
      <c r="H14" s="104">
        <v>333556050.14999998</v>
      </c>
      <c r="I14" s="99">
        <f t="shared" si="2"/>
        <v>-0.14999997615814209</v>
      </c>
      <c r="J14" s="153">
        <f t="shared" si="3"/>
        <v>-4.4969946157680902E-8</v>
      </c>
    </row>
    <row r="15" spans="2:10" x14ac:dyDescent="0.25">
      <c r="B15" s="33">
        <v>0.32140000000000002</v>
      </c>
      <c r="C15" s="159">
        <v>32.578499999999998</v>
      </c>
      <c r="D15" s="104">
        <v>32.578519999999997</v>
      </c>
      <c r="E15" s="99">
        <f t="shared" si="0"/>
        <v>-1.9999999999242846E-5</v>
      </c>
      <c r="F15" s="52">
        <f t="shared" si="1"/>
        <v>-6.1390142950762793E-5</v>
      </c>
      <c r="G15" s="231">
        <v>273.471</v>
      </c>
      <c r="H15" s="104">
        <v>273.47140000000002</v>
      </c>
      <c r="I15" s="99">
        <f t="shared" si="2"/>
        <v>-4.0000000001327862E-4</v>
      </c>
      <c r="J15" s="153">
        <f t="shared" si="3"/>
        <v>-1.4626758045385317E-4</v>
      </c>
    </row>
    <row r="16" spans="2:10" x14ac:dyDescent="0.25">
      <c r="B16" s="32">
        <v>-250</v>
      </c>
      <c r="C16" s="159">
        <v>-418</v>
      </c>
      <c r="D16" s="104">
        <v>-418</v>
      </c>
      <c r="E16" s="99">
        <f t="shared" si="0"/>
        <v>0</v>
      </c>
      <c r="F16" s="52">
        <f t="shared" si="1"/>
        <v>0</v>
      </c>
      <c r="G16" s="231">
        <v>23.15</v>
      </c>
      <c r="H16" s="104">
        <v>23.15</v>
      </c>
      <c r="I16" s="99">
        <f t="shared" si="2"/>
        <v>0</v>
      </c>
      <c r="J16" s="153">
        <f t="shared" si="3"/>
        <v>0</v>
      </c>
    </row>
    <row r="17" spans="2:10" ht="15.75" thickBot="1" x14ac:dyDescent="0.3">
      <c r="B17" s="34">
        <v>16772</v>
      </c>
      <c r="C17" s="156">
        <v>30221.599999999999</v>
      </c>
      <c r="D17" s="160">
        <v>30221.599999999999</v>
      </c>
      <c r="E17" s="101">
        <f t="shared" si="0"/>
        <v>0</v>
      </c>
      <c r="F17" s="57">
        <f t="shared" si="1"/>
        <v>0</v>
      </c>
      <c r="G17" s="232">
        <v>17045.2</v>
      </c>
      <c r="H17" s="160">
        <v>17045.150000000001</v>
      </c>
      <c r="I17" s="101">
        <f t="shared" si="2"/>
        <v>4.9999999999272404E-2</v>
      </c>
      <c r="J17" s="163">
        <f t="shared" si="3"/>
        <v>2.9333857431159245E-4</v>
      </c>
    </row>
    <row r="18" spans="2:10" ht="15.75" thickBot="1" x14ac:dyDescent="0.3">
      <c r="C18" s="165"/>
      <c r="D18" s="224"/>
      <c r="E18" s="164"/>
      <c r="F18" s="228"/>
      <c r="G18" s="165"/>
      <c r="H18" s="224"/>
      <c r="I18" s="228"/>
      <c r="J18" s="164"/>
    </row>
    <row r="19" spans="2:10" x14ac:dyDescent="0.25">
      <c r="B19" s="341" t="s">
        <v>10</v>
      </c>
      <c r="C19" s="166" t="s">
        <v>14</v>
      </c>
      <c r="D19" s="168" t="s">
        <v>14</v>
      </c>
      <c r="E19" s="343" t="s">
        <v>354</v>
      </c>
      <c r="F19" s="352" t="s">
        <v>355</v>
      </c>
      <c r="G19" s="166" t="s">
        <v>14</v>
      </c>
      <c r="H19" s="168" t="s">
        <v>14</v>
      </c>
      <c r="I19" s="343" t="s">
        <v>354</v>
      </c>
      <c r="J19" s="357" t="s">
        <v>355</v>
      </c>
    </row>
    <row r="20" spans="2:10" ht="15.75" thickBot="1" x14ac:dyDescent="0.3">
      <c r="B20" s="342"/>
      <c r="C20" s="167" t="s">
        <v>290</v>
      </c>
      <c r="D20" s="169" t="s">
        <v>291</v>
      </c>
      <c r="E20" s="344"/>
      <c r="F20" s="353"/>
      <c r="G20" s="167" t="s">
        <v>290</v>
      </c>
      <c r="H20" s="169" t="s">
        <v>291</v>
      </c>
      <c r="I20" s="344"/>
      <c r="J20" s="358"/>
    </row>
    <row r="21" spans="2:10" ht="15.75" thickBot="1" x14ac:dyDescent="0.3">
      <c r="B21" s="388" t="s">
        <v>16</v>
      </c>
      <c r="C21" s="363" t="s">
        <v>15</v>
      </c>
      <c r="D21" s="225" t="s">
        <v>15</v>
      </c>
      <c r="E21" s="344"/>
      <c r="F21" s="354"/>
      <c r="G21" s="390" t="s">
        <v>17</v>
      </c>
      <c r="H21" s="225" t="s">
        <v>17</v>
      </c>
      <c r="I21" s="344"/>
      <c r="J21" s="358"/>
    </row>
    <row r="22" spans="2:10" ht="30.75" thickBot="1" x14ac:dyDescent="0.3">
      <c r="B22" s="389"/>
      <c r="C22" s="364"/>
      <c r="D22" s="226" t="s">
        <v>153</v>
      </c>
      <c r="E22" s="345"/>
      <c r="F22" s="345"/>
      <c r="G22" s="391"/>
      <c r="H22" s="233" t="s">
        <v>152</v>
      </c>
      <c r="I22" s="345"/>
      <c r="J22" s="359"/>
    </row>
    <row r="23" spans="2:10" x14ac:dyDescent="0.25">
      <c r="B23" s="102" t="s">
        <v>5</v>
      </c>
      <c r="C23" s="154">
        <v>-17.222200000000001</v>
      </c>
      <c r="D23" s="106">
        <v>-17.222222220500001</v>
      </c>
      <c r="E23" s="100">
        <f t="shared" ref="E23:E28" si="4">C23-D23</f>
        <v>2.2220500000003085E-5</v>
      </c>
      <c r="F23" s="54">
        <f>(100*E23)/D23</f>
        <v>-1.2902225807743625E-4</v>
      </c>
      <c r="G23" s="154">
        <v>255.928</v>
      </c>
      <c r="H23" s="106">
        <v>255.92777777949999</v>
      </c>
      <c r="I23" s="100">
        <f>G23-H23</f>
        <v>2.222205000066424E-4</v>
      </c>
      <c r="J23" s="162">
        <f>(100*I23)/H23</f>
        <v>8.6829378950065045E-5</v>
      </c>
    </row>
    <row r="24" spans="2:10" x14ac:dyDescent="0.25">
      <c r="B24" s="35">
        <v>70</v>
      </c>
      <c r="C24" s="159">
        <v>21.1111</v>
      </c>
      <c r="D24" s="104">
        <v>21.111111108999999</v>
      </c>
      <c r="E24" s="99">
        <f t="shared" si="4"/>
        <v>-1.1108999999009939E-5</v>
      </c>
      <c r="F24" s="52">
        <f t="shared" ref="F24:F32" si="5">(100*E24)/D24</f>
        <v>-5.2621578947940813E-5</v>
      </c>
      <c r="G24" s="159">
        <v>294.26100000000002</v>
      </c>
      <c r="H24" s="104">
        <v>294.26111110900001</v>
      </c>
      <c r="I24" s="99">
        <f t="shared" ref="I24:I32" si="6">G24-H24</f>
        <v>-1.1110899998811874E-4</v>
      </c>
      <c r="J24" s="153">
        <f t="shared" ref="J24:J32" si="7">(100*I24)/H24</f>
        <v>-3.7758642169661969E-5</v>
      </c>
    </row>
    <row r="25" spans="2:10" x14ac:dyDescent="0.25">
      <c r="B25" s="35">
        <v>398</v>
      </c>
      <c r="C25" s="159">
        <v>203.333</v>
      </c>
      <c r="D25" s="104">
        <v>203.333333313</v>
      </c>
      <c r="E25" s="99">
        <f t="shared" si="4"/>
        <v>-3.3331299999872499E-4</v>
      </c>
      <c r="F25" s="52">
        <f t="shared" si="5"/>
        <v>-1.6392442624527359E-4</v>
      </c>
      <c r="G25" s="159">
        <v>476.483</v>
      </c>
      <c r="H25" s="104">
        <v>476.483333313</v>
      </c>
      <c r="I25" s="99">
        <f t="shared" si="6"/>
        <v>-3.3331299999872499E-4</v>
      </c>
      <c r="J25" s="153">
        <f t="shared" si="7"/>
        <v>-6.9952709086630948E-5</v>
      </c>
    </row>
    <row r="26" spans="2:10" x14ac:dyDescent="0.25">
      <c r="B26" s="35">
        <v>7894</v>
      </c>
      <c r="C26" s="159">
        <v>4367.78</v>
      </c>
      <c r="D26" s="104">
        <v>4367.7777773409998</v>
      </c>
      <c r="E26" s="99">
        <f t="shared" si="4"/>
        <v>2.2226589999263524E-3</v>
      </c>
      <c r="F26" s="52">
        <f t="shared" si="5"/>
        <v>5.0887639280940131E-5</v>
      </c>
      <c r="G26" s="159">
        <v>4640.93</v>
      </c>
      <c r="H26" s="104">
        <v>4640.9277773410004</v>
      </c>
      <c r="I26" s="99">
        <f t="shared" si="6"/>
        <v>2.2226589999263524E-3</v>
      </c>
      <c r="J26" s="153">
        <f t="shared" si="7"/>
        <v>4.7892557405834388E-5</v>
      </c>
    </row>
    <row r="27" spans="2:10" x14ac:dyDescent="0.25">
      <c r="B27" s="35">
        <v>41236</v>
      </c>
      <c r="C27" s="159">
        <v>22891.1</v>
      </c>
      <c r="D27" s="104">
        <v>22891.111108821999</v>
      </c>
      <c r="E27" s="99">
        <f t="shared" si="4"/>
        <v>-1.1108822000096552E-2</v>
      </c>
      <c r="F27" s="52">
        <f t="shared" si="5"/>
        <v>-4.8528976803643776E-5</v>
      </c>
      <c r="G27" s="159">
        <v>23164.3</v>
      </c>
      <c r="H27" s="104">
        <v>23164.261108822</v>
      </c>
      <c r="I27" s="99">
        <f t="shared" si="6"/>
        <v>3.8891177999175852E-2</v>
      </c>
      <c r="J27" s="153">
        <f t="shared" si="7"/>
        <v>1.6789302199828998E-4</v>
      </c>
    </row>
    <row r="28" spans="2:10" x14ac:dyDescent="0.25">
      <c r="B28" s="35" t="s">
        <v>0</v>
      </c>
      <c r="C28" s="159">
        <v>49195673026537</v>
      </c>
      <c r="D28" s="104">
        <v>49195673026537.203</v>
      </c>
      <c r="E28" s="99">
        <f t="shared" si="4"/>
        <v>-0.203125</v>
      </c>
      <c r="F28" s="52">
        <f t="shared" si="5"/>
        <v>-4.1289200351102018E-13</v>
      </c>
      <c r="G28" s="159">
        <v>49195673026810</v>
      </c>
      <c r="H28" s="104">
        <v>49195673026810.297</v>
      </c>
      <c r="I28" s="99">
        <f t="shared" si="6"/>
        <v>-0.296875</v>
      </c>
      <c r="J28" s="153">
        <f t="shared" si="7"/>
        <v>-6.0345754358967956E-13</v>
      </c>
    </row>
    <row r="29" spans="2:10" x14ac:dyDescent="0.25">
      <c r="B29" s="35" t="s">
        <v>1</v>
      </c>
      <c r="C29" s="159">
        <v>370308562</v>
      </c>
      <c r="D29" s="104">
        <v>370308562.22222197</v>
      </c>
      <c r="E29" s="99">
        <f t="shared" ref="E29:E32" si="8">C29-D29</f>
        <v>-0.2222219705581665</v>
      </c>
      <c r="F29" s="52">
        <f t="shared" si="5"/>
        <v>-6.0009946630618605E-8</v>
      </c>
      <c r="G29" s="159">
        <v>370308835</v>
      </c>
      <c r="H29" s="104">
        <v>370308835.37222201</v>
      </c>
      <c r="I29" s="99">
        <f t="shared" si="6"/>
        <v>-0.37222200632095337</v>
      </c>
      <c r="J29" s="153">
        <f t="shared" si="7"/>
        <v>-1.0051664199338055E-7</v>
      </c>
    </row>
    <row r="30" spans="2:10" x14ac:dyDescent="0.25">
      <c r="B30" s="35" t="s">
        <v>2</v>
      </c>
      <c r="C30" s="159">
        <v>-17.339099999999998</v>
      </c>
      <c r="D30" s="104">
        <v>-17.339083333333299</v>
      </c>
      <c r="E30" s="99">
        <f t="shared" si="8"/>
        <v>-1.6666666699194366E-5</v>
      </c>
      <c r="F30" s="52">
        <f t="shared" si="5"/>
        <v>9.6121959729864994E-5</v>
      </c>
      <c r="G30" s="159">
        <v>255.81100000000001</v>
      </c>
      <c r="H30" s="104">
        <v>255.810916666666</v>
      </c>
      <c r="I30" s="99">
        <f t="shared" si="6"/>
        <v>8.3333334004009885E-5</v>
      </c>
      <c r="J30" s="153">
        <f t="shared" si="7"/>
        <v>3.2576144556253342E-5</v>
      </c>
    </row>
    <row r="31" spans="2:10" x14ac:dyDescent="0.25">
      <c r="B31" s="35" t="s">
        <v>3</v>
      </c>
      <c r="C31" s="159">
        <v>2.5261100000000001</v>
      </c>
      <c r="D31" s="104">
        <v>2.5261111111111099</v>
      </c>
      <c r="E31" s="99">
        <f t="shared" si="8"/>
        <v>-1.1111111097861226E-6</v>
      </c>
      <c r="F31" s="52">
        <f t="shared" si="5"/>
        <v>-4.3985045032219524E-5</v>
      </c>
      <c r="G31" s="159">
        <v>275.67599999999999</v>
      </c>
      <c r="H31" s="104">
        <v>275.67611111111103</v>
      </c>
      <c r="I31" s="99">
        <f t="shared" si="6"/>
        <v>-1.1111111103900839E-4</v>
      </c>
      <c r="J31" s="153">
        <f t="shared" si="7"/>
        <v>-4.0304947204592985E-5</v>
      </c>
    </row>
    <row r="32" spans="2:10" ht="15.75" thickBot="1" x14ac:dyDescent="0.3">
      <c r="B32" s="36" t="s">
        <v>4</v>
      </c>
      <c r="C32" s="156">
        <v>-161.11099999999999</v>
      </c>
      <c r="D32" s="160">
        <v>-161.111111111111</v>
      </c>
      <c r="E32" s="101">
        <f t="shared" si="8"/>
        <v>1.1111111101058668E-4</v>
      </c>
      <c r="F32" s="57">
        <f t="shared" si="5"/>
        <v>-6.8965517178984888E-5</v>
      </c>
      <c r="G32" s="156">
        <v>112.039</v>
      </c>
      <c r="H32" s="160">
        <v>112.038888888888</v>
      </c>
      <c r="I32" s="101">
        <f t="shared" si="6"/>
        <v>1.1111111200534651E-4</v>
      </c>
      <c r="J32" s="163">
        <f t="shared" si="7"/>
        <v>9.9171915311957809E-5</v>
      </c>
    </row>
    <row r="33" spans="2:10" ht="15.75" thickBot="1" x14ac:dyDescent="0.3">
      <c r="B33" s="2"/>
      <c r="C33" s="165"/>
      <c r="D33" s="224"/>
      <c r="E33" s="228"/>
      <c r="F33" s="228"/>
      <c r="G33" s="165"/>
      <c r="H33" s="224"/>
      <c r="I33" s="228"/>
      <c r="J33" s="164"/>
    </row>
    <row r="34" spans="2:10" x14ac:dyDescent="0.25">
      <c r="B34" s="341" t="s">
        <v>10</v>
      </c>
      <c r="C34" s="166" t="s">
        <v>14</v>
      </c>
      <c r="D34" s="168" t="s">
        <v>14</v>
      </c>
      <c r="E34" s="343" t="s">
        <v>354</v>
      </c>
      <c r="F34" s="352" t="s">
        <v>355</v>
      </c>
      <c r="G34" s="166" t="s">
        <v>14</v>
      </c>
      <c r="H34" s="168" t="s">
        <v>14</v>
      </c>
      <c r="I34" s="343" t="s">
        <v>354</v>
      </c>
      <c r="J34" s="357" t="s">
        <v>355</v>
      </c>
    </row>
    <row r="35" spans="2:10" ht="15.75" thickBot="1" x14ac:dyDescent="0.3">
      <c r="B35" s="342"/>
      <c r="C35" s="167" t="s">
        <v>290</v>
      </c>
      <c r="D35" s="169" t="s">
        <v>291</v>
      </c>
      <c r="E35" s="344"/>
      <c r="F35" s="353"/>
      <c r="G35" s="167" t="s">
        <v>290</v>
      </c>
      <c r="H35" s="169" t="s">
        <v>291</v>
      </c>
      <c r="I35" s="344"/>
      <c r="J35" s="358"/>
    </row>
    <row r="36" spans="2:10" ht="15.75" thickBot="1" x14ac:dyDescent="0.3">
      <c r="B36" s="388" t="s">
        <v>17</v>
      </c>
      <c r="C36" s="363" t="s">
        <v>15</v>
      </c>
      <c r="D36" s="225" t="s">
        <v>15</v>
      </c>
      <c r="E36" s="344"/>
      <c r="F36" s="354"/>
      <c r="G36" s="390" t="s">
        <v>16</v>
      </c>
      <c r="H36" s="177" t="s">
        <v>16</v>
      </c>
      <c r="I36" s="344"/>
      <c r="J36" s="358"/>
    </row>
    <row r="37" spans="2:10" ht="15.75" thickBot="1" x14ac:dyDescent="0.3">
      <c r="B37" s="389"/>
      <c r="C37" s="364"/>
      <c r="D37" s="227" t="s">
        <v>154</v>
      </c>
      <c r="E37" s="345"/>
      <c r="F37" s="345"/>
      <c r="G37" s="391"/>
      <c r="H37" s="229" t="s">
        <v>155</v>
      </c>
      <c r="I37" s="345"/>
      <c r="J37" s="359"/>
    </row>
    <row r="38" spans="2:10" x14ac:dyDescent="0.25">
      <c r="B38" s="102">
        <v>1</v>
      </c>
      <c r="C38" s="154">
        <v>-272.14999999999998</v>
      </c>
      <c r="D38" s="106">
        <v>-272.14999999999998</v>
      </c>
      <c r="E38" s="100">
        <f>C38-D38</f>
        <v>0</v>
      </c>
      <c r="F38" s="54">
        <f t="shared" ref="F38:F46" si="9">(100*E38)/D38</f>
        <v>0</v>
      </c>
      <c r="G38" s="154">
        <v>-457.87</v>
      </c>
      <c r="H38" s="106">
        <v>-457.87</v>
      </c>
      <c r="I38" s="100">
        <f>G38-H38</f>
        <v>0</v>
      </c>
      <c r="J38" s="162">
        <f t="shared" ref="J38:J46" si="10">(100*I38)/H38</f>
        <v>0</v>
      </c>
    </row>
    <row r="39" spans="2:10" x14ac:dyDescent="0.25">
      <c r="B39" s="35">
        <v>63</v>
      </c>
      <c r="C39" s="159">
        <v>-210.15</v>
      </c>
      <c r="D39" s="104">
        <v>-210.15</v>
      </c>
      <c r="E39" s="99">
        <f t="shared" ref="E39:E46" si="11">C39-D39</f>
        <v>0</v>
      </c>
      <c r="F39" s="52">
        <f t="shared" si="9"/>
        <v>0</v>
      </c>
      <c r="G39" s="159">
        <v>-346.27</v>
      </c>
      <c r="H39" s="104">
        <v>-346.27</v>
      </c>
      <c r="I39" s="99">
        <f t="shared" ref="I39:I46" si="12">G39-H39</f>
        <v>0</v>
      </c>
      <c r="J39" s="153">
        <f t="shared" si="10"/>
        <v>0</v>
      </c>
    </row>
    <row r="40" spans="2:10" x14ac:dyDescent="0.25">
      <c r="B40" s="35">
        <v>753</v>
      </c>
      <c r="C40" s="159">
        <v>479.85</v>
      </c>
      <c r="D40" s="104">
        <v>479.85</v>
      </c>
      <c r="E40" s="99">
        <f t="shared" si="11"/>
        <v>0</v>
      </c>
      <c r="F40" s="52">
        <f t="shared" si="9"/>
        <v>0</v>
      </c>
      <c r="G40" s="159">
        <v>895.73</v>
      </c>
      <c r="H40" s="104">
        <v>895.73</v>
      </c>
      <c r="I40" s="99">
        <f t="shared" si="12"/>
        <v>0</v>
      </c>
      <c r="J40" s="153">
        <f t="shared" si="10"/>
        <v>0</v>
      </c>
    </row>
    <row r="41" spans="2:10" x14ac:dyDescent="0.25">
      <c r="B41" s="35">
        <v>3578</v>
      </c>
      <c r="C41" s="159">
        <v>3304.85</v>
      </c>
      <c r="D41" s="104">
        <v>3304.85</v>
      </c>
      <c r="E41" s="99">
        <f t="shared" si="11"/>
        <v>0</v>
      </c>
      <c r="F41" s="52">
        <f t="shared" si="9"/>
        <v>0</v>
      </c>
      <c r="G41" s="159">
        <v>5980.73</v>
      </c>
      <c r="H41" s="104">
        <v>5980.73</v>
      </c>
      <c r="I41" s="99">
        <f t="shared" si="12"/>
        <v>0</v>
      </c>
      <c r="J41" s="153">
        <f t="shared" si="10"/>
        <v>0</v>
      </c>
    </row>
    <row r="42" spans="2:10" x14ac:dyDescent="0.25">
      <c r="B42" s="35">
        <v>74123</v>
      </c>
      <c r="C42" s="159">
        <v>73849.8</v>
      </c>
      <c r="D42" s="104">
        <v>73849.850000000006</v>
      </c>
      <c r="E42" s="99">
        <f t="shared" si="11"/>
        <v>-5.0000000002910383E-2</v>
      </c>
      <c r="F42" s="52">
        <f t="shared" si="9"/>
        <v>-6.7704944563747084E-5</v>
      </c>
      <c r="G42" s="159">
        <v>132962</v>
      </c>
      <c r="H42" s="104">
        <v>132961.73000000001</v>
      </c>
      <c r="I42" s="99">
        <f t="shared" si="12"/>
        <v>0.26999999998952262</v>
      </c>
      <c r="J42" s="153">
        <f t="shared" si="10"/>
        <v>2.0306594987108139E-4</v>
      </c>
    </row>
    <row r="43" spans="2:10" x14ac:dyDescent="0.25">
      <c r="B43" s="35" t="s">
        <v>6</v>
      </c>
      <c r="C43" s="159">
        <v>33669988551938</v>
      </c>
      <c r="D43" s="104">
        <v>33669988551937.801</v>
      </c>
      <c r="E43" s="99">
        <f t="shared" si="11"/>
        <v>0.19921875</v>
      </c>
      <c r="F43" s="52">
        <f t="shared" si="9"/>
        <v>5.9168048035625006E-13</v>
      </c>
      <c r="G43" s="159">
        <v>60605979393520</v>
      </c>
      <c r="H43" s="104">
        <v>60605979393520.102</v>
      </c>
      <c r="I43" s="99">
        <f t="shared" si="12"/>
        <v>-0.1015625</v>
      </c>
      <c r="J43" s="153">
        <f t="shared" si="10"/>
        <v>-1.6757834955614776E-13</v>
      </c>
    </row>
    <row r="44" spans="2:10" x14ac:dyDescent="0.25">
      <c r="B44" s="35" t="s">
        <v>7</v>
      </c>
      <c r="C44" s="159">
        <v>444555393</v>
      </c>
      <c r="D44" s="104">
        <v>444555392.85000002</v>
      </c>
      <c r="E44" s="99">
        <f t="shared" si="11"/>
        <v>0.14999997615814209</v>
      </c>
      <c r="F44" s="52">
        <f t="shared" si="9"/>
        <v>3.3741571595050794E-8</v>
      </c>
      <c r="G44" s="159">
        <v>800199739</v>
      </c>
      <c r="H44" s="104">
        <v>800199739.13</v>
      </c>
      <c r="I44" s="99">
        <f t="shared" si="12"/>
        <v>-0.12999999523162842</v>
      </c>
      <c r="J44" s="153">
        <f t="shared" si="10"/>
        <v>-1.6245943215748623E-8</v>
      </c>
    </row>
    <row r="45" spans="2:10" x14ac:dyDescent="0.25">
      <c r="B45" s="35" t="s">
        <v>8</v>
      </c>
      <c r="C45" s="159">
        <v>-272.77999999999997</v>
      </c>
      <c r="D45" s="104">
        <v>-272.78019999999998</v>
      </c>
      <c r="E45" s="99">
        <f t="shared" si="11"/>
        <v>2.0000000000663931E-4</v>
      </c>
      <c r="F45" s="52">
        <f t="shared" si="9"/>
        <v>-7.3319104541546393E-5</v>
      </c>
      <c r="G45" s="159">
        <v>-459.00400000000002</v>
      </c>
      <c r="H45" s="104">
        <v>-459.00436000000002</v>
      </c>
      <c r="I45" s="99">
        <f t="shared" si="12"/>
        <v>3.6000000000058208E-4</v>
      </c>
      <c r="J45" s="153">
        <f t="shared" si="10"/>
        <v>-7.8430627543621173E-5</v>
      </c>
    </row>
    <row r="46" spans="2:10" ht="15.75" thickBot="1" x14ac:dyDescent="0.3">
      <c r="B46" s="36" t="s">
        <v>9</v>
      </c>
      <c r="C46" s="156">
        <v>-205.36099999999999</v>
      </c>
      <c r="D46" s="160">
        <v>-205.36099999999999</v>
      </c>
      <c r="E46" s="101">
        <f t="shared" si="11"/>
        <v>0</v>
      </c>
      <c r="F46" s="57">
        <f t="shared" si="9"/>
        <v>0</v>
      </c>
      <c r="G46" s="156">
        <v>-337.65</v>
      </c>
      <c r="H46" s="160">
        <v>-337.64980000000003</v>
      </c>
      <c r="I46" s="101">
        <f t="shared" si="12"/>
        <v>-1.9999999994979589E-4</v>
      </c>
      <c r="J46" s="163">
        <f t="shared" si="10"/>
        <v>5.9232968581588345E-5</v>
      </c>
    </row>
    <row r="47" spans="2:10" x14ac:dyDescent="0.25">
      <c r="B47" s="9"/>
      <c r="C47" s="9"/>
      <c r="D47" s="10"/>
      <c r="E47" s="25"/>
      <c r="F47" s="25"/>
      <c r="G47" s="9"/>
      <c r="H47" s="8"/>
      <c r="I47" s="25"/>
      <c r="J47" s="60"/>
    </row>
  </sheetData>
  <mergeCells count="25">
    <mergeCell ref="F34:F37"/>
    <mergeCell ref="G36:G37"/>
    <mergeCell ref="G21:G22"/>
    <mergeCell ref="B36:B37"/>
    <mergeCell ref="J4:J7"/>
    <mergeCell ref="J19:J22"/>
    <mergeCell ref="J34:J37"/>
    <mergeCell ref="C21:C22"/>
    <mergeCell ref="C36:C37"/>
    <mergeCell ref="B1:J1"/>
    <mergeCell ref="B4:B5"/>
    <mergeCell ref="B19:B20"/>
    <mergeCell ref="B34:B35"/>
    <mergeCell ref="E4:E7"/>
    <mergeCell ref="I4:I7"/>
    <mergeCell ref="E19:E22"/>
    <mergeCell ref="I19:I22"/>
    <mergeCell ref="E34:E37"/>
    <mergeCell ref="I34:I37"/>
    <mergeCell ref="B6:B7"/>
    <mergeCell ref="C6:C7"/>
    <mergeCell ref="G6:G7"/>
    <mergeCell ref="B21:B22"/>
    <mergeCell ref="F4:F7"/>
    <mergeCell ref="F19:F22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T141"/>
  <sheetViews>
    <sheetView zoomScaleNormal="100" workbookViewId="0">
      <pane xSplit="2" ySplit="1" topLeftCell="C77" activePane="bottomRight" state="frozen"/>
      <selection pane="topRight" activeCell="C1" sqref="C1"/>
      <selection pane="bottomLeft" activeCell="A2" sqref="A2"/>
      <selection pane="bottomRight" activeCell="D2" sqref="D2"/>
    </sheetView>
  </sheetViews>
  <sheetFormatPr defaultRowHeight="15" x14ac:dyDescent="0.25"/>
  <cols>
    <col min="1" max="1" width="4" customWidth="1"/>
    <col min="2" max="2" width="29.42578125" bestFit="1" customWidth="1"/>
    <col min="3" max="3" width="35.42578125" bestFit="1" customWidth="1"/>
    <col min="4" max="4" width="37" customWidth="1"/>
    <col min="5" max="5" width="23.7109375" bestFit="1" customWidth="1"/>
    <col min="6" max="6" width="23.7109375" customWidth="1"/>
    <col min="7" max="7" width="30.28515625" bestFit="1" customWidth="1"/>
    <col min="8" max="8" width="38.7109375" customWidth="1"/>
    <col min="9" max="9" width="23.7109375" bestFit="1" customWidth="1"/>
    <col min="10" max="10" width="23.7109375" customWidth="1"/>
    <col min="11" max="11" width="30.28515625" bestFit="1" customWidth="1"/>
    <col min="12" max="12" width="37.5703125" customWidth="1"/>
    <col min="13" max="13" width="23.7109375" bestFit="1" customWidth="1"/>
    <col min="14" max="14" width="23.7109375" customWidth="1"/>
    <col min="15" max="15" width="31.28515625" bestFit="1" customWidth="1"/>
    <col min="16" max="16" width="36.7109375" customWidth="1"/>
    <col min="17" max="17" width="23.7109375" bestFit="1" customWidth="1"/>
    <col min="18" max="18" width="23.7109375" customWidth="1"/>
    <col min="19" max="19" width="33.28515625" bestFit="1" customWidth="1"/>
    <col min="20" max="20" width="37.7109375" customWidth="1"/>
    <col min="21" max="21" width="23.7109375" bestFit="1" customWidth="1"/>
    <col min="22" max="22" width="23.7109375" customWidth="1"/>
    <col min="23" max="23" width="34.42578125" bestFit="1" customWidth="1"/>
    <col min="24" max="24" width="36.28515625" customWidth="1"/>
    <col min="25" max="25" width="23.7109375" bestFit="1" customWidth="1"/>
    <col min="26" max="26" width="23.7109375" customWidth="1"/>
    <col min="27" max="27" width="32.28515625" bestFit="1" customWidth="1"/>
    <col min="28" max="28" width="39.140625" customWidth="1"/>
    <col min="29" max="29" width="23.7109375" bestFit="1" customWidth="1"/>
    <col min="30" max="30" width="23.7109375" customWidth="1"/>
    <col min="31" max="31" width="33.28515625" bestFit="1" customWidth="1"/>
    <col min="32" max="32" width="36.5703125" customWidth="1"/>
    <col min="33" max="33" width="23.7109375" bestFit="1" customWidth="1"/>
    <col min="34" max="34" width="23.140625" customWidth="1"/>
    <col min="35" max="35" width="32.85546875" customWidth="1"/>
    <col min="36" max="36" width="33.28515625" bestFit="1" customWidth="1"/>
    <col min="37" max="37" width="24.28515625" customWidth="1"/>
    <col min="38" max="38" width="23.7109375" bestFit="1" customWidth="1"/>
    <col min="39" max="40" width="33.28515625" bestFit="1" customWidth="1"/>
    <col min="41" max="42" width="23.7109375" bestFit="1" customWidth="1"/>
    <col min="43" max="43" width="33.28515625" bestFit="1" customWidth="1"/>
    <col min="44" max="44" width="32.28515625" bestFit="1" customWidth="1"/>
    <col min="45" max="45" width="38.5703125" bestFit="1" customWidth="1"/>
    <col min="46" max="46" width="29.140625" bestFit="1" customWidth="1"/>
  </cols>
  <sheetData>
    <row r="1" spans="2:46" ht="31.5" x14ac:dyDescent="0.5">
      <c r="B1" s="340" t="s">
        <v>289</v>
      </c>
      <c r="C1" s="340"/>
      <c r="D1" s="340"/>
      <c r="E1" s="340"/>
      <c r="F1" s="340"/>
      <c r="G1" s="340"/>
      <c r="H1" s="340"/>
      <c r="I1" s="340"/>
      <c r="J1" s="340"/>
      <c r="K1" s="340"/>
    </row>
    <row r="2" spans="2:46" x14ac:dyDescent="0.25">
      <c r="B2" s="70" t="s">
        <v>340</v>
      </c>
      <c r="C2" t="s">
        <v>341</v>
      </c>
      <c r="D2" t="s">
        <v>352</v>
      </c>
    </row>
    <row r="3" spans="2:46" ht="15.75" thickBot="1" x14ac:dyDescent="0.3">
      <c r="C3" t="s">
        <v>744</v>
      </c>
      <c r="D3" t="s">
        <v>745</v>
      </c>
    </row>
    <row r="4" spans="2:46" x14ac:dyDescent="0.25">
      <c r="B4" s="341" t="s">
        <v>10</v>
      </c>
      <c r="C4" s="62" t="s">
        <v>14</v>
      </c>
      <c r="D4" s="65" t="s">
        <v>14</v>
      </c>
      <c r="E4" s="330" t="s">
        <v>354</v>
      </c>
      <c r="F4" s="324" t="s">
        <v>355</v>
      </c>
      <c r="G4" s="62" t="s">
        <v>14</v>
      </c>
      <c r="H4" s="65" t="s">
        <v>14</v>
      </c>
      <c r="I4" s="330" t="s">
        <v>354</v>
      </c>
      <c r="J4" s="324" t="s">
        <v>355</v>
      </c>
      <c r="K4" s="62" t="s">
        <v>14</v>
      </c>
      <c r="L4" s="65" t="s">
        <v>14</v>
      </c>
      <c r="M4" s="330" t="s">
        <v>354</v>
      </c>
      <c r="N4" s="324" t="s">
        <v>355</v>
      </c>
      <c r="O4" s="62" t="s">
        <v>14</v>
      </c>
      <c r="P4" s="65" t="s">
        <v>14</v>
      </c>
      <c r="Q4" s="330" t="s">
        <v>354</v>
      </c>
      <c r="R4" s="324" t="s">
        <v>355</v>
      </c>
      <c r="S4" s="62" t="s">
        <v>14</v>
      </c>
      <c r="T4" s="65" t="s">
        <v>14</v>
      </c>
      <c r="U4" s="330" t="s">
        <v>354</v>
      </c>
      <c r="V4" s="324" t="s">
        <v>355</v>
      </c>
      <c r="W4" s="62" t="s">
        <v>14</v>
      </c>
      <c r="X4" s="65" t="s">
        <v>14</v>
      </c>
      <c r="Y4" s="330" t="s">
        <v>354</v>
      </c>
      <c r="Z4" s="324" t="s">
        <v>355</v>
      </c>
      <c r="AA4" s="62" t="s">
        <v>14</v>
      </c>
      <c r="AB4" s="65" t="s">
        <v>14</v>
      </c>
      <c r="AC4" s="330" t="s">
        <v>354</v>
      </c>
      <c r="AD4" s="324" t="s">
        <v>355</v>
      </c>
      <c r="AE4" s="62" t="s">
        <v>14</v>
      </c>
      <c r="AF4" s="65" t="s">
        <v>14</v>
      </c>
      <c r="AG4" s="330" t="s">
        <v>354</v>
      </c>
      <c r="AH4" s="321" t="s">
        <v>355</v>
      </c>
      <c r="AI4" s="309" t="s">
        <v>14</v>
      </c>
      <c r="AJ4" s="65" t="s">
        <v>14</v>
      </c>
      <c r="AK4" s="330" t="s">
        <v>354</v>
      </c>
      <c r="AL4" s="321" t="s">
        <v>355</v>
      </c>
      <c r="AM4" s="309" t="s">
        <v>14</v>
      </c>
      <c r="AN4" s="65" t="s">
        <v>14</v>
      </c>
      <c r="AO4" s="330" t="s">
        <v>354</v>
      </c>
      <c r="AP4" s="321" t="s">
        <v>355</v>
      </c>
      <c r="AQ4" s="316" t="s">
        <v>14</v>
      </c>
      <c r="AR4" s="65" t="s">
        <v>14</v>
      </c>
      <c r="AS4" s="330" t="s">
        <v>354</v>
      </c>
      <c r="AT4" s="321" t="s">
        <v>355</v>
      </c>
    </row>
    <row r="5" spans="2:46" ht="15.75" thickBot="1" x14ac:dyDescent="0.3">
      <c r="B5" s="342"/>
      <c r="C5" s="63" t="s">
        <v>290</v>
      </c>
      <c r="D5" s="27" t="s">
        <v>291</v>
      </c>
      <c r="E5" s="331"/>
      <c r="F5" s="325"/>
      <c r="G5" s="63" t="s">
        <v>290</v>
      </c>
      <c r="H5" s="27" t="s">
        <v>291</v>
      </c>
      <c r="I5" s="331"/>
      <c r="J5" s="325"/>
      <c r="K5" s="63" t="s">
        <v>290</v>
      </c>
      <c r="L5" s="27" t="s">
        <v>291</v>
      </c>
      <c r="M5" s="331"/>
      <c r="N5" s="325"/>
      <c r="O5" s="63" t="s">
        <v>290</v>
      </c>
      <c r="P5" s="27" t="s">
        <v>291</v>
      </c>
      <c r="Q5" s="331"/>
      <c r="R5" s="325"/>
      <c r="S5" s="63" t="s">
        <v>290</v>
      </c>
      <c r="T5" s="27" t="s">
        <v>291</v>
      </c>
      <c r="U5" s="331"/>
      <c r="V5" s="325"/>
      <c r="W5" s="63" t="s">
        <v>290</v>
      </c>
      <c r="X5" s="27" t="s">
        <v>291</v>
      </c>
      <c r="Y5" s="331"/>
      <c r="Z5" s="325"/>
      <c r="AA5" s="63" t="s">
        <v>290</v>
      </c>
      <c r="AB5" s="27" t="s">
        <v>291</v>
      </c>
      <c r="AC5" s="331"/>
      <c r="AD5" s="325"/>
      <c r="AE5" s="63" t="s">
        <v>290</v>
      </c>
      <c r="AF5" s="27" t="s">
        <v>291</v>
      </c>
      <c r="AG5" s="331"/>
      <c r="AH5" s="322"/>
      <c r="AI5" s="310" t="s">
        <v>290</v>
      </c>
      <c r="AJ5" s="27" t="s">
        <v>291</v>
      </c>
      <c r="AK5" s="331"/>
      <c r="AL5" s="322"/>
      <c r="AM5" s="310" t="s">
        <v>290</v>
      </c>
      <c r="AN5" s="27" t="s">
        <v>291</v>
      </c>
      <c r="AO5" s="331"/>
      <c r="AP5" s="322"/>
      <c r="AQ5" s="317" t="s">
        <v>290</v>
      </c>
      <c r="AR5" s="27" t="s">
        <v>291</v>
      </c>
      <c r="AS5" s="331"/>
      <c r="AT5" s="322"/>
    </row>
    <row r="6" spans="2:46" ht="15.75" thickBot="1" x14ac:dyDescent="0.3">
      <c r="B6" s="346" t="s">
        <v>18</v>
      </c>
      <c r="C6" s="346" t="s">
        <v>19</v>
      </c>
      <c r="D6" s="17" t="s">
        <v>19</v>
      </c>
      <c r="E6" s="331"/>
      <c r="F6" s="326"/>
      <c r="G6" s="346" t="s">
        <v>20</v>
      </c>
      <c r="H6" s="17" t="s">
        <v>20</v>
      </c>
      <c r="I6" s="331"/>
      <c r="J6" s="326"/>
      <c r="K6" s="346" t="s">
        <v>21</v>
      </c>
      <c r="L6" s="17" t="s">
        <v>21</v>
      </c>
      <c r="M6" s="331"/>
      <c r="N6" s="326"/>
      <c r="O6" s="346" t="s">
        <v>22</v>
      </c>
      <c r="P6" s="17" t="s">
        <v>22</v>
      </c>
      <c r="Q6" s="331"/>
      <c r="R6" s="326"/>
      <c r="S6" s="346" t="s">
        <v>23</v>
      </c>
      <c r="T6" s="17" t="s">
        <v>23</v>
      </c>
      <c r="U6" s="331"/>
      <c r="V6" s="326"/>
      <c r="W6" s="346" t="s">
        <v>24</v>
      </c>
      <c r="X6" s="17" t="s">
        <v>24</v>
      </c>
      <c r="Y6" s="331"/>
      <c r="Z6" s="326"/>
      <c r="AA6" s="346" t="s">
        <v>25</v>
      </c>
      <c r="AB6" s="17" t="s">
        <v>25</v>
      </c>
      <c r="AC6" s="331"/>
      <c r="AD6" s="326"/>
      <c r="AE6" s="346" t="s">
        <v>26</v>
      </c>
      <c r="AF6" s="17" t="s">
        <v>26</v>
      </c>
      <c r="AG6" s="331"/>
      <c r="AH6" s="322"/>
      <c r="AI6" s="346" t="s">
        <v>681</v>
      </c>
      <c r="AJ6" s="17" t="s">
        <v>681</v>
      </c>
      <c r="AK6" s="331"/>
      <c r="AL6" s="322"/>
      <c r="AM6" s="346" t="s">
        <v>700</v>
      </c>
      <c r="AN6" s="17" t="s">
        <v>700</v>
      </c>
      <c r="AO6" s="331"/>
      <c r="AP6" s="322"/>
      <c r="AQ6" s="346" t="s">
        <v>721</v>
      </c>
      <c r="AR6" s="17" t="s">
        <v>721</v>
      </c>
      <c r="AS6" s="331"/>
      <c r="AT6" s="322"/>
    </row>
    <row r="7" spans="2:46" ht="15.75" thickBot="1" x14ac:dyDescent="0.3">
      <c r="B7" s="347"/>
      <c r="C7" s="347"/>
      <c r="D7" s="103" t="s">
        <v>295</v>
      </c>
      <c r="E7" s="327"/>
      <c r="F7" s="327"/>
      <c r="G7" s="347"/>
      <c r="H7" s="103" t="s">
        <v>28</v>
      </c>
      <c r="I7" s="327"/>
      <c r="J7" s="327"/>
      <c r="K7" s="347"/>
      <c r="L7" s="103" t="s">
        <v>29</v>
      </c>
      <c r="M7" s="327"/>
      <c r="N7" s="327"/>
      <c r="O7" s="347"/>
      <c r="P7" s="103" t="s">
        <v>30</v>
      </c>
      <c r="Q7" s="327"/>
      <c r="R7" s="327"/>
      <c r="S7" s="347"/>
      <c r="T7" s="103" t="s">
        <v>31</v>
      </c>
      <c r="U7" s="327"/>
      <c r="V7" s="327"/>
      <c r="W7" s="347"/>
      <c r="X7" s="103" t="s">
        <v>32</v>
      </c>
      <c r="Y7" s="327"/>
      <c r="Z7" s="327"/>
      <c r="AA7" s="347"/>
      <c r="AB7" s="103" t="s">
        <v>296</v>
      </c>
      <c r="AC7" s="327"/>
      <c r="AD7" s="327"/>
      <c r="AE7" s="347"/>
      <c r="AF7" s="103" t="s">
        <v>33</v>
      </c>
      <c r="AG7" s="327"/>
      <c r="AH7" s="323"/>
      <c r="AI7" s="347"/>
      <c r="AJ7" s="103" t="s">
        <v>682</v>
      </c>
      <c r="AK7" s="327"/>
      <c r="AL7" s="323"/>
      <c r="AM7" s="347"/>
      <c r="AN7" s="103" t="s">
        <v>701</v>
      </c>
      <c r="AO7" s="327"/>
      <c r="AP7" s="323"/>
      <c r="AQ7" s="347"/>
      <c r="AR7" s="103" t="s">
        <v>722</v>
      </c>
      <c r="AS7" s="327"/>
      <c r="AT7" s="323"/>
    </row>
    <row r="8" spans="2:46" x14ac:dyDescent="0.25">
      <c r="B8" s="95">
        <v>1</v>
      </c>
      <c r="C8" s="234">
        <v>1.019716E-5</v>
      </c>
      <c r="D8" s="106">
        <v>1.019716E-5</v>
      </c>
      <c r="E8" s="100">
        <f>C8-D8</f>
        <v>0</v>
      </c>
      <c r="F8" s="54">
        <f>(100*E8)/D8</f>
        <v>0</v>
      </c>
      <c r="G8" s="234">
        <v>9.8692330000000006E-6</v>
      </c>
      <c r="H8" s="106">
        <v>9.8692330000000006E-6</v>
      </c>
      <c r="I8" s="100">
        <f>G8-H8</f>
        <v>0</v>
      </c>
      <c r="J8" s="54">
        <f>(100*I8)/H8</f>
        <v>0</v>
      </c>
      <c r="K8" s="234">
        <v>1.0000000000000001E-5</v>
      </c>
      <c r="L8" s="106">
        <v>1.0000000000000001E-5</v>
      </c>
      <c r="M8" s="100">
        <f>K8-L8</f>
        <v>0</v>
      </c>
      <c r="N8" s="54">
        <f>(100*M8)/L8</f>
        <v>0</v>
      </c>
      <c r="O8" s="234">
        <v>1E-3</v>
      </c>
      <c r="P8" s="106">
        <v>1E-3</v>
      </c>
      <c r="Q8" s="100">
        <f>O8-P8</f>
        <v>0</v>
      </c>
      <c r="R8" s="54">
        <f>(100*Q8)/P8</f>
        <v>0</v>
      </c>
      <c r="S8" s="234">
        <v>0.10197199999999999</v>
      </c>
      <c r="T8" s="106">
        <v>0.101971621297792</v>
      </c>
      <c r="U8" s="100">
        <f>S8-T8</f>
        <v>3.7870220799540721E-7</v>
      </c>
      <c r="V8" s="54">
        <f>(100*U8)/T8</f>
        <v>3.7138000080381902E-4</v>
      </c>
      <c r="W8" s="234">
        <v>9.9999999999999995E-7</v>
      </c>
      <c r="X8" s="106">
        <v>9.9999999999999995E-7</v>
      </c>
      <c r="Y8" s="100">
        <f>W8-X8</f>
        <v>0</v>
      </c>
      <c r="Z8" s="54">
        <f>(100*Y8)/X8</f>
        <v>0</v>
      </c>
      <c r="AA8" s="234">
        <v>1.45038E-4</v>
      </c>
      <c r="AB8" s="106">
        <v>1.4503770000000001E-4</v>
      </c>
      <c r="AC8" s="100">
        <f>AA8-AB8</f>
        <v>2.9999999999388155E-10</v>
      </c>
      <c r="AD8" s="54">
        <f>(100*AC8)/AB8</f>
        <v>2.0684277259904255E-4</v>
      </c>
      <c r="AE8" s="234">
        <v>7.5006200000000004E-3</v>
      </c>
      <c r="AF8" s="106">
        <v>7.5006159999999999E-3</v>
      </c>
      <c r="AG8" s="100">
        <f>AE8-AF8</f>
        <v>4.0000000004966618E-9</v>
      </c>
      <c r="AH8" s="162">
        <f>(100*AG8)/AF8</f>
        <v>5.3328953255261458E-5</v>
      </c>
      <c r="AI8" s="234">
        <v>0.01</v>
      </c>
      <c r="AJ8" s="106">
        <v>0.01</v>
      </c>
      <c r="AK8" s="100">
        <f>AI8-AJ8</f>
        <v>0</v>
      </c>
      <c r="AL8" s="162">
        <f>(100*AK8)/AJ8</f>
        <v>0</v>
      </c>
      <c r="AM8" s="234">
        <v>4.0146299999999999E-3</v>
      </c>
      <c r="AN8" s="106">
        <v>4.0146307597556004E-3</v>
      </c>
      <c r="AO8" s="100">
        <f>AM8-AN8</f>
        <v>-7.5975560044627688E-10</v>
      </c>
      <c r="AP8" s="162">
        <f>(100*AO8)/AN8</f>
        <v>-1.8924669438155968E-5</v>
      </c>
      <c r="AQ8" s="234">
        <v>7.5006200000000004E-3</v>
      </c>
      <c r="AR8" s="106">
        <v>7.5006159999999999E-3</v>
      </c>
      <c r="AS8" s="100">
        <f>AQ8-AR8</f>
        <v>4.0000000004966618E-9</v>
      </c>
      <c r="AT8" s="162">
        <f>(100*AS8)/AR8</f>
        <v>5.3328953255261458E-5</v>
      </c>
    </row>
    <row r="9" spans="2:46" x14ac:dyDescent="0.25">
      <c r="B9" s="32">
        <v>12</v>
      </c>
      <c r="C9" s="161">
        <v>1.22366E-4</v>
      </c>
      <c r="D9" s="104">
        <v>1.2236591999999999E-4</v>
      </c>
      <c r="E9" s="99">
        <f t="shared" ref="E9:E16" si="0">C9-D9</f>
        <v>8.0000000005596428E-11</v>
      </c>
      <c r="F9" s="52">
        <f t="shared" ref="F9:F16" si="1">(100*E9)/D9</f>
        <v>6.5377680326022495E-5</v>
      </c>
      <c r="G9" s="161">
        <v>1.1843100000000001E-4</v>
      </c>
      <c r="H9" s="104">
        <v>1.1843079599999999E-4</v>
      </c>
      <c r="I9" s="99">
        <f t="shared" ref="I9:I16" si="2">G9-H9</f>
        <v>2.0400000001156039E-10</v>
      </c>
      <c r="J9" s="52">
        <f t="shared" ref="J9:J16" si="3">(100*I9)/H9</f>
        <v>1.7225249420054595E-4</v>
      </c>
      <c r="K9" s="161">
        <v>1.2E-4</v>
      </c>
      <c r="L9" s="104">
        <v>1.2E-4</v>
      </c>
      <c r="M9" s="99">
        <f t="shared" ref="M9:M16" si="4">K9-L9</f>
        <v>0</v>
      </c>
      <c r="N9" s="52">
        <f t="shared" ref="N9:N16" si="5">(100*M9)/L9</f>
        <v>0</v>
      </c>
      <c r="O9" s="161">
        <v>1.2E-2</v>
      </c>
      <c r="P9" s="104">
        <v>1.2E-2</v>
      </c>
      <c r="Q9" s="99">
        <f t="shared" ref="Q9:Q16" si="6">O9-P9</f>
        <v>0</v>
      </c>
      <c r="R9" s="52">
        <f t="shared" ref="R9:R16" si="7">(100*Q9)/P9</f>
        <v>0</v>
      </c>
      <c r="S9" s="161">
        <v>1.22366</v>
      </c>
      <c r="T9" s="104">
        <v>1.2236594555735101</v>
      </c>
      <c r="U9" s="99">
        <f t="shared" ref="U9:U16" si="8">S9-T9</f>
        <v>5.4442648989017073E-7</v>
      </c>
      <c r="V9" s="52">
        <f t="shared" ref="V9:V16" si="9">(100*U9)/T9</f>
        <v>4.4491666975678827E-5</v>
      </c>
      <c r="W9" s="161">
        <v>1.2E-5</v>
      </c>
      <c r="X9" s="104">
        <v>1.2E-5</v>
      </c>
      <c r="Y9" s="99">
        <f t="shared" ref="Y9:Y16" si="10">W9-X9</f>
        <v>0</v>
      </c>
      <c r="Z9" s="52">
        <f t="shared" ref="Z9:Z16" si="11">(100*Y9)/X9</f>
        <v>0</v>
      </c>
      <c r="AA9" s="161">
        <v>1.7404499999999999E-3</v>
      </c>
      <c r="AB9" s="104">
        <v>1.7404524000000001E-3</v>
      </c>
      <c r="AC9" s="99">
        <f t="shared" ref="AC9:AC16" si="12">AA9-AB9</f>
        <v>-2.4000000001678928E-9</v>
      </c>
      <c r="AD9" s="52">
        <f t="shared" ref="AD9:AD16" si="13">(100*AC9)/AB9</f>
        <v>-1.3789518174515389E-4</v>
      </c>
      <c r="AE9" s="161">
        <v>9.0007400000000001E-2</v>
      </c>
      <c r="AF9" s="104">
        <v>9.0007392000000006E-2</v>
      </c>
      <c r="AG9" s="99">
        <f t="shared" ref="AG9:AG16" si="14">AE9-AF9</f>
        <v>7.9999999957891532E-9</v>
      </c>
      <c r="AH9" s="153">
        <f t="shared" ref="AH9:AH16" si="15">(100*AG9)/AF9</f>
        <v>8.8881588700949718E-6</v>
      </c>
      <c r="AI9" s="161">
        <v>0.12</v>
      </c>
      <c r="AJ9" s="104">
        <v>0.12</v>
      </c>
      <c r="AK9" s="99">
        <f t="shared" ref="AK9:AK16" si="16">AI9-AJ9</f>
        <v>0</v>
      </c>
      <c r="AL9" s="153">
        <f t="shared" ref="AL9:AL16" si="17">(100*AK9)/AJ9</f>
        <v>0</v>
      </c>
      <c r="AM9" s="161">
        <v>4.8175599999999999E-2</v>
      </c>
      <c r="AN9" s="104">
        <v>4.8175569117067503E-2</v>
      </c>
      <c r="AO9" s="99">
        <f t="shared" ref="AO9:AO16" si="18">AM9-AN9</f>
        <v>3.0882932496034687E-8</v>
      </c>
      <c r="AP9" s="153">
        <f t="shared" ref="AP9:AP16" si="19">(100*AO9)/AN9</f>
        <v>6.4104966608673794E-5</v>
      </c>
      <c r="AQ9" s="161">
        <v>9.0007400000000001E-2</v>
      </c>
      <c r="AR9" s="104">
        <v>9.0007392000000006E-2</v>
      </c>
      <c r="AS9" s="99">
        <f t="shared" ref="AS9:AS16" si="20">AQ9-AR9</f>
        <v>7.9999999957891532E-9</v>
      </c>
      <c r="AT9" s="153">
        <f t="shared" ref="AT9:AT16" si="21">(100*AS9)/AR9</f>
        <v>8.8881588700949718E-6</v>
      </c>
    </row>
    <row r="10" spans="2:46" x14ac:dyDescent="0.25">
      <c r="B10" s="32">
        <v>654</v>
      </c>
      <c r="C10" s="161">
        <v>6.6689399999999999E-3</v>
      </c>
      <c r="D10" s="104">
        <v>6.6689426399999998E-3</v>
      </c>
      <c r="E10" s="99">
        <f t="shared" si="0"/>
        <v>-2.6399999998594215E-9</v>
      </c>
      <c r="F10" s="52">
        <f t="shared" si="1"/>
        <v>-3.9586485330145555E-5</v>
      </c>
      <c r="G10" s="161">
        <v>6.4544800000000003E-3</v>
      </c>
      <c r="H10" s="104">
        <v>6.4544783819999998E-3</v>
      </c>
      <c r="I10" s="99">
        <f t="shared" si="2"/>
        <v>1.618000000473685E-9</v>
      </c>
      <c r="J10" s="52">
        <f t="shared" si="3"/>
        <v>2.5067866134402138E-5</v>
      </c>
      <c r="K10" s="161">
        <v>6.5399999999999998E-3</v>
      </c>
      <c r="L10" s="104">
        <v>6.5399999999999998E-3</v>
      </c>
      <c r="M10" s="99">
        <f t="shared" si="4"/>
        <v>0</v>
      </c>
      <c r="N10" s="52">
        <f t="shared" si="5"/>
        <v>0</v>
      </c>
      <c r="O10" s="161">
        <v>0.65400000000000003</v>
      </c>
      <c r="P10" s="104">
        <v>0.65400000000000003</v>
      </c>
      <c r="Q10" s="99">
        <f t="shared" si="6"/>
        <v>0</v>
      </c>
      <c r="R10" s="52">
        <f t="shared" si="7"/>
        <v>0</v>
      </c>
      <c r="S10" s="161">
        <v>66.689400000000006</v>
      </c>
      <c r="T10" s="104">
        <v>66.689440328756504</v>
      </c>
      <c r="U10" s="99">
        <f t="shared" si="8"/>
        <v>-4.0328756497842733E-5</v>
      </c>
      <c r="V10" s="52">
        <f t="shared" si="9"/>
        <v>-6.0472477050392881E-5</v>
      </c>
      <c r="W10" s="161">
        <v>6.5399999999999996E-4</v>
      </c>
      <c r="X10" s="104">
        <v>6.5399999999999996E-4</v>
      </c>
      <c r="Y10" s="99">
        <f t="shared" si="10"/>
        <v>0</v>
      </c>
      <c r="Z10" s="52">
        <f t="shared" si="11"/>
        <v>0</v>
      </c>
      <c r="AA10" s="161">
        <v>9.48547E-2</v>
      </c>
      <c r="AB10" s="104">
        <v>9.4854655800000007E-2</v>
      </c>
      <c r="AC10" s="99">
        <f t="shared" si="12"/>
        <v>4.4199999993388417E-8</v>
      </c>
      <c r="AD10" s="52">
        <f t="shared" si="13"/>
        <v>4.6597607276740987E-5</v>
      </c>
      <c r="AE10" s="161">
        <v>4.9054000000000002</v>
      </c>
      <c r="AF10" s="104">
        <v>4.905402864</v>
      </c>
      <c r="AG10" s="99">
        <f t="shared" si="14"/>
        <v>-2.8639999998247845E-6</v>
      </c>
      <c r="AH10" s="153">
        <f t="shared" si="15"/>
        <v>-5.8384603247232591E-5</v>
      </c>
      <c r="AI10" s="161">
        <v>6.54</v>
      </c>
      <c r="AJ10" s="104">
        <v>6.54</v>
      </c>
      <c r="AK10" s="99">
        <f t="shared" si="16"/>
        <v>0</v>
      </c>
      <c r="AL10" s="153">
        <f t="shared" si="17"/>
        <v>0</v>
      </c>
      <c r="AM10" s="161">
        <v>2.6255700000000002</v>
      </c>
      <c r="AN10" s="104">
        <v>2.6255685168801701</v>
      </c>
      <c r="AO10" s="99">
        <f t="shared" si="18"/>
        <v>1.4831198300591097E-6</v>
      </c>
      <c r="AP10" s="153">
        <f t="shared" si="19"/>
        <v>5.6487569093090201E-5</v>
      </c>
      <c r="AQ10" s="161">
        <v>4.9054000000000002</v>
      </c>
      <c r="AR10" s="104">
        <v>4.905402864</v>
      </c>
      <c r="AS10" s="99">
        <f t="shared" si="20"/>
        <v>-2.8639999998247845E-6</v>
      </c>
      <c r="AT10" s="153">
        <f t="shared" si="21"/>
        <v>-5.8384603247232591E-5</v>
      </c>
    </row>
    <row r="11" spans="2:46" x14ac:dyDescent="0.25">
      <c r="B11" s="32">
        <v>7896</v>
      </c>
      <c r="C11" s="161">
        <v>8.0516799999999999E-2</v>
      </c>
      <c r="D11" s="104">
        <v>8.0516775360000001E-2</v>
      </c>
      <c r="E11" s="99">
        <f t="shared" si="0"/>
        <v>2.4639999998687934E-8</v>
      </c>
      <c r="F11" s="52">
        <f t="shared" si="1"/>
        <v>3.0602318446708262E-5</v>
      </c>
      <c r="G11" s="161">
        <v>7.7927499999999997E-2</v>
      </c>
      <c r="H11" s="104">
        <v>7.7927463767999999E-2</v>
      </c>
      <c r="I11" s="99">
        <f t="shared" si="2"/>
        <v>3.6231999997471398E-8</v>
      </c>
      <c r="J11" s="52">
        <f t="shared" si="3"/>
        <v>4.649451970532325E-5</v>
      </c>
      <c r="K11" s="161">
        <v>7.8960000000000002E-2</v>
      </c>
      <c r="L11" s="104">
        <v>7.8960000000000002E-2</v>
      </c>
      <c r="M11" s="99">
        <f t="shared" si="4"/>
        <v>0</v>
      </c>
      <c r="N11" s="52">
        <f t="shared" si="5"/>
        <v>0</v>
      </c>
      <c r="O11" s="161">
        <v>7.8959999999999999</v>
      </c>
      <c r="P11" s="104">
        <v>7.8959999999999999</v>
      </c>
      <c r="Q11" s="99">
        <f t="shared" si="6"/>
        <v>0</v>
      </c>
      <c r="R11" s="52">
        <f t="shared" si="7"/>
        <v>0</v>
      </c>
      <c r="S11" s="161">
        <v>805.16800000000001</v>
      </c>
      <c r="T11" s="104">
        <v>805.16792176737204</v>
      </c>
      <c r="U11" s="99">
        <f t="shared" si="8"/>
        <v>7.8232627970464819E-5</v>
      </c>
      <c r="V11" s="52">
        <f t="shared" si="9"/>
        <v>9.7163120704984658E-6</v>
      </c>
      <c r="W11" s="161">
        <v>7.8960000000000002E-3</v>
      </c>
      <c r="X11" s="104">
        <v>7.8960000000000002E-3</v>
      </c>
      <c r="Y11" s="99">
        <f t="shared" si="10"/>
        <v>0</v>
      </c>
      <c r="Z11" s="52">
        <f t="shared" si="11"/>
        <v>0</v>
      </c>
      <c r="AA11" s="161">
        <v>1.1452199999999999</v>
      </c>
      <c r="AB11" s="104">
        <v>1.1452176791999999</v>
      </c>
      <c r="AC11" s="99">
        <f t="shared" si="12"/>
        <v>2.3207999999552698E-6</v>
      </c>
      <c r="AD11" s="52">
        <f t="shared" si="13"/>
        <v>2.0265142968946143E-4</v>
      </c>
      <c r="AE11" s="161">
        <v>59.224899999999998</v>
      </c>
      <c r="AF11" s="104">
        <v>59.224863935999998</v>
      </c>
      <c r="AG11" s="99">
        <f t="shared" si="14"/>
        <v>3.606399999966925E-5</v>
      </c>
      <c r="AH11" s="153">
        <f t="shared" si="15"/>
        <v>6.0893343779803345E-5</v>
      </c>
      <c r="AI11" s="161">
        <v>78.959999999999994</v>
      </c>
      <c r="AJ11" s="104">
        <v>78.959999999999994</v>
      </c>
      <c r="AK11" s="99">
        <f t="shared" si="16"/>
        <v>0</v>
      </c>
      <c r="AL11" s="153">
        <f t="shared" si="17"/>
        <v>0</v>
      </c>
      <c r="AM11" s="161">
        <v>31.6995</v>
      </c>
      <c r="AN11" s="104">
        <v>31.699524479030401</v>
      </c>
      <c r="AO11" s="99">
        <f t="shared" si="18"/>
        <v>-2.4479030400925694E-5</v>
      </c>
      <c r="AP11" s="153">
        <f t="shared" si="19"/>
        <v>-7.7222074473447876E-5</v>
      </c>
      <c r="AQ11" s="161">
        <v>59.224899999999998</v>
      </c>
      <c r="AR11" s="104">
        <v>59.224863935999998</v>
      </c>
      <c r="AS11" s="99">
        <f t="shared" si="20"/>
        <v>3.606399999966925E-5</v>
      </c>
      <c r="AT11" s="153">
        <f t="shared" si="21"/>
        <v>6.0893343779803345E-5</v>
      </c>
    </row>
    <row r="12" spans="2:46" x14ac:dyDescent="0.25">
      <c r="B12" s="32">
        <v>98765</v>
      </c>
      <c r="C12" s="161">
        <v>1.00712</v>
      </c>
      <c r="D12" s="104">
        <v>1.0071225074000001</v>
      </c>
      <c r="E12" s="99">
        <f t="shared" si="0"/>
        <v>-2.5074000000735452E-6</v>
      </c>
      <c r="F12" s="52">
        <f t="shared" si="1"/>
        <v>-2.4896673261197189E-4</v>
      </c>
      <c r="G12" s="161">
        <v>0.97473500000000002</v>
      </c>
      <c r="H12" s="104">
        <v>0.97473479724500001</v>
      </c>
      <c r="I12" s="99">
        <f t="shared" si="2"/>
        <v>2.0275500001165625E-7</v>
      </c>
      <c r="J12" s="52">
        <f t="shared" si="3"/>
        <v>2.0801042558932438E-5</v>
      </c>
      <c r="K12" s="161">
        <v>0.98765000000000003</v>
      </c>
      <c r="L12" s="104">
        <v>0.98765000000000003</v>
      </c>
      <c r="M12" s="99">
        <f t="shared" si="4"/>
        <v>0</v>
      </c>
      <c r="N12" s="52">
        <f t="shared" si="5"/>
        <v>0</v>
      </c>
      <c r="O12" s="161">
        <v>98.765000000000001</v>
      </c>
      <c r="P12" s="104">
        <v>98.765000000000001</v>
      </c>
      <c r="Q12" s="99">
        <f t="shared" si="6"/>
        <v>0</v>
      </c>
      <c r="R12" s="52">
        <f t="shared" si="7"/>
        <v>0</v>
      </c>
      <c r="S12" s="161">
        <v>10071.200000000001</v>
      </c>
      <c r="T12" s="104">
        <v>10071.227177476499</v>
      </c>
      <c r="U12" s="99">
        <f t="shared" si="8"/>
        <v>-2.7177476498764008E-2</v>
      </c>
      <c r="V12" s="52">
        <f t="shared" si="9"/>
        <v>-2.6985268051091406E-4</v>
      </c>
      <c r="W12" s="161">
        <v>9.8765000000000006E-2</v>
      </c>
      <c r="X12" s="104">
        <v>9.8765000000000006E-2</v>
      </c>
      <c r="Y12" s="99">
        <f t="shared" si="10"/>
        <v>0</v>
      </c>
      <c r="Z12" s="52">
        <f t="shared" si="11"/>
        <v>0</v>
      </c>
      <c r="AA12" s="161">
        <v>14.3246</v>
      </c>
      <c r="AB12" s="104">
        <v>14.324648440500001</v>
      </c>
      <c r="AC12" s="99">
        <f t="shared" si="12"/>
        <v>-4.8440500000523912E-5</v>
      </c>
      <c r="AD12" s="52">
        <f t="shared" si="13"/>
        <v>-3.3816187672409709E-4</v>
      </c>
      <c r="AE12" s="161">
        <v>740.798</v>
      </c>
      <c r="AF12" s="104">
        <v>740.79833924000002</v>
      </c>
      <c r="AG12" s="99">
        <f t="shared" si="14"/>
        <v>-3.3924000001661625E-4</v>
      </c>
      <c r="AH12" s="153">
        <f t="shared" si="15"/>
        <v>-4.5793839166087957E-5</v>
      </c>
      <c r="AI12" s="161">
        <v>987.65</v>
      </c>
      <c r="AJ12" s="104">
        <v>987.65</v>
      </c>
      <c r="AK12" s="99">
        <f t="shared" si="16"/>
        <v>0</v>
      </c>
      <c r="AL12" s="153">
        <f t="shared" si="17"/>
        <v>0</v>
      </c>
      <c r="AM12" s="161">
        <v>396.505</v>
      </c>
      <c r="AN12" s="104">
        <v>396.50500698726398</v>
      </c>
      <c r="AO12" s="99">
        <f t="shared" si="18"/>
        <v>-6.9872639869572595E-6</v>
      </c>
      <c r="AP12" s="153">
        <f t="shared" si="19"/>
        <v>-1.7622133047065646E-6</v>
      </c>
      <c r="AQ12" s="161">
        <v>740.798</v>
      </c>
      <c r="AR12" s="104">
        <v>740.79833924000002</v>
      </c>
      <c r="AS12" s="99">
        <f t="shared" si="20"/>
        <v>-3.3924000001661625E-4</v>
      </c>
      <c r="AT12" s="153">
        <f t="shared" si="21"/>
        <v>-4.5793839166087957E-5</v>
      </c>
    </row>
    <row r="13" spans="2:46" x14ac:dyDescent="0.25">
      <c r="B13" s="32">
        <v>665544332211</v>
      </c>
      <c r="C13" s="161">
        <v>6786662</v>
      </c>
      <c r="D13" s="104">
        <v>6786662.0426487196</v>
      </c>
      <c r="E13" s="99">
        <f t="shared" si="0"/>
        <v>-4.2648719623684883E-2</v>
      </c>
      <c r="F13" s="52">
        <f t="shared" si="1"/>
        <v>-6.2841967605977628E-7</v>
      </c>
      <c r="G13" s="161">
        <v>6568412</v>
      </c>
      <c r="H13" s="104">
        <v>6568412.0864197602</v>
      </c>
      <c r="I13" s="99">
        <f t="shared" si="2"/>
        <v>-8.6419760249555111E-2</v>
      </c>
      <c r="J13" s="52">
        <f t="shared" si="3"/>
        <v>-1.3156872484938726E-6</v>
      </c>
      <c r="K13" s="161">
        <v>6655443</v>
      </c>
      <c r="L13" s="104">
        <v>6655443.3221100001</v>
      </c>
      <c r="M13" s="99">
        <f t="shared" si="4"/>
        <v>-0.32211000006645918</v>
      </c>
      <c r="N13" s="52">
        <f t="shared" si="5"/>
        <v>-4.8397978087557274E-6</v>
      </c>
      <c r="O13" s="161">
        <v>665544332</v>
      </c>
      <c r="P13" s="104">
        <v>665544332.21099997</v>
      </c>
      <c r="Q13" s="99">
        <f t="shared" si="6"/>
        <v>-0.21099996566772461</v>
      </c>
      <c r="R13" s="52">
        <f t="shared" si="7"/>
        <v>-3.170336752275587E-8</v>
      </c>
      <c r="S13" s="161">
        <v>67866634601</v>
      </c>
      <c r="T13" s="104">
        <v>67866634601.112503</v>
      </c>
      <c r="U13" s="99">
        <f t="shared" si="8"/>
        <v>-0.1125030517578125</v>
      </c>
      <c r="V13" s="52">
        <f t="shared" si="9"/>
        <v>-1.6577078327082437E-10</v>
      </c>
      <c r="W13" s="161">
        <v>665544</v>
      </c>
      <c r="X13" s="104">
        <v>665544.33221100003</v>
      </c>
      <c r="Y13" s="99">
        <f t="shared" si="10"/>
        <v>-0.33221100002992898</v>
      </c>
      <c r="Z13" s="52">
        <f t="shared" si="11"/>
        <v>-4.9915683141090421E-5</v>
      </c>
      <c r="AA13" s="161">
        <v>96529019</v>
      </c>
      <c r="AB13" s="104">
        <v>96529019.191919297</v>
      </c>
      <c r="AC13" s="99">
        <f t="shared" si="12"/>
        <v>-0.19191929697990417</v>
      </c>
      <c r="AD13" s="52">
        <f t="shared" si="13"/>
        <v>-1.9882031184666824E-7</v>
      </c>
      <c r="AE13" s="161">
        <v>4991992467</v>
      </c>
      <c r="AF13" s="104">
        <v>4991992466.89114</v>
      </c>
      <c r="AG13" s="99">
        <f t="shared" si="14"/>
        <v>0.10886001586914063</v>
      </c>
      <c r="AH13" s="153">
        <f t="shared" si="15"/>
        <v>2.1806927111998492E-9</v>
      </c>
      <c r="AI13" s="161">
        <v>6655443322</v>
      </c>
      <c r="AJ13" s="104">
        <v>6655443322.1099997</v>
      </c>
      <c r="AK13" s="99">
        <f t="shared" si="16"/>
        <v>-0.10999965667724609</v>
      </c>
      <c r="AL13" s="153">
        <f t="shared" si="17"/>
        <v>-1.6527773035316376E-9</v>
      </c>
      <c r="AM13" s="161">
        <v>2671914748</v>
      </c>
      <c r="AN13" s="104">
        <v>2671914748.0752902</v>
      </c>
      <c r="AO13" s="99">
        <f t="shared" si="18"/>
        <v>-7.5290203094482422E-2</v>
      </c>
      <c r="AP13" s="153">
        <f t="shared" si="19"/>
        <v>-2.8178370267508574E-9</v>
      </c>
      <c r="AQ13" s="161">
        <v>4991992467</v>
      </c>
      <c r="AR13" s="104">
        <v>4991992466.89114</v>
      </c>
      <c r="AS13" s="99">
        <f t="shared" si="20"/>
        <v>0.10886001586914063</v>
      </c>
      <c r="AT13" s="153">
        <f t="shared" si="21"/>
        <v>2.1806927111998492E-9</v>
      </c>
    </row>
    <row r="14" spans="2:46" x14ac:dyDescent="0.25">
      <c r="B14" s="32">
        <v>777555333</v>
      </c>
      <c r="C14" s="161">
        <v>7928.86</v>
      </c>
      <c r="D14" s="104">
        <v>7928.8561394542803</v>
      </c>
      <c r="E14" s="99">
        <f t="shared" si="0"/>
        <v>3.8605457193625625E-3</v>
      </c>
      <c r="F14" s="52">
        <f t="shared" si="1"/>
        <v>4.8689819205475869E-5</v>
      </c>
      <c r="G14" s="161">
        <v>7673.87</v>
      </c>
      <c r="H14" s="104">
        <v>7673.8747517695801</v>
      </c>
      <c r="I14" s="99">
        <f t="shared" si="2"/>
        <v>-4.751769580252585E-3</v>
      </c>
      <c r="J14" s="52">
        <f t="shared" si="3"/>
        <v>-6.1921385661876179E-5</v>
      </c>
      <c r="K14" s="161">
        <v>7775.55</v>
      </c>
      <c r="L14" s="104">
        <v>7775.5533299999997</v>
      </c>
      <c r="M14" s="99">
        <f t="shared" si="4"/>
        <v>-3.3299999995506369E-3</v>
      </c>
      <c r="N14" s="52">
        <f t="shared" si="5"/>
        <v>-4.2826534115619483E-5</v>
      </c>
      <c r="O14" s="161">
        <v>777555</v>
      </c>
      <c r="P14" s="104">
        <v>777555.33299999998</v>
      </c>
      <c r="Q14" s="99">
        <f t="shared" si="6"/>
        <v>-0.33299999998416752</v>
      </c>
      <c r="R14" s="52">
        <f t="shared" si="7"/>
        <v>-4.2826534119362474E-5</v>
      </c>
      <c r="S14" s="161">
        <v>79288578</v>
      </c>
      <c r="T14" s="104">
        <v>79288577.954755098</v>
      </c>
      <c r="U14" s="99">
        <f t="shared" si="8"/>
        <v>4.5244902372360229E-2</v>
      </c>
      <c r="V14" s="52">
        <f t="shared" si="9"/>
        <v>5.7063581589492741E-8</v>
      </c>
      <c r="W14" s="161">
        <v>777.55499999999995</v>
      </c>
      <c r="X14" s="104">
        <v>777.55533300000002</v>
      </c>
      <c r="Y14" s="99">
        <f t="shared" si="10"/>
        <v>-3.3300000006875052E-4</v>
      </c>
      <c r="Z14" s="52">
        <f t="shared" si="11"/>
        <v>-4.2826534130240545E-5</v>
      </c>
      <c r="AA14" s="161">
        <v>112775</v>
      </c>
      <c r="AB14" s="104">
        <v>112774.83712105401</v>
      </c>
      <c r="AC14" s="99">
        <f t="shared" si="12"/>
        <v>0.16287894599372521</v>
      </c>
      <c r="AD14" s="52">
        <f t="shared" si="13"/>
        <v>1.4442844711794067E-4</v>
      </c>
      <c r="AE14" s="161">
        <v>5832144</v>
      </c>
      <c r="AF14" s="104">
        <v>5832143.9715851201</v>
      </c>
      <c r="AG14" s="99">
        <f t="shared" si="14"/>
        <v>2.841487992554903E-2</v>
      </c>
      <c r="AH14" s="153">
        <f t="shared" si="15"/>
        <v>4.8721156514636146E-7</v>
      </c>
      <c r="AI14" s="161">
        <v>7775553</v>
      </c>
      <c r="AJ14" s="104">
        <v>7775553.3300000001</v>
      </c>
      <c r="AK14" s="99">
        <f t="shared" si="16"/>
        <v>-0.33000000007450581</v>
      </c>
      <c r="AL14" s="153">
        <f t="shared" si="17"/>
        <v>-4.2440709499256411E-6</v>
      </c>
      <c r="AM14" s="161">
        <v>3121598</v>
      </c>
      <c r="AN14" s="104">
        <v>3121597.55727382</v>
      </c>
      <c r="AO14" s="99">
        <f t="shared" si="18"/>
        <v>0.44272617995738983</v>
      </c>
      <c r="AP14" s="153">
        <f t="shared" si="19"/>
        <v>1.4182679600250432E-5</v>
      </c>
      <c r="AQ14" s="161">
        <v>5832144</v>
      </c>
      <c r="AR14" s="104">
        <v>5832143.9715851201</v>
      </c>
      <c r="AS14" s="99">
        <f t="shared" si="20"/>
        <v>2.841487992554903E-2</v>
      </c>
      <c r="AT14" s="153">
        <f t="shared" si="21"/>
        <v>4.8721156514636146E-7</v>
      </c>
    </row>
    <row r="15" spans="2:46" x14ac:dyDescent="0.25">
      <c r="B15" s="105">
        <v>0.78939999999999999</v>
      </c>
      <c r="C15" s="159">
        <v>8.0496381040000001E-6</v>
      </c>
      <c r="D15" s="104">
        <v>8.0496381040000001E-6</v>
      </c>
      <c r="E15" s="99">
        <f t="shared" si="0"/>
        <v>0</v>
      </c>
      <c r="F15" s="52">
        <f t="shared" si="1"/>
        <v>0</v>
      </c>
      <c r="G15" s="161">
        <v>7.7907725302000007E-6</v>
      </c>
      <c r="H15" s="104">
        <v>7.7907725302000007E-6</v>
      </c>
      <c r="I15" s="99">
        <f t="shared" si="2"/>
        <v>0</v>
      </c>
      <c r="J15" s="52">
        <f t="shared" si="3"/>
        <v>0</v>
      </c>
      <c r="K15" s="161">
        <v>7.8939999999999993E-6</v>
      </c>
      <c r="L15" s="104">
        <v>7.8939999999999993E-6</v>
      </c>
      <c r="M15" s="99">
        <f t="shared" si="4"/>
        <v>0</v>
      </c>
      <c r="N15" s="52">
        <f t="shared" si="5"/>
        <v>0</v>
      </c>
      <c r="O15" s="161">
        <v>7.894E-4</v>
      </c>
      <c r="P15" s="104">
        <v>7.894E-4</v>
      </c>
      <c r="Q15" s="99">
        <f t="shared" si="6"/>
        <v>0</v>
      </c>
      <c r="R15" s="52">
        <f t="shared" si="7"/>
        <v>0</v>
      </c>
      <c r="S15" s="161">
        <v>8.0496399999999996E-2</v>
      </c>
      <c r="T15" s="104">
        <v>8.0496397852477697E-2</v>
      </c>
      <c r="U15" s="99">
        <f t="shared" si="8"/>
        <v>2.1475222988787124E-9</v>
      </c>
      <c r="V15" s="52">
        <f t="shared" si="9"/>
        <v>2.6678489425258317E-6</v>
      </c>
      <c r="W15" s="161">
        <v>7.8940000000000001E-7</v>
      </c>
      <c r="X15" s="104">
        <v>7.8940000000000001E-7</v>
      </c>
      <c r="Y15" s="99">
        <f t="shared" si="10"/>
        <v>0</v>
      </c>
      <c r="Z15" s="52">
        <f t="shared" si="11"/>
        <v>0</v>
      </c>
      <c r="AA15" s="161">
        <v>1.14493E-4</v>
      </c>
      <c r="AB15" s="104">
        <v>1.1449276038E-4</v>
      </c>
      <c r="AC15" s="99">
        <f t="shared" si="12"/>
        <v>2.3962000000312886E-10</v>
      </c>
      <c r="AD15" s="52">
        <f t="shared" si="13"/>
        <v>2.0928834208192129E-4</v>
      </c>
      <c r="AE15" s="161">
        <v>5.9209900000000001E-3</v>
      </c>
      <c r="AF15" s="104">
        <v>5.9209862703999997E-3</v>
      </c>
      <c r="AG15" s="99">
        <f t="shared" si="14"/>
        <v>3.7296000003628205E-9</v>
      </c>
      <c r="AH15" s="153">
        <f t="shared" si="15"/>
        <v>6.2989505971458066E-5</v>
      </c>
      <c r="AI15" s="161">
        <v>7.894E-3</v>
      </c>
      <c r="AJ15" s="104">
        <v>7.894E-3</v>
      </c>
      <c r="AK15" s="99">
        <f t="shared" si="16"/>
        <v>0</v>
      </c>
      <c r="AL15" s="153">
        <f t="shared" si="17"/>
        <v>0</v>
      </c>
      <c r="AM15" s="161">
        <v>3.1691499999999999E-3</v>
      </c>
      <c r="AN15" s="104">
        <v>3.1691495217510998E-3</v>
      </c>
      <c r="AO15" s="99">
        <f t="shared" si="18"/>
        <v>4.7824890011746723E-10</v>
      </c>
      <c r="AP15" s="153">
        <f t="shared" si="19"/>
        <v>1.5090764788314969E-5</v>
      </c>
      <c r="AQ15" s="161">
        <v>5.9209900000000001E-3</v>
      </c>
      <c r="AR15" s="104">
        <v>5.9209862703999997E-3</v>
      </c>
      <c r="AS15" s="99">
        <f t="shared" si="20"/>
        <v>3.7296000003628205E-9</v>
      </c>
      <c r="AT15" s="153">
        <f t="shared" si="21"/>
        <v>6.2989505971458066E-5</v>
      </c>
    </row>
    <row r="16" spans="2:46" ht="15.75" thickBot="1" x14ac:dyDescent="0.3">
      <c r="B16" s="34">
        <v>-789</v>
      </c>
      <c r="C16" s="235">
        <v>-8.0455600000000002E-3</v>
      </c>
      <c r="D16" s="160">
        <v>-8.0455592399999998E-3</v>
      </c>
      <c r="E16" s="101">
        <f t="shared" si="0"/>
        <v>-7.6000000043263682E-10</v>
      </c>
      <c r="F16" s="57">
        <f t="shared" si="1"/>
        <v>9.4462047666513336E-6</v>
      </c>
      <c r="G16" s="235">
        <v>-7.7868199999999999E-3</v>
      </c>
      <c r="H16" s="160">
        <v>-7.786824837E-3</v>
      </c>
      <c r="I16" s="101">
        <f t="shared" si="2"/>
        <v>4.837000000187941E-9</v>
      </c>
      <c r="J16" s="57">
        <f t="shared" si="3"/>
        <v>-6.2117745055781598E-5</v>
      </c>
      <c r="K16" s="235">
        <v>-7.8899999999999994E-3</v>
      </c>
      <c r="L16" s="160">
        <v>-7.8899999210600008E-3</v>
      </c>
      <c r="M16" s="101">
        <f t="shared" si="4"/>
        <v>-7.8939998635063624E-11</v>
      </c>
      <c r="N16" s="57">
        <f t="shared" si="5"/>
        <v>1.0005069635597441E-6</v>
      </c>
      <c r="O16" s="235">
        <v>-0.78900000000000003</v>
      </c>
      <c r="P16" s="160">
        <v>-0.7889992106</v>
      </c>
      <c r="Q16" s="101">
        <f t="shared" si="6"/>
        <v>-7.8940000003413502E-7</v>
      </c>
      <c r="R16" s="57">
        <f t="shared" si="7"/>
        <v>1.0005079719076401E-4</v>
      </c>
      <c r="S16" s="235">
        <v>-80.455600000000004</v>
      </c>
      <c r="T16" s="160">
        <v>-80.455609203958502</v>
      </c>
      <c r="U16" s="101">
        <f t="shared" si="8"/>
        <v>9.2039584984604517E-6</v>
      </c>
      <c r="V16" s="57">
        <f t="shared" si="9"/>
        <v>-1.1439797162094707E-5</v>
      </c>
      <c r="W16" s="235">
        <v>-7.8899999999999999E-4</v>
      </c>
      <c r="X16" s="160">
        <v>-7.8899999921059998E-4</v>
      </c>
      <c r="Y16" s="101">
        <f t="shared" si="10"/>
        <v>-7.8940001237148838E-13</v>
      </c>
      <c r="Z16" s="57">
        <f t="shared" si="11"/>
        <v>1.0005069875301503E-7</v>
      </c>
      <c r="AA16" s="235">
        <v>-0.114435</v>
      </c>
      <c r="AB16" s="160">
        <v>-0.1144347453</v>
      </c>
      <c r="AC16" s="101">
        <f t="shared" si="12"/>
        <v>-2.5469999999361281E-7</v>
      </c>
      <c r="AD16" s="57">
        <f t="shared" si="13"/>
        <v>2.2257226100857395E-4</v>
      </c>
      <c r="AE16" s="235">
        <v>-5.9179899999999996</v>
      </c>
      <c r="AF16" s="160">
        <v>-5.9179860240000002</v>
      </c>
      <c r="AG16" s="101">
        <f t="shared" si="14"/>
        <v>-3.9759999994615214E-6</v>
      </c>
      <c r="AH16" s="163">
        <f t="shared" si="15"/>
        <v>6.7185018405537241E-5</v>
      </c>
      <c r="AI16" s="235">
        <v>-7.89</v>
      </c>
      <c r="AJ16" s="160">
        <v>-7.89</v>
      </c>
      <c r="AK16" s="101">
        <f t="shared" si="16"/>
        <v>0</v>
      </c>
      <c r="AL16" s="163">
        <f t="shared" si="17"/>
        <v>0</v>
      </c>
      <c r="AM16" s="235">
        <v>-3.1675399999999998</v>
      </c>
      <c r="AN16" s="160">
        <v>-3.1675436694471801</v>
      </c>
      <c r="AO16" s="101">
        <f t="shared" si="18"/>
        <v>3.6694471803322415E-6</v>
      </c>
      <c r="AP16" s="163">
        <f t="shared" si="19"/>
        <v>-1.1584519625494719E-4</v>
      </c>
      <c r="AQ16" s="235">
        <v>-5.9179899999999996</v>
      </c>
      <c r="AR16" s="160">
        <v>-5.9179860240000002</v>
      </c>
      <c r="AS16" s="101">
        <f t="shared" si="20"/>
        <v>-3.9759999994615214E-6</v>
      </c>
      <c r="AT16" s="163">
        <f t="shared" si="21"/>
        <v>6.7185018405537241E-5</v>
      </c>
    </row>
    <row r="17" spans="2:46" x14ac:dyDescent="0.25">
      <c r="B17" s="20"/>
      <c r="C17" s="165"/>
      <c r="D17" s="165"/>
      <c r="E17" s="164"/>
      <c r="F17" s="164"/>
      <c r="G17" s="165"/>
      <c r="H17" s="165"/>
      <c r="I17" s="164"/>
      <c r="J17" s="164"/>
      <c r="K17" s="165"/>
      <c r="L17" s="165"/>
      <c r="M17" s="164"/>
      <c r="N17" s="164"/>
      <c r="O17" s="165"/>
      <c r="P17" s="165"/>
      <c r="Q17" s="164"/>
      <c r="R17" s="164"/>
      <c r="S17" s="165"/>
      <c r="T17" s="165"/>
      <c r="U17" s="164"/>
      <c r="V17" s="164"/>
      <c r="W17" s="165"/>
      <c r="X17" s="165"/>
      <c r="Y17" s="164"/>
      <c r="Z17" s="164"/>
      <c r="AA17" s="165"/>
      <c r="AB17" s="165"/>
      <c r="AC17" s="164"/>
      <c r="AD17" s="164"/>
      <c r="AE17" s="165"/>
      <c r="AF17" s="165"/>
      <c r="AG17" s="164"/>
      <c r="AH17" s="164"/>
      <c r="AQ17" s="165"/>
      <c r="AR17" s="165"/>
      <c r="AS17" s="164"/>
      <c r="AT17" s="164"/>
    </row>
    <row r="18" spans="2:46" ht="15.75" thickBot="1" x14ac:dyDescent="0.3">
      <c r="B18" s="20"/>
      <c r="C18" s="165"/>
      <c r="D18" s="165"/>
      <c r="E18" s="164"/>
      <c r="F18" s="164"/>
      <c r="G18" s="165"/>
      <c r="H18" s="165"/>
      <c r="I18" s="164"/>
      <c r="J18" s="164"/>
      <c r="K18" s="165"/>
      <c r="L18" s="165"/>
      <c r="M18" s="164"/>
      <c r="N18" s="164"/>
      <c r="O18" s="165"/>
      <c r="P18" s="165"/>
      <c r="Q18" s="164"/>
      <c r="R18" s="164"/>
      <c r="S18" s="165"/>
      <c r="T18" s="165"/>
      <c r="U18" s="164"/>
      <c r="V18" s="164"/>
      <c r="W18" s="165"/>
      <c r="X18" s="165"/>
      <c r="Y18" s="164"/>
      <c r="Z18" s="164"/>
      <c r="AA18" s="165"/>
      <c r="AB18" s="165"/>
      <c r="AC18" s="164"/>
      <c r="AD18" s="164"/>
      <c r="AE18" s="165"/>
      <c r="AF18" s="165"/>
      <c r="AG18" s="164"/>
      <c r="AH18" s="164"/>
      <c r="AQ18" s="165"/>
      <c r="AR18" s="165"/>
      <c r="AS18" s="164"/>
      <c r="AT18" s="164"/>
    </row>
    <row r="19" spans="2:46" x14ac:dyDescent="0.25">
      <c r="B19" s="341" t="s">
        <v>10</v>
      </c>
      <c r="C19" s="166" t="s">
        <v>14</v>
      </c>
      <c r="D19" s="168" t="s">
        <v>14</v>
      </c>
      <c r="E19" s="343" t="s">
        <v>354</v>
      </c>
      <c r="F19" s="352" t="s">
        <v>355</v>
      </c>
      <c r="G19" s="166" t="s">
        <v>14</v>
      </c>
      <c r="H19" s="168" t="s">
        <v>14</v>
      </c>
      <c r="I19" s="343" t="s">
        <v>354</v>
      </c>
      <c r="J19" s="352" t="s">
        <v>355</v>
      </c>
      <c r="K19" s="166" t="s">
        <v>14</v>
      </c>
      <c r="L19" s="168" t="s">
        <v>14</v>
      </c>
      <c r="M19" s="343" t="s">
        <v>354</v>
      </c>
      <c r="N19" s="352" t="s">
        <v>355</v>
      </c>
      <c r="O19" s="166" t="s">
        <v>14</v>
      </c>
      <c r="P19" s="168" t="s">
        <v>14</v>
      </c>
      <c r="Q19" s="343" t="s">
        <v>354</v>
      </c>
      <c r="R19" s="352" t="s">
        <v>355</v>
      </c>
      <c r="S19" s="166" t="s">
        <v>14</v>
      </c>
      <c r="T19" s="168" t="s">
        <v>14</v>
      </c>
      <c r="U19" s="343" t="s">
        <v>354</v>
      </c>
      <c r="V19" s="352" t="s">
        <v>355</v>
      </c>
      <c r="W19" s="166" t="s">
        <v>14</v>
      </c>
      <c r="X19" s="168" t="s">
        <v>14</v>
      </c>
      <c r="Y19" s="343" t="s">
        <v>354</v>
      </c>
      <c r="Z19" s="352" t="s">
        <v>355</v>
      </c>
      <c r="AA19" s="166" t="s">
        <v>14</v>
      </c>
      <c r="AB19" s="168" t="s">
        <v>14</v>
      </c>
      <c r="AC19" s="343" t="s">
        <v>354</v>
      </c>
      <c r="AD19" s="352" t="s">
        <v>355</v>
      </c>
      <c r="AE19" s="166" t="s">
        <v>14</v>
      </c>
      <c r="AF19" s="168" t="s">
        <v>14</v>
      </c>
      <c r="AG19" s="343" t="s">
        <v>354</v>
      </c>
      <c r="AH19" s="357" t="s">
        <v>355</v>
      </c>
      <c r="AI19" s="166" t="s">
        <v>14</v>
      </c>
      <c r="AJ19" s="168" t="s">
        <v>14</v>
      </c>
      <c r="AK19" s="343" t="s">
        <v>354</v>
      </c>
      <c r="AL19" s="357" t="s">
        <v>355</v>
      </c>
      <c r="AM19" s="166" t="s">
        <v>14</v>
      </c>
      <c r="AN19" s="168" t="s">
        <v>14</v>
      </c>
      <c r="AO19" s="343" t="s">
        <v>354</v>
      </c>
      <c r="AP19" s="357" t="s">
        <v>355</v>
      </c>
      <c r="AQ19" s="166" t="s">
        <v>14</v>
      </c>
      <c r="AR19" s="168" t="s">
        <v>14</v>
      </c>
      <c r="AS19" s="343" t="s">
        <v>354</v>
      </c>
      <c r="AT19" s="357" t="s">
        <v>355</v>
      </c>
    </row>
    <row r="20" spans="2:46" ht="15.75" thickBot="1" x14ac:dyDescent="0.3">
      <c r="B20" s="342"/>
      <c r="C20" s="167" t="s">
        <v>290</v>
      </c>
      <c r="D20" s="169" t="s">
        <v>291</v>
      </c>
      <c r="E20" s="344"/>
      <c r="F20" s="353"/>
      <c r="G20" s="167" t="s">
        <v>290</v>
      </c>
      <c r="H20" s="169" t="s">
        <v>291</v>
      </c>
      <c r="I20" s="344"/>
      <c r="J20" s="353"/>
      <c r="K20" s="167" t="s">
        <v>290</v>
      </c>
      <c r="L20" s="169" t="s">
        <v>291</v>
      </c>
      <c r="M20" s="344"/>
      <c r="N20" s="353"/>
      <c r="O20" s="167" t="s">
        <v>290</v>
      </c>
      <c r="P20" s="169" t="s">
        <v>291</v>
      </c>
      <c r="Q20" s="344"/>
      <c r="R20" s="353"/>
      <c r="S20" s="167" t="s">
        <v>290</v>
      </c>
      <c r="T20" s="169" t="s">
        <v>291</v>
      </c>
      <c r="U20" s="344"/>
      <c r="V20" s="353"/>
      <c r="W20" s="167" t="s">
        <v>290</v>
      </c>
      <c r="X20" s="169" t="s">
        <v>291</v>
      </c>
      <c r="Y20" s="344"/>
      <c r="Z20" s="353"/>
      <c r="AA20" s="167" t="s">
        <v>290</v>
      </c>
      <c r="AB20" s="169" t="s">
        <v>291</v>
      </c>
      <c r="AC20" s="344"/>
      <c r="AD20" s="353"/>
      <c r="AE20" s="167" t="s">
        <v>290</v>
      </c>
      <c r="AF20" s="169" t="s">
        <v>291</v>
      </c>
      <c r="AG20" s="344"/>
      <c r="AH20" s="358"/>
      <c r="AI20" s="167" t="s">
        <v>290</v>
      </c>
      <c r="AJ20" s="169" t="s">
        <v>291</v>
      </c>
      <c r="AK20" s="344"/>
      <c r="AL20" s="358"/>
      <c r="AM20" s="167" t="s">
        <v>290</v>
      </c>
      <c r="AN20" s="169" t="s">
        <v>291</v>
      </c>
      <c r="AO20" s="344"/>
      <c r="AP20" s="358"/>
      <c r="AQ20" s="167" t="s">
        <v>290</v>
      </c>
      <c r="AR20" s="169" t="s">
        <v>291</v>
      </c>
      <c r="AS20" s="344"/>
      <c r="AT20" s="358"/>
    </row>
    <row r="21" spans="2:46" ht="15.75" thickBot="1" x14ac:dyDescent="0.3">
      <c r="B21" s="346" t="s">
        <v>19</v>
      </c>
      <c r="C21" s="363" t="s">
        <v>18</v>
      </c>
      <c r="D21" s="177" t="s">
        <v>18</v>
      </c>
      <c r="E21" s="344"/>
      <c r="F21" s="354"/>
      <c r="G21" s="363" t="s">
        <v>20</v>
      </c>
      <c r="H21" s="177" t="s">
        <v>20</v>
      </c>
      <c r="I21" s="344"/>
      <c r="J21" s="354"/>
      <c r="K21" s="363" t="s">
        <v>21</v>
      </c>
      <c r="L21" s="177" t="s">
        <v>21</v>
      </c>
      <c r="M21" s="344"/>
      <c r="N21" s="354"/>
      <c r="O21" s="363" t="s">
        <v>22</v>
      </c>
      <c r="P21" s="177" t="s">
        <v>22</v>
      </c>
      <c r="Q21" s="344"/>
      <c r="R21" s="354"/>
      <c r="S21" s="363" t="s">
        <v>23</v>
      </c>
      <c r="T21" s="177" t="s">
        <v>23</v>
      </c>
      <c r="U21" s="344"/>
      <c r="V21" s="354"/>
      <c r="W21" s="363" t="s">
        <v>24</v>
      </c>
      <c r="X21" s="177" t="s">
        <v>24</v>
      </c>
      <c r="Y21" s="344"/>
      <c r="Z21" s="354"/>
      <c r="AA21" s="363" t="s">
        <v>25</v>
      </c>
      <c r="AB21" s="177" t="s">
        <v>25</v>
      </c>
      <c r="AC21" s="344"/>
      <c r="AD21" s="354"/>
      <c r="AE21" s="363" t="s">
        <v>26</v>
      </c>
      <c r="AF21" s="225" t="s">
        <v>26</v>
      </c>
      <c r="AG21" s="344"/>
      <c r="AH21" s="358"/>
      <c r="AI21" s="346" t="s">
        <v>681</v>
      </c>
      <c r="AJ21" s="17" t="s">
        <v>681</v>
      </c>
      <c r="AK21" s="344"/>
      <c r="AL21" s="358"/>
      <c r="AM21" s="346" t="s">
        <v>700</v>
      </c>
      <c r="AN21" s="17" t="s">
        <v>700</v>
      </c>
      <c r="AO21" s="344"/>
      <c r="AP21" s="358"/>
      <c r="AQ21" s="346" t="s">
        <v>721</v>
      </c>
      <c r="AR21" s="17" t="s">
        <v>721</v>
      </c>
      <c r="AS21" s="344"/>
      <c r="AT21" s="358"/>
    </row>
    <row r="22" spans="2:46" ht="35.25" thickBot="1" x14ac:dyDescent="0.3">
      <c r="B22" s="347"/>
      <c r="C22" s="364"/>
      <c r="D22" s="236" t="s">
        <v>27</v>
      </c>
      <c r="E22" s="345"/>
      <c r="F22" s="345"/>
      <c r="G22" s="364"/>
      <c r="H22" s="237" t="s">
        <v>269</v>
      </c>
      <c r="I22" s="345"/>
      <c r="J22" s="345"/>
      <c r="K22" s="364"/>
      <c r="L22" s="237" t="s">
        <v>270</v>
      </c>
      <c r="M22" s="345"/>
      <c r="N22" s="345"/>
      <c r="O22" s="364"/>
      <c r="P22" s="237" t="s">
        <v>271</v>
      </c>
      <c r="Q22" s="345"/>
      <c r="R22" s="345"/>
      <c r="S22" s="364"/>
      <c r="T22" s="237" t="s">
        <v>272</v>
      </c>
      <c r="U22" s="345"/>
      <c r="V22" s="345"/>
      <c r="W22" s="364"/>
      <c r="X22" s="237" t="s">
        <v>273</v>
      </c>
      <c r="Y22" s="345"/>
      <c r="Z22" s="345"/>
      <c r="AA22" s="364"/>
      <c r="AB22" s="237" t="s">
        <v>274</v>
      </c>
      <c r="AC22" s="345"/>
      <c r="AD22" s="345"/>
      <c r="AE22" s="364"/>
      <c r="AF22" s="237" t="s">
        <v>275</v>
      </c>
      <c r="AG22" s="345"/>
      <c r="AH22" s="359"/>
      <c r="AI22" s="347"/>
      <c r="AJ22" s="237" t="s">
        <v>683</v>
      </c>
      <c r="AK22" s="345"/>
      <c r="AL22" s="359"/>
      <c r="AM22" s="347"/>
      <c r="AN22" s="237" t="s">
        <v>702</v>
      </c>
      <c r="AO22" s="345"/>
      <c r="AP22" s="359"/>
      <c r="AQ22" s="347"/>
      <c r="AR22" s="237" t="s">
        <v>723</v>
      </c>
      <c r="AS22" s="345"/>
      <c r="AT22" s="359"/>
    </row>
    <row r="23" spans="2:46" x14ac:dyDescent="0.25">
      <c r="B23" s="95">
        <v>1</v>
      </c>
      <c r="C23" s="234">
        <v>98066.5</v>
      </c>
      <c r="D23" s="106">
        <v>98066.520482173393</v>
      </c>
      <c r="E23" s="100">
        <f>C23-D23</f>
        <v>-2.0482173393247649E-2</v>
      </c>
      <c r="F23" s="54">
        <f>(100*E23)/D23</f>
        <v>-2.0885999923868936E-5</v>
      </c>
      <c r="G23" s="234">
        <v>0.96784099999999995</v>
      </c>
      <c r="H23" s="106">
        <v>0.96784134013784162</v>
      </c>
      <c r="I23" s="100">
        <f>G23-H23</f>
        <v>-3.4013784167008509E-7</v>
      </c>
      <c r="J23" s="54">
        <f>(100*I23)/H23</f>
        <v>-3.5143967049562287E-5</v>
      </c>
      <c r="K23" s="234">
        <v>0.98066500000000001</v>
      </c>
      <c r="L23" s="106">
        <v>0.98066520482173403</v>
      </c>
      <c r="M23" s="100">
        <f>K23-L23</f>
        <v>-2.0482173401781267E-7</v>
      </c>
      <c r="N23" s="54">
        <f>(100*M23)/L23</f>
        <v>-2.08859999325708E-5</v>
      </c>
      <c r="O23" s="234">
        <v>98.066500000000005</v>
      </c>
      <c r="P23" s="106">
        <f>98066.5204821734/1000</f>
        <v>98.066520482173388</v>
      </c>
      <c r="Q23" s="100">
        <f>O23-P23</f>
        <v>-2.0482173383129521E-5</v>
      </c>
      <c r="R23" s="54">
        <f>(100*Q23)/P23</f>
        <v>-2.0885999913551319E-5</v>
      </c>
      <c r="S23" s="234">
        <v>10000</v>
      </c>
      <c r="T23" s="106">
        <f>98066.5204821734/9.80665</f>
        <v>10000.002088600429</v>
      </c>
      <c r="U23" s="100">
        <f>S23-T23</f>
        <v>-2.0886004294879967E-3</v>
      </c>
      <c r="V23" s="54">
        <f>(100*U23)/T23</f>
        <v>-2.0885999932629123E-5</v>
      </c>
      <c r="W23" s="234">
        <v>9.8066500000000001E-2</v>
      </c>
      <c r="X23" s="106">
        <f>98066.5204821734/1000000</f>
        <v>9.8066520482173389E-2</v>
      </c>
      <c r="Y23" s="100">
        <f>W23-X23</f>
        <v>-2.048217338790348E-8</v>
      </c>
      <c r="Z23" s="54">
        <f>(100*Y23)/X23</f>
        <v>-2.08859999184194E-5</v>
      </c>
      <c r="AA23" s="234">
        <v>14.2233</v>
      </c>
      <c r="AB23" s="106">
        <f>98066.5204821734*0.0001450377</f>
        <v>14.223342577737322</v>
      </c>
      <c r="AC23" s="100">
        <f>AA23-AB23</f>
        <v>-4.2577737321636278E-5</v>
      </c>
      <c r="AD23" s="54">
        <f>(100*AC23)/AB23</f>
        <v>-2.9935113415801331E-4</v>
      </c>
      <c r="AE23" s="234">
        <v>735.55899999999997</v>
      </c>
      <c r="AF23" s="106">
        <f>98066.5204821734*0.007500616</f>
        <v>735.55931259291742</v>
      </c>
      <c r="AG23" s="100">
        <f>AE23-AF23</f>
        <v>-3.1259291745300288E-4</v>
      </c>
      <c r="AH23" s="162">
        <f>(100*AG23)/AF23</f>
        <v>-4.24973094761159E-5</v>
      </c>
      <c r="AI23" s="234">
        <v>980.66499999999996</v>
      </c>
      <c r="AJ23" s="106">
        <v>980.66520482173405</v>
      </c>
      <c r="AK23" s="100">
        <f>AI23-AJ23</f>
        <v>-2.0482173408709059E-4</v>
      </c>
      <c r="AL23" s="162">
        <f>(100*AK23)/AJ23</f>
        <v>-2.088599993963518E-5</v>
      </c>
      <c r="AM23" s="234">
        <v>393.70100000000002</v>
      </c>
      <c r="AN23" s="106">
        <v>393.70086962993798</v>
      </c>
      <c r="AO23" s="100">
        <f>AM23-AN23</f>
        <v>1.303700620383097E-4</v>
      </c>
      <c r="AP23" s="162">
        <f>(100*AO23)/AN23</f>
        <v>3.3113988841541547E-5</v>
      </c>
      <c r="AQ23" s="234">
        <v>735.55899999999997</v>
      </c>
      <c r="AR23" s="106">
        <f>98066.5204821734*0.007500616</f>
        <v>735.55931259291742</v>
      </c>
      <c r="AS23" s="100">
        <f>AQ23-AR23</f>
        <v>-3.1259291745300288E-4</v>
      </c>
      <c r="AT23" s="162">
        <f>(100*AS23)/AR23</f>
        <v>-4.24973094761159E-5</v>
      </c>
    </row>
    <row r="24" spans="2:46" x14ac:dyDescent="0.25">
      <c r="B24" s="32">
        <v>96</v>
      </c>
      <c r="C24" s="161">
        <v>9414386</v>
      </c>
      <c r="D24" s="104">
        <v>9414385.9662886504</v>
      </c>
      <c r="E24" s="99">
        <f t="shared" ref="E24:E31" si="22">C24-D24</f>
        <v>3.3711349591612816E-2</v>
      </c>
      <c r="F24" s="52">
        <f t="shared" ref="F24:F31" si="23">(100*E24)/D24</f>
        <v>3.5808336000167776E-7</v>
      </c>
      <c r="G24" s="161">
        <v>92.912800000000004</v>
      </c>
      <c r="H24" s="104">
        <v>92.912768653232845</v>
      </c>
      <c r="I24" s="99">
        <f t="shared" ref="I24:I31" si="24">G24-H24</f>
        <v>3.1346767158879629E-5</v>
      </c>
      <c r="J24" s="52">
        <f t="shared" ref="J24:J31" si="25">(100*I24)/H24</f>
        <v>3.3737846383494824E-5</v>
      </c>
      <c r="K24" s="161">
        <v>94.143900000000002</v>
      </c>
      <c r="L24" s="104">
        <v>94.143859662886499</v>
      </c>
      <c r="M24" s="99">
        <f t="shared" ref="M24:M31" si="26">K24-L24</f>
        <v>4.0337113503596811E-5</v>
      </c>
      <c r="N24" s="52">
        <f t="shared" ref="N24:N31" si="27">(100*M24)/L24</f>
        <v>4.284625003482681E-5</v>
      </c>
      <c r="O24" s="161">
        <v>9414.39</v>
      </c>
      <c r="P24" s="104">
        <f>9414385.96628865/1000</f>
        <v>9414.3859662886498</v>
      </c>
      <c r="Q24" s="99">
        <f t="shared" ref="Q24:Q31" si="28">O24-P24</f>
        <v>4.0337113496207166E-3</v>
      </c>
      <c r="R24" s="52">
        <f t="shared" ref="R24:R31" si="29">(100*Q24)/P24</f>
        <v>4.2846250026977498E-5</v>
      </c>
      <c r="S24" s="161">
        <v>960000</v>
      </c>
      <c r="T24" s="104">
        <f>9414385.96628865/9.80665</f>
        <v>960000.20050564164</v>
      </c>
      <c r="U24" s="99">
        <f t="shared" ref="U24:U31" si="30">S24-T24</f>
        <v>-0.20050564163830131</v>
      </c>
      <c r="V24" s="52">
        <f t="shared" ref="V24:V31" si="31">(100*U24)/T24</f>
        <v>-2.0885999975072193E-5</v>
      </c>
      <c r="W24" s="161">
        <v>9.4143899999999991</v>
      </c>
      <c r="X24" s="104">
        <f>9414385.96628865/1000000</f>
        <v>9.4143859662886502</v>
      </c>
      <c r="Y24" s="99">
        <f t="shared" ref="Y24:Y31" si="32">W24-X24</f>
        <v>4.0337113489385956E-6</v>
      </c>
      <c r="Z24" s="52">
        <f t="shared" ref="Z24:Z31" si="33">(100*Y24)/X24</f>
        <v>4.2846250019731978E-5</v>
      </c>
      <c r="AA24" s="161">
        <v>1365.44</v>
      </c>
      <c r="AB24" s="104">
        <f>9414385.96628865*0.0001450377</f>
        <v>1365.4408874627834</v>
      </c>
      <c r="AC24" s="99">
        <f t="shared" ref="AC24:AC31" si="34">AA24-AB24</f>
        <v>-8.8746278333928785E-4</v>
      </c>
      <c r="AD24" s="52">
        <f t="shared" ref="AD24:AD31" si="35">(100*AC24)/AB24</f>
        <v>-6.4994595627522301E-5</v>
      </c>
      <c r="AE24" s="161">
        <v>70613.7</v>
      </c>
      <c r="AF24" s="104">
        <f>9414385.96628865*0.007500616</f>
        <v>70613.694008920109</v>
      </c>
      <c r="AG24" s="99">
        <f t="shared" ref="AG24:AG31" si="36">AE24-AF24</f>
        <v>5.9910798881901428E-3</v>
      </c>
      <c r="AH24" s="153">
        <f t="shared" ref="AH24:AH31" si="37">(100*AG24)/AF24</f>
        <v>8.4843031826565167E-6</v>
      </c>
      <c r="AI24" s="161">
        <v>94143.9</v>
      </c>
      <c r="AJ24" s="104">
        <v>94143.859662886505</v>
      </c>
      <c r="AK24" s="99">
        <f t="shared" ref="AK24:AK31" si="38">AI24-AJ24</f>
        <v>4.0337113488931209E-2</v>
      </c>
      <c r="AL24" s="153">
        <f t="shared" ref="AL24:AL31" si="39">(100*AK24)/AJ24</f>
        <v>4.2846250019248946E-5</v>
      </c>
      <c r="AM24" s="161">
        <v>37795.300000000003</v>
      </c>
      <c r="AN24" s="104">
        <v>37795.283484473999</v>
      </c>
      <c r="AO24" s="99">
        <f t="shared" ref="AO24:AO31" si="40">AM24-AN24</f>
        <v>1.6515526003786363E-2</v>
      </c>
      <c r="AP24" s="153">
        <f t="shared" ref="AP24:AP31" si="41">(100*AO24)/AN24</f>
        <v>4.369732009172734E-5</v>
      </c>
      <c r="AQ24" s="161">
        <v>70613.7</v>
      </c>
      <c r="AR24" s="104">
        <f>9414385.96628865*0.007500616</f>
        <v>70613.694008920109</v>
      </c>
      <c r="AS24" s="99">
        <f t="shared" ref="AS24:AS31" si="42">AQ24-AR24</f>
        <v>5.9910798881901428E-3</v>
      </c>
      <c r="AT24" s="153">
        <f t="shared" ref="AT24:AT31" si="43">(100*AS24)/AR24</f>
        <v>8.4843031826565167E-6</v>
      </c>
    </row>
    <row r="25" spans="2:46" x14ac:dyDescent="0.25">
      <c r="B25" s="32">
        <v>852</v>
      </c>
      <c r="C25" s="161">
        <v>83552675</v>
      </c>
      <c r="D25" s="104">
        <v>83552675.450811699</v>
      </c>
      <c r="E25" s="99">
        <f t="shared" si="22"/>
        <v>-0.45081169903278351</v>
      </c>
      <c r="F25" s="52">
        <f t="shared" si="23"/>
        <v>-5.3955387616304502E-7</v>
      </c>
      <c r="G25" s="161">
        <v>824.601</v>
      </c>
      <c r="H25" s="104">
        <v>824.60082179744074</v>
      </c>
      <c r="I25" s="99">
        <f t="shared" si="24"/>
        <v>1.7820255925471429E-4</v>
      </c>
      <c r="J25" s="52">
        <f t="shared" si="25"/>
        <v>2.1610766633275184E-5</v>
      </c>
      <c r="K25" s="161">
        <v>835.52700000000004</v>
      </c>
      <c r="L25" s="104">
        <v>835.52675450811705</v>
      </c>
      <c r="M25" s="99">
        <f t="shared" si="26"/>
        <v>2.4549188299261004E-4</v>
      </c>
      <c r="N25" s="52">
        <f t="shared" si="27"/>
        <v>2.9381690253250308E-5</v>
      </c>
      <c r="O25" s="161">
        <v>83552.7</v>
      </c>
      <c r="P25" s="104">
        <f>83552675.4508117/1000</f>
        <v>83552.675450811701</v>
      </c>
      <c r="Q25" s="99">
        <f t="shared" si="28"/>
        <v>2.4549188296077773E-2</v>
      </c>
      <c r="R25" s="52">
        <f t="shared" si="29"/>
        <v>2.9381690249440459E-5</v>
      </c>
      <c r="S25" s="161">
        <v>8520002</v>
      </c>
      <c r="T25" s="104">
        <f>83552675.4508117/9.80665</f>
        <v>8520001.7794875633</v>
      </c>
      <c r="U25" s="99">
        <f t="shared" si="30"/>
        <v>0.22051243670284748</v>
      </c>
      <c r="V25" s="52">
        <f t="shared" si="31"/>
        <v>2.5881735991387344E-6</v>
      </c>
      <c r="W25" s="161">
        <v>83.552700000000002</v>
      </c>
      <c r="X25" s="104">
        <f>83552675.4508117/1000000</f>
        <v>83.552675450811705</v>
      </c>
      <c r="Y25" s="99">
        <f t="shared" si="32"/>
        <v>2.4549188296418833E-5</v>
      </c>
      <c r="Z25" s="52">
        <f t="shared" si="33"/>
        <v>2.9381690249848654E-5</v>
      </c>
      <c r="AA25" s="161">
        <v>12118.3</v>
      </c>
      <c r="AB25" s="104">
        <f>83552675.4508117*0.0001450377</f>
        <v>12118.287876232193</v>
      </c>
      <c r="AC25" s="99">
        <f t="shared" si="34"/>
        <v>1.2123767806770047E-2</v>
      </c>
      <c r="AD25" s="52">
        <f t="shared" si="35"/>
        <v>1.0004522033635299E-4</v>
      </c>
      <c r="AE25" s="161">
        <v>626697</v>
      </c>
      <c r="AF25" s="104">
        <f>83552675.4508117*0.007500616</f>
        <v>626696.53432916547</v>
      </c>
      <c r="AG25" s="99">
        <f t="shared" si="36"/>
        <v>0.46567083452828228</v>
      </c>
      <c r="AH25" s="153">
        <f t="shared" si="37"/>
        <v>7.4305634229611647E-5</v>
      </c>
      <c r="AI25" s="161">
        <v>835527</v>
      </c>
      <c r="AJ25" s="314">
        <v>835526.75450811698</v>
      </c>
      <c r="AK25" s="99">
        <f t="shared" si="38"/>
        <v>0.24549188301898539</v>
      </c>
      <c r="AL25" s="153">
        <f t="shared" si="39"/>
        <v>2.938169025640704E-5</v>
      </c>
      <c r="AM25" s="161">
        <v>335433</v>
      </c>
      <c r="AN25" s="104">
        <v>335433.140924707</v>
      </c>
      <c r="AO25" s="99">
        <f t="shared" si="40"/>
        <v>-0.1409247069968842</v>
      </c>
      <c r="AP25" s="153">
        <f t="shared" si="41"/>
        <v>-4.201275598719593E-5</v>
      </c>
      <c r="AQ25" s="161">
        <v>626697</v>
      </c>
      <c r="AR25" s="104">
        <f>83552675.4508117*0.007500616</f>
        <v>626696.53432916547</v>
      </c>
      <c r="AS25" s="99">
        <f t="shared" si="42"/>
        <v>0.46567083452828228</v>
      </c>
      <c r="AT25" s="153">
        <f t="shared" si="43"/>
        <v>7.4305634229611647E-5</v>
      </c>
    </row>
    <row r="26" spans="2:46" x14ac:dyDescent="0.25">
      <c r="B26" s="32">
        <v>4123</v>
      </c>
      <c r="C26" s="161">
        <v>404328264</v>
      </c>
      <c r="D26" s="104">
        <v>404328263.94800103</v>
      </c>
      <c r="E26" s="99">
        <f t="shared" si="22"/>
        <v>5.199897289276123E-2</v>
      </c>
      <c r="F26" s="52">
        <f t="shared" si="23"/>
        <v>1.286058322636792E-8</v>
      </c>
      <c r="G26" s="161">
        <v>3990.41</v>
      </c>
      <c r="H26" s="104">
        <v>3990.4098453883221</v>
      </c>
      <c r="I26" s="99">
        <f t="shared" si="24"/>
        <v>1.5461167777175433E-4</v>
      </c>
      <c r="J26" s="52">
        <f t="shared" si="25"/>
        <v>3.8745814029713649E-6</v>
      </c>
      <c r="K26" s="161">
        <v>4043.28</v>
      </c>
      <c r="L26" s="104">
        <v>4043.8263948000999</v>
      </c>
      <c r="M26" s="99">
        <f t="shared" si="26"/>
        <v>-0.5463948000997334</v>
      </c>
      <c r="N26" s="52">
        <f t="shared" si="27"/>
        <v>-1.3511826343542711E-2</v>
      </c>
      <c r="O26" s="161">
        <v>404328</v>
      </c>
      <c r="P26" s="104">
        <f>404328263.948001/1000</f>
        <v>404328.26394800103</v>
      </c>
      <c r="Q26" s="99">
        <f t="shared" si="28"/>
        <v>-0.26394800102571025</v>
      </c>
      <c r="R26" s="52">
        <f t="shared" si="29"/>
        <v>-6.528062086197751E-5</v>
      </c>
      <c r="S26" s="161">
        <v>41230009</v>
      </c>
      <c r="T26" s="104">
        <f>404328263.948001/9.80665</f>
        <v>41230008.611299582</v>
      </c>
      <c r="U26" s="99">
        <f t="shared" si="30"/>
        <v>0.38870041817426682</v>
      </c>
      <c r="V26" s="52">
        <f t="shared" si="31"/>
        <v>9.4276094346421936E-7</v>
      </c>
      <c r="W26" s="161">
        <v>404.32799999999997</v>
      </c>
      <c r="X26" s="104">
        <f>404328263.948001/1000000</f>
        <v>404.32826394800105</v>
      </c>
      <c r="Y26" s="99">
        <f t="shared" si="32"/>
        <v>-2.6394800107709671E-4</v>
      </c>
      <c r="Z26" s="52">
        <f t="shared" si="33"/>
        <v>-6.5280620874686595E-5</v>
      </c>
      <c r="AA26" s="161">
        <v>58642.8</v>
      </c>
      <c r="AB26" s="104">
        <f>404328263.948001*0.0001450377</f>
        <v>58642.841448010993</v>
      </c>
      <c r="AC26" s="99">
        <f t="shared" si="34"/>
        <v>-4.1448010990279727E-2</v>
      </c>
      <c r="AD26" s="52">
        <f t="shared" si="35"/>
        <v>-7.06787221881547E-5</v>
      </c>
      <c r="AE26" s="161">
        <v>3032711</v>
      </c>
      <c r="AF26" s="104">
        <f>404328263.948001*0.007500616</f>
        <v>3032711.0458205994</v>
      </c>
      <c r="AG26" s="99">
        <f t="shared" si="36"/>
        <v>-4.5820599421858788E-2</v>
      </c>
      <c r="AH26" s="153">
        <f t="shared" si="37"/>
        <v>-1.5108791681622448E-6</v>
      </c>
      <c r="AI26" s="161">
        <v>4043283</v>
      </c>
      <c r="AJ26" s="104">
        <v>4043282.6394800101</v>
      </c>
      <c r="AK26" s="99">
        <f t="shared" si="38"/>
        <v>0.36051998985931277</v>
      </c>
      <c r="AL26" s="153">
        <f t="shared" si="39"/>
        <v>8.9165171472078379E-6</v>
      </c>
      <c r="AM26" s="161">
        <v>1623229</v>
      </c>
      <c r="AN26" s="104">
        <v>1623228.6854842301</v>
      </c>
      <c r="AO26" s="99">
        <f t="shared" si="40"/>
        <v>0.31451576994732022</v>
      </c>
      <c r="AP26" s="153">
        <f t="shared" si="41"/>
        <v>1.9375937152903142E-5</v>
      </c>
      <c r="AQ26" s="161">
        <v>3032711</v>
      </c>
      <c r="AR26" s="104">
        <f>404328263.948001*0.007500616</f>
        <v>3032711.0458205994</v>
      </c>
      <c r="AS26" s="99">
        <f t="shared" si="42"/>
        <v>-4.5820599421858788E-2</v>
      </c>
      <c r="AT26" s="153">
        <f t="shared" si="43"/>
        <v>-1.5108791681622448E-6</v>
      </c>
    </row>
    <row r="27" spans="2:46" x14ac:dyDescent="0.25">
      <c r="B27" s="32">
        <v>65412</v>
      </c>
      <c r="C27" s="161">
        <v>6414727238</v>
      </c>
      <c r="D27" s="104">
        <v>6414727237.7799301</v>
      </c>
      <c r="E27" s="99">
        <f t="shared" si="22"/>
        <v>0.22006988525390625</v>
      </c>
      <c r="F27" s="52">
        <f t="shared" si="23"/>
        <v>3.4306974731176589E-9</v>
      </c>
      <c r="G27" s="161">
        <v>63308.4</v>
      </c>
      <c r="H27" s="104">
        <v>63308.437741096539</v>
      </c>
      <c r="I27" s="99">
        <f t="shared" si="24"/>
        <v>-3.7741096537502017E-2</v>
      </c>
      <c r="J27" s="52">
        <f t="shared" si="25"/>
        <v>-5.9614638876173788E-5</v>
      </c>
      <c r="K27" s="161">
        <v>64147.3</v>
      </c>
      <c r="L27" s="104">
        <f>6414727237.77993/100000</f>
        <v>64147.272377799301</v>
      </c>
      <c r="M27" s="99">
        <f t="shared" si="26"/>
        <v>2.7622200701443944E-2</v>
      </c>
      <c r="N27" s="52">
        <f t="shared" si="27"/>
        <v>4.3060600517448808E-5</v>
      </c>
      <c r="O27" s="161">
        <v>6414727</v>
      </c>
      <c r="P27" s="104">
        <f>6414727237.77993/1000</f>
        <v>6414727.2377799302</v>
      </c>
      <c r="Q27" s="99">
        <f t="shared" si="28"/>
        <v>-0.23777993023395538</v>
      </c>
      <c r="R27" s="52">
        <f t="shared" si="29"/>
        <v>-3.7067816201682881E-6</v>
      </c>
      <c r="S27" s="161">
        <v>654120137</v>
      </c>
      <c r="T27" s="104">
        <f>6414727237.77993/9.80665</f>
        <v>654120136.61953175</v>
      </c>
      <c r="U27" s="99">
        <f t="shared" si="30"/>
        <v>0.38046824932098389</v>
      </c>
      <c r="V27" s="52">
        <f t="shared" si="31"/>
        <v>5.8164888683480906E-8</v>
      </c>
      <c r="W27" s="161">
        <v>6414.73</v>
      </c>
      <c r="X27" s="104">
        <f>6414727237.77993/1000000</f>
        <v>6414.72723777993</v>
      </c>
      <c r="Y27" s="99">
        <f t="shared" si="32"/>
        <v>2.7622200695986976E-3</v>
      </c>
      <c r="Z27" s="52">
        <f t="shared" si="33"/>
        <v>4.3060600508941873E-5</v>
      </c>
      <c r="AA27" s="161">
        <v>930377</v>
      </c>
      <c r="AB27" s="104">
        <f>6414727237.77993*0.0001450377</f>
        <v>930377.28469495417</v>
      </c>
      <c r="AC27" s="99">
        <f t="shared" si="34"/>
        <v>-0.28469495417084545</v>
      </c>
      <c r="AD27" s="52">
        <f t="shared" si="35"/>
        <v>-3.0599946801602028E-5</v>
      </c>
      <c r="AE27" s="161">
        <v>48114406</v>
      </c>
      <c r="AF27" s="104">
        <f>6414727237.77993*0.007500616</f>
        <v>48114405.755327947</v>
      </c>
      <c r="AG27" s="99">
        <f t="shared" si="36"/>
        <v>0.24467205256223679</v>
      </c>
      <c r="AH27" s="153">
        <f t="shared" si="37"/>
        <v>5.0852140584765098E-7</v>
      </c>
      <c r="AI27" s="161">
        <v>64147272</v>
      </c>
      <c r="AJ27" s="104">
        <v>64147272.377799302</v>
      </c>
      <c r="AK27" s="99">
        <f t="shared" si="38"/>
        <v>-0.37779930233955383</v>
      </c>
      <c r="AL27" s="153">
        <f t="shared" si="39"/>
        <v>-5.8895614472035794E-7</v>
      </c>
      <c r="AM27" s="161">
        <v>25752761</v>
      </c>
      <c r="AN27" s="104">
        <v>25752761.284233499</v>
      </c>
      <c r="AO27" s="99">
        <f t="shared" si="40"/>
        <v>-0.28423349931836128</v>
      </c>
      <c r="AP27" s="153">
        <f t="shared" si="41"/>
        <v>-1.103701060174764E-6</v>
      </c>
      <c r="AQ27" s="161">
        <v>48114406</v>
      </c>
      <c r="AR27" s="104">
        <f>6414727237.77993*0.007500616</f>
        <v>48114405.755327947</v>
      </c>
      <c r="AS27" s="99">
        <f t="shared" si="42"/>
        <v>0.24467205256223679</v>
      </c>
      <c r="AT27" s="153">
        <f t="shared" si="43"/>
        <v>5.0852140584765098E-7</v>
      </c>
    </row>
    <row r="28" spans="2:46" x14ac:dyDescent="0.25">
      <c r="B28" s="32">
        <v>774411225588</v>
      </c>
      <c r="C28" s="161">
        <v>7.5943814315750704E+16</v>
      </c>
      <c r="D28" s="104">
        <v>7.5943814315750592E+16</v>
      </c>
      <c r="E28" s="99">
        <f t="shared" si="22"/>
        <v>0</v>
      </c>
      <c r="F28" s="52">
        <f t="shared" si="23"/>
        <v>0</v>
      </c>
      <c r="G28" s="161">
        <v>749507198391</v>
      </c>
      <c r="H28" s="104">
        <v>749507198390.87817</v>
      </c>
      <c r="I28" s="99">
        <f t="shared" si="24"/>
        <v>0.121826171875</v>
      </c>
      <c r="J28" s="52">
        <f t="shared" si="25"/>
        <v>1.6254169691305086E-11</v>
      </c>
      <c r="K28" s="161">
        <v>759438143158</v>
      </c>
      <c r="L28" s="104">
        <f>75943814315750600/100000</f>
        <v>759438143157.50586</v>
      </c>
      <c r="M28" s="99">
        <f t="shared" si="26"/>
        <v>0.494140625</v>
      </c>
      <c r="N28" s="52">
        <f t="shared" si="27"/>
        <v>6.5066606076107538E-11</v>
      </c>
      <c r="O28" s="161">
        <v>75943814315751</v>
      </c>
      <c r="P28" s="104">
        <f>75943814315750600/1000</f>
        <v>75943814315750.594</v>
      </c>
      <c r="Q28" s="99">
        <f t="shared" si="28"/>
        <v>0.40625</v>
      </c>
      <c r="R28" s="52">
        <f t="shared" si="29"/>
        <v>5.3493494323440188E-13</v>
      </c>
      <c r="S28" s="161">
        <v>7744113873315620</v>
      </c>
      <c r="T28" s="104">
        <f>75943814315750600/9.80665</f>
        <v>7744113873315617</v>
      </c>
      <c r="U28" s="99">
        <f t="shared" si="30"/>
        <v>0</v>
      </c>
      <c r="V28" s="52">
        <f t="shared" si="31"/>
        <v>0</v>
      </c>
      <c r="W28" s="161">
        <v>75943814316</v>
      </c>
      <c r="X28" s="104">
        <f>75943814315750600/1000000</f>
        <v>75943814315.750595</v>
      </c>
      <c r="Y28" s="99">
        <f t="shared" si="32"/>
        <v>0.2494049072265625</v>
      </c>
      <c r="Z28" s="52">
        <f t="shared" si="33"/>
        <v>3.2840713818983991E-10</v>
      </c>
      <c r="AA28" s="161">
        <v>11014716157584</v>
      </c>
      <c r="AB28" s="104">
        <f>75943814315750600*0.0001450377</f>
        <v>11014716157583.541</v>
      </c>
      <c r="AC28" s="99">
        <f t="shared" si="34"/>
        <v>0.458984375</v>
      </c>
      <c r="AD28" s="52">
        <f t="shared" si="35"/>
        <v>4.1670104652128781E-12</v>
      </c>
      <c r="AE28" s="161">
        <v>569625388757748</v>
      </c>
      <c r="AF28" s="104">
        <f>75943814315750600*0.007500616</f>
        <v>569625388757747.87</v>
      </c>
      <c r="AG28" s="99">
        <f t="shared" si="36"/>
        <v>0</v>
      </c>
      <c r="AH28" s="153">
        <f t="shared" si="37"/>
        <v>0</v>
      </c>
      <c r="AI28" s="161">
        <v>759438143157506</v>
      </c>
      <c r="AJ28" s="104">
        <v>759438143157506</v>
      </c>
      <c r="AK28" s="99">
        <f t="shared" si="38"/>
        <v>0</v>
      </c>
      <c r="AL28" s="153">
        <f t="shared" si="39"/>
        <v>0</v>
      </c>
      <c r="AM28" s="161">
        <v>304886372965182</v>
      </c>
      <c r="AN28" s="104">
        <v>304886372965182</v>
      </c>
      <c r="AO28" s="99">
        <f t="shared" si="40"/>
        <v>0</v>
      </c>
      <c r="AP28" s="153">
        <f t="shared" si="41"/>
        <v>0</v>
      </c>
      <c r="AQ28" s="161">
        <v>569625388757748</v>
      </c>
      <c r="AR28" s="104">
        <f>75943814315750600*0.007500616</f>
        <v>569625388757747.87</v>
      </c>
      <c r="AS28" s="99">
        <f t="shared" si="42"/>
        <v>0</v>
      </c>
      <c r="AT28" s="153">
        <f t="shared" si="43"/>
        <v>0</v>
      </c>
    </row>
    <row r="29" spans="2:46" x14ac:dyDescent="0.25">
      <c r="B29" s="32">
        <v>999555111</v>
      </c>
      <c r="C29" s="161">
        <v>98022891765943</v>
      </c>
      <c r="D29" s="104">
        <v>98022891765942.594</v>
      </c>
      <c r="E29" s="99">
        <f t="shared" si="22"/>
        <v>0.40625</v>
      </c>
      <c r="F29" s="52">
        <f t="shared" si="23"/>
        <v>4.1444400657964353E-13</v>
      </c>
      <c r="G29" s="161">
        <v>967410758</v>
      </c>
      <c r="H29" s="104">
        <v>967410758.17186892</v>
      </c>
      <c r="I29" s="99">
        <f t="shared" si="24"/>
        <v>-0.17186892032623291</v>
      </c>
      <c r="J29" s="52">
        <f t="shared" si="25"/>
        <v>-1.7765868207938505E-8</v>
      </c>
      <c r="K29" s="161">
        <v>980228918</v>
      </c>
      <c r="L29" s="104">
        <f>98022891765942.6/100000</f>
        <v>980228917.65942597</v>
      </c>
      <c r="M29" s="99">
        <f t="shared" si="26"/>
        <v>0.34057402610778809</v>
      </c>
      <c r="N29" s="52">
        <f t="shared" si="27"/>
        <v>3.4744335733433065E-8</v>
      </c>
      <c r="O29" s="161">
        <v>98022891766</v>
      </c>
      <c r="P29" s="104">
        <f>98022891765942.6/1000</f>
        <v>98022891765.942596</v>
      </c>
      <c r="Q29" s="99">
        <f t="shared" si="28"/>
        <v>5.7403564453125E-2</v>
      </c>
      <c r="R29" s="52">
        <f t="shared" si="29"/>
        <v>5.8561386446537674E-11</v>
      </c>
      <c r="S29" s="161">
        <v>9995553197671</v>
      </c>
      <c r="T29" s="104">
        <f>98022891765942.6/9.80665</f>
        <v>9995553197671.2324</v>
      </c>
      <c r="U29" s="99">
        <f t="shared" si="30"/>
        <v>-0.232421875</v>
      </c>
      <c r="V29" s="52">
        <f t="shared" si="31"/>
        <v>-2.3252527439316689E-12</v>
      </c>
      <c r="W29" s="161">
        <v>98022892</v>
      </c>
      <c r="X29" s="104">
        <f>98022891765942.6/1000000</f>
        <v>98022891.765942588</v>
      </c>
      <c r="Y29" s="99">
        <f t="shared" si="32"/>
        <v>0.23405741155147552</v>
      </c>
      <c r="Z29" s="52">
        <f t="shared" si="33"/>
        <v>2.3877831732444078E-7</v>
      </c>
      <c r="AA29" s="161">
        <v>14217014769</v>
      </c>
      <c r="AB29" s="104">
        <f>98022891765942.6*0.0001450377</f>
        <v>14217014769.081253</v>
      </c>
      <c r="AC29" s="99">
        <f t="shared" si="34"/>
        <v>-8.12530517578125E-2</v>
      </c>
      <c r="AD29" s="52">
        <f t="shared" si="35"/>
        <v>-5.7151978159662077E-10</v>
      </c>
      <c r="AE29" s="161">
        <v>735232070346</v>
      </c>
      <c r="AF29" s="104">
        <f>98022891765942.6*0.007500616</f>
        <v>735232070345.89722</v>
      </c>
      <c r="AG29" s="99">
        <f t="shared" si="36"/>
        <v>0.102783203125</v>
      </c>
      <c r="AH29" s="153">
        <f t="shared" si="37"/>
        <v>1.3979695292214964E-11</v>
      </c>
      <c r="AI29" s="161">
        <v>980228917659</v>
      </c>
      <c r="AJ29" s="104">
        <v>980228917659.42603</v>
      </c>
      <c r="AK29" s="99">
        <f t="shared" si="38"/>
        <v>-0.426025390625</v>
      </c>
      <c r="AL29" s="153">
        <f t="shared" si="39"/>
        <v>-4.346182641114651E-11</v>
      </c>
      <c r="AM29" s="161">
        <v>393525716444</v>
      </c>
      <c r="AN29" s="104">
        <v>393525716443.74902</v>
      </c>
      <c r="AO29" s="99">
        <f t="shared" si="40"/>
        <v>0.2509765625</v>
      </c>
      <c r="AP29" s="153">
        <f t="shared" si="41"/>
        <v>6.3776406982509071E-11</v>
      </c>
      <c r="AQ29" s="161">
        <v>735232070346</v>
      </c>
      <c r="AR29" s="104">
        <f>98022891765942.6*0.007500616</f>
        <v>735232070345.89722</v>
      </c>
      <c r="AS29" s="99">
        <f t="shared" si="42"/>
        <v>0.102783203125</v>
      </c>
      <c r="AT29" s="153">
        <f t="shared" si="43"/>
        <v>1.3979695292214964E-11</v>
      </c>
    </row>
    <row r="30" spans="2:46" x14ac:dyDescent="0.25">
      <c r="B30" s="105">
        <v>0.98699999999999999</v>
      </c>
      <c r="C30" s="159">
        <v>96791.7</v>
      </c>
      <c r="D30" s="104">
        <v>96791.655715905203</v>
      </c>
      <c r="E30" s="99">
        <f t="shared" si="22"/>
        <v>4.4284094794420525E-2</v>
      </c>
      <c r="F30" s="52">
        <f t="shared" si="23"/>
        <v>4.5751975691375203E-5</v>
      </c>
      <c r="G30" s="161">
        <v>0.95525899999999997</v>
      </c>
      <c r="H30" s="104">
        <v>0.95525940271605025</v>
      </c>
      <c r="I30" s="99">
        <f t="shared" si="24"/>
        <v>-4.0271605028507906E-7</v>
      </c>
      <c r="J30" s="52">
        <f t="shared" si="25"/>
        <v>-4.2157768784065654E-5</v>
      </c>
      <c r="K30" s="161">
        <v>0.96791700000000003</v>
      </c>
      <c r="L30" s="104">
        <f>96791.6557159052/100000</f>
        <v>0.967916557159052</v>
      </c>
      <c r="M30" s="99">
        <f t="shared" si="26"/>
        <v>4.4284094802282681E-7</v>
      </c>
      <c r="N30" s="52">
        <f t="shared" si="27"/>
        <v>4.5751975699497965E-5</v>
      </c>
      <c r="O30" s="161">
        <v>96.791700000000006</v>
      </c>
      <c r="P30" s="104">
        <f>96791.6557159052/1000</f>
        <v>96.791655715905208</v>
      </c>
      <c r="Q30" s="99">
        <f t="shared" si="28"/>
        <v>4.4284094798285878E-5</v>
      </c>
      <c r="R30" s="52">
        <f t="shared" si="29"/>
        <v>4.5751975695368679E-5</v>
      </c>
      <c r="S30" s="161">
        <v>9870</v>
      </c>
      <c r="T30" s="104">
        <f>96791.6557159052/9.80665</f>
        <v>9870.0020614486293</v>
      </c>
      <c r="U30" s="99">
        <f t="shared" si="30"/>
        <v>-2.0614486293197842E-3</v>
      </c>
      <c r="V30" s="52">
        <f t="shared" si="31"/>
        <v>-2.0885999987493656E-5</v>
      </c>
      <c r="W30" s="161">
        <v>9.6791699999999994E-2</v>
      </c>
      <c r="X30" s="104">
        <f>96791.6557159052/1000000</f>
        <v>9.67916557159052E-2</v>
      </c>
      <c r="Y30" s="99">
        <f t="shared" si="32"/>
        <v>4.4284094793956008E-8</v>
      </c>
      <c r="Z30" s="52">
        <f t="shared" si="33"/>
        <v>4.5751975690895288E-5</v>
      </c>
      <c r="AA30" s="161">
        <v>14.038399999999999</v>
      </c>
      <c r="AB30" s="104">
        <f>96791.6557159052*0.0001450377</f>
        <v>14.038439124226745</v>
      </c>
      <c r="AC30" s="99">
        <f t="shared" si="34"/>
        <v>-3.9124226745457236E-5</v>
      </c>
      <c r="AD30" s="52">
        <f t="shared" si="35"/>
        <v>-2.7869356699306307E-4</v>
      </c>
      <c r="AE30" s="161">
        <v>725.99699999999996</v>
      </c>
      <c r="AF30" s="104">
        <f>96791.6557159052*0.007500616</f>
        <v>725.99704152921004</v>
      </c>
      <c r="AG30" s="99">
        <f t="shared" si="36"/>
        <v>-4.1529210079715995E-5</v>
      </c>
      <c r="AH30" s="153">
        <f t="shared" si="37"/>
        <v>-5.7203001808713423E-6</v>
      </c>
      <c r="AI30" s="161">
        <v>967.91700000000003</v>
      </c>
      <c r="AJ30" s="104">
        <v>967.91655715905199</v>
      </c>
      <c r="AK30" s="99">
        <f t="shared" si="38"/>
        <v>4.428409480397022E-4</v>
      </c>
      <c r="AL30" s="153">
        <f t="shared" si="39"/>
        <v>4.5751975701241443E-5</v>
      </c>
      <c r="AM30" s="161">
        <v>388.58300000000003</v>
      </c>
      <c r="AN30" s="104">
        <v>388.58275832474902</v>
      </c>
      <c r="AO30" s="99">
        <f t="shared" si="40"/>
        <v>2.416752510043807E-4</v>
      </c>
      <c r="AP30" s="153">
        <f t="shared" si="41"/>
        <v>6.2194023236204987E-5</v>
      </c>
      <c r="AQ30" s="161">
        <v>725.99699999999996</v>
      </c>
      <c r="AR30" s="104">
        <f>96791.6557159052*0.007500616</f>
        <v>725.99704152921004</v>
      </c>
      <c r="AS30" s="99">
        <f t="shared" si="42"/>
        <v>-4.1529210079715995E-5</v>
      </c>
      <c r="AT30" s="153">
        <f t="shared" si="43"/>
        <v>-5.7203001808713423E-6</v>
      </c>
    </row>
    <row r="31" spans="2:46" ht="15.75" thickBot="1" x14ac:dyDescent="0.3">
      <c r="B31" s="34">
        <v>-852</v>
      </c>
      <c r="C31" s="235">
        <v>-83552675</v>
      </c>
      <c r="D31" s="160">
        <v>-83552675.450811699</v>
      </c>
      <c r="E31" s="101">
        <f t="shared" si="22"/>
        <v>0.45081169903278351</v>
      </c>
      <c r="F31" s="57">
        <f t="shared" si="23"/>
        <v>-5.3955387616304502E-7</v>
      </c>
      <c r="G31" s="235">
        <v>-824.601</v>
      </c>
      <c r="H31" s="160">
        <v>-824.60082179744074</v>
      </c>
      <c r="I31" s="101">
        <f t="shared" si="24"/>
        <v>-1.7820255925471429E-4</v>
      </c>
      <c r="J31" s="57">
        <f t="shared" si="25"/>
        <v>2.1610766633275184E-5</v>
      </c>
      <c r="K31" s="235">
        <v>-835.52700000000004</v>
      </c>
      <c r="L31" s="160">
        <f>-83552675.4508117/100000</f>
        <v>-835.52675450811694</v>
      </c>
      <c r="M31" s="101">
        <f t="shared" si="26"/>
        <v>-2.4549188310629688E-4</v>
      </c>
      <c r="N31" s="57">
        <f t="shared" si="27"/>
        <v>2.9381690266856916E-5</v>
      </c>
      <c r="O31" s="235">
        <v>-83552.7</v>
      </c>
      <c r="P31" s="160">
        <f>-83552675.4508117/1000</f>
        <v>-83552.675450811701</v>
      </c>
      <c r="Q31" s="101">
        <f t="shared" si="28"/>
        <v>-2.4549188296077773E-2</v>
      </c>
      <c r="R31" s="57">
        <f t="shared" si="29"/>
        <v>2.9381690249440459E-5</v>
      </c>
      <c r="S31" s="235">
        <v>-8520002</v>
      </c>
      <c r="T31" s="160">
        <f>-83552675.4508117/9.80665</f>
        <v>-8520001.7794875633</v>
      </c>
      <c r="U31" s="101">
        <f t="shared" si="30"/>
        <v>-0.22051243670284748</v>
      </c>
      <c r="V31" s="57">
        <f t="shared" si="31"/>
        <v>2.5881735991387344E-6</v>
      </c>
      <c r="W31" s="235">
        <v>-83.552700000000002</v>
      </c>
      <c r="X31" s="160">
        <f>-83552675.4508117/1000000</f>
        <v>-83.552675450811705</v>
      </c>
      <c r="Y31" s="101">
        <f t="shared" si="32"/>
        <v>-2.4549188296418833E-5</v>
      </c>
      <c r="Z31" s="57">
        <f t="shared" si="33"/>
        <v>2.9381690249848654E-5</v>
      </c>
      <c r="AA31" s="235">
        <v>-12118.3</v>
      </c>
      <c r="AB31" s="160">
        <f>-83552675.4508117*0.0001450377</f>
        <v>-12118.287876232193</v>
      </c>
      <c r="AC31" s="101">
        <f t="shared" si="34"/>
        <v>-1.2123767806770047E-2</v>
      </c>
      <c r="AD31" s="57">
        <f t="shared" si="35"/>
        <v>1.0004522033635299E-4</v>
      </c>
      <c r="AE31" s="235">
        <v>-626697</v>
      </c>
      <c r="AF31" s="160">
        <f>-83552675.4508117*0.007500616</f>
        <v>-626696.53432916547</v>
      </c>
      <c r="AG31" s="101">
        <f t="shared" si="36"/>
        <v>-0.46567083452828228</v>
      </c>
      <c r="AH31" s="163">
        <f t="shared" si="37"/>
        <v>7.4305634229611647E-5</v>
      </c>
      <c r="AI31" s="235">
        <v>-835527</v>
      </c>
      <c r="AJ31" s="160">
        <v>-835527.57388093695</v>
      </c>
      <c r="AK31" s="101">
        <f t="shared" si="38"/>
        <v>0.57388093695044518</v>
      </c>
      <c r="AL31" s="163">
        <f t="shared" si="39"/>
        <v>-6.8684859110613089E-5</v>
      </c>
      <c r="AM31" s="235">
        <v>-335433</v>
      </c>
      <c r="AN31" s="160">
        <v>-335433.140924707</v>
      </c>
      <c r="AO31" s="101">
        <f t="shared" si="40"/>
        <v>0.1409247069968842</v>
      </c>
      <c r="AP31" s="163">
        <f t="shared" si="41"/>
        <v>-4.201275598719593E-5</v>
      </c>
      <c r="AQ31" s="235">
        <v>-626697</v>
      </c>
      <c r="AR31" s="160">
        <f>-83552675.4508117*0.007500616</f>
        <v>-626696.53432916547</v>
      </c>
      <c r="AS31" s="101">
        <f t="shared" si="42"/>
        <v>-0.46567083452828228</v>
      </c>
      <c r="AT31" s="163">
        <f t="shared" si="43"/>
        <v>7.4305634229611647E-5</v>
      </c>
    </row>
    <row r="32" spans="2:46" ht="15.75" thickBot="1" x14ac:dyDescent="0.3">
      <c r="B32" s="20"/>
      <c r="C32" s="165"/>
      <c r="D32" s="165"/>
      <c r="E32" s="164"/>
      <c r="F32" s="164"/>
      <c r="G32" s="165"/>
      <c r="H32" s="165"/>
      <c r="I32" s="164"/>
      <c r="J32" s="164"/>
      <c r="K32" s="165"/>
      <c r="L32" s="165"/>
      <c r="M32" s="164"/>
      <c r="N32" s="164"/>
      <c r="O32" s="165"/>
      <c r="P32" s="165"/>
      <c r="Q32" s="164"/>
      <c r="R32" s="164"/>
      <c r="S32" s="165"/>
      <c r="T32" s="165"/>
      <c r="U32" s="164"/>
      <c r="V32" s="164"/>
      <c r="W32" s="165"/>
      <c r="X32" s="165"/>
      <c r="Y32" s="164"/>
      <c r="Z32" s="164"/>
      <c r="AA32" s="165"/>
      <c r="AB32" s="165"/>
      <c r="AC32" s="164"/>
      <c r="AD32" s="164"/>
      <c r="AE32" s="165"/>
      <c r="AF32" s="165"/>
      <c r="AG32" s="164"/>
      <c r="AH32" s="164"/>
      <c r="AQ32" s="165"/>
      <c r="AR32" s="165"/>
      <c r="AS32" s="164"/>
      <c r="AT32" s="164"/>
    </row>
    <row r="33" spans="2:46" x14ac:dyDescent="0.25">
      <c r="B33" s="341" t="s">
        <v>10</v>
      </c>
      <c r="C33" s="166" t="s">
        <v>14</v>
      </c>
      <c r="D33" s="168" t="s">
        <v>14</v>
      </c>
      <c r="E33" s="343" t="s">
        <v>354</v>
      </c>
      <c r="F33" s="352" t="s">
        <v>355</v>
      </c>
      <c r="G33" s="166" t="s">
        <v>14</v>
      </c>
      <c r="H33" s="168" t="s">
        <v>14</v>
      </c>
      <c r="I33" s="343" t="s">
        <v>354</v>
      </c>
      <c r="J33" s="352" t="s">
        <v>355</v>
      </c>
      <c r="K33" s="166" t="s">
        <v>14</v>
      </c>
      <c r="L33" s="168" t="s">
        <v>14</v>
      </c>
      <c r="M33" s="343" t="s">
        <v>354</v>
      </c>
      <c r="N33" s="352" t="s">
        <v>355</v>
      </c>
      <c r="O33" s="166" t="s">
        <v>14</v>
      </c>
      <c r="P33" s="168" t="s">
        <v>14</v>
      </c>
      <c r="Q33" s="343" t="s">
        <v>354</v>
      </c>
      <c r="R33" s="352" t="s">
        <v>355</v>
      </c>
      <c r="S33" s="166" t="s">
        <v>14</v>
      </c>
      <c r="T33" s="168" t="s">
        <v>14</v>
      </c>
      <c r="U33" s="343" t="s">
        <v>354</v>
      </c>
      <c r="V33" s="352" t="s">
        <v>355</v>
      </c>
      <c r="W33" s="166" t="s">
        <v>14</v>
      </c>
      <c r="X33" s="168" t="s">
        <v>14</v>
      </c>
      <c r="Y33" s="343" t="s">
        <v>354</v>
      </c>
      <c r="Z33" s="352" t="s">
        <v>355</v>
      </c>
      <c r="AA33" s="166" t="s">
        <v>14</v>
      </c>
      <c r="AB33" s="168" t="s">
        <v>14</v>
      </c>
      <c r="AC33" s="343" t="s">
        <v>354</v>
      </c>
      <c r="AD33" s="352" t="s">
        <v>355</v>
      </c>
      <c r="AE33" s="166" t="s">
        <v>14</v>
      </c>
      <c r="AF33" s="168" t="s">
        <v>14</v>
      </c>
      <c r="AG33" s="343" t="s">
        <v>354</v>
      </c>
      <c r="AH33" s="357" t="s">
        <v>355</v>
      </c>
      <c r="AI33" s="166" t="s">
        <v>14</v>
      </c>
      <c r="AJ33" s="168" t="s">
        <v>14</v>
      </c>
      <c r="AK33" s="343" t="s">
        <v>354</v>
      </c>
      <c r="AL33" s="357" t="s">
        <v>355</v>
      </c>
      <c r="AM33" s="166" t="s">
        <v>14</v>
      </c>
      <c r="AN33" s="168" t="s">
        <v>14</v>
      </c>
      <c r="AO33" s="343" t="s">
        <v>354</v>
      </c>
      <c r="AP33" s="357" t="s">
        <v>355</v>
      </c>
      <c r="AQ33" s="166" t="s">
        <v>14</v>
      </c>
      <c r="AR33" s="168" t="s">
        <v>14</v>
      </c>
      <c r="AS33" s="343" t="s">
        <v>354</v>
      </c>
      <c r="AT33" s="357" t="s">
        <v>355</v>
      </c>
    </row>
    <row r="34" spans="2:46" ht="15.75" thickBot="1" x14ac:dyDescent="0.3">
      <c r="B34" s="342"/>
      <c r="C34" s="167" t="s">
        <v>290</v>
      </c>
      <c r="D34" s="169" t="s">
        <v>291</v>
      </c>
      <c r="E34" s="344"/>
      <c r="F34" s="353"/>
      <c r="G34" s="167" t="s">
        <v>290</v>
      </c>
      <c r="H34" s="169" t="s">
        <v>291</v>
      </c>
      <c r="I34" s="344"/>
      <c r="J34" s="353"/>
      <c r="K34" s="167" t="s">
        <v>290</v>
      </c>
      <c r="L34" s="169" t="s">
        <v>291</v>
      </c>
      <c r="M34" s="344"/>
      <c r="N34" s="353"/>
      <c r="O34" s="167" t="s">
        <v>290</v>
      </c>
      <c r="P34" s="169" t="s">
        <v>291</v>
      </c>
      <c r="Q34" s="344"/>
      <c r="R34" s="353"/>
      <c r="S34" s="167" t="s">
        <v>290</v>
      </c>
      <c r="T34" s="169" t="s">
        <v>291</v>
      </c>
      <c r="U34" s="344"/>
      <c r="V34" s="353"/>
      <c r="W34" s="167" t="s">
        <v>290</v>
      </c>
      <c r="X34" s="169" t="s">
        <v>291</v>
      </c>
      <c r="Y34" s="344"/>
      <c r="Z34" s="353"/>
      <c r="AA34" s="167" t="s">
        <v>290</v>
      </c>
      <c r="AB34" s="169" t="s">
        <v>291</v>
      </c>
      <c r="AC34" s="344"/>
      <c r="AD34" s="353"/>
      <c r="AE34" s="167" t="s">
        <v>290</v>
      </c>
      <c r="AF34" s="169" t="s">
        <v>291</v>
      </c>
      <c r="AG34" s="344"/>
      <c r="AH34" s="358"/>
      <c r="AI34" s="167" t="s">
        <v>290</v>
      </c>
      <c r="AJ34" s="169" t="s">
        <v>291</v>
      </c>
      <c r="AK34" s="344"/>
      <c r="AL34" s="358"/>
      <c r="AM34" s="167" t="s">
        <v>290</v>
      </c>
      <c r="AN34" s="169" t="s">
        <v>291</v>
      </c>
      <c r="AO34" s="344"/>
      <c r="AP34" s="358"/>
      <c r="AQ34" s="167" t="s">
        <v>290</v>
      </c>
      <c r="AR34" s="169" t="s">
        <v>291</v>
      </c>
      <c r="AS34" s="344"/>
      <c r="AT34" s="358"/>
    </row>
    <row r="35" spans="2:46" ht="15.75" thickBot="1" x14ac:dyDescent="0.3">
      <c r="B35" s="346" t="s">
        <v>20</v>
      </c>
      <c r="C35" s="363" t="s">
        <v>18</v>
      </c>
      <c r="D35" s="177" t="s">
        <v>18</v>
      </c>
      <c r="E35" s="344"/>
      <c r="F35" s="354"/>
      <c r="G35" s="363" t="s">
        <v>19</v>
      </c>
      <c r="H35" s="177" t="s">
        <v>19</v>
      </c>
      <c r="I35" s="344"/>
      <c r="J35" s="354"/>
      <c r="K35" s="363" t="s">
        <v>21</v>
      </c>
      <c r="L35" s="177" t="s">
        <v>21</v>
      </c>
      <c r="M35" s="344"/>
      <c r="N35" s="354"/>
      <c r="O35" s="363" t="s">
        <v>22</v>
      </c>
      <c r="P35" s="177" t="s">
        <v>22</v>
      </c>
      <c r="Q35" s="344"/>
      <c r="R35" s="354"/>
      <c r="S35" s="363" t="s">
        <v>23</v>
      </c>
      <c r="T35" s="177" t="s">
        <v>23</v>
      </c>
      <c r="U35" s="344"/>
      <c r="V35" s="354"/>
      <c r="W35" s="363" t="s">
        <v>24</v>
      </c>
      <c r="X35" s="177" t="s">
        <v>24</v>
      </c>
      <c r="Y35" s="344"/>
      <c r="Z35" s="354"/>
      <c r="AA35" s="363" t="s">
        <v>25</v>
      </c>
      <c r="AB35" s="177" t="s">
        <v>25</v>
      </c>
      <c r="AC35" s="344"/>
      <c r="AD35" s="354"/>
      <c r="AE35" s="363" t="s">
        <v>26</v>
      </c>
      <c r="AF35" s="225" t="s">
        <v>26</v>
      </c>
      <c r="AG35" s="344"/>
      <c r="AH35" s="358"/>
      <c r="AI35" s="346" t="s">
        <v>681</v>
      </c>
      <c r="AJ35" s="17" t="s">
        <v>681</v>
      </c>
      <c r="AK35" s="344"/>
      <c r="AL35" s="358"/>
      <c r="AM35" s="346" t="s">
        <v>700</v>
      </c>
      <c r="AN35" s="17" t="s">
        <v>700</v>
      </c>
      <c r="AO35" s="344"/>
      <c r="AP35" s="358"/>
      <c r="AQ35" s="346" t="s">
        <v>721</v>
      </c>
      <c r="AR35" s="17" t="s">
        <v>721</v>
      </c>
      <c r="AS35" s="344"/>
      <c r="AT35" s="358"/>
    </row>
    <row r="36" spans="2:46" ht="35.25" thickBot="1" x14ac:dyDescent="0.3">
      <c r="B36" s="347"/>
      <c r="C36" s="364"/>
      <c r="D36" s="236" t="s">
        <v>297</v>
      </c>
      <c r="E36" s="345"/>
      <c r="F36" s="345"/>
      <c r="G36" s="364"/>
      <c r="H36" s="237" t="s">
        <v>298</v>
      </c>
      <c r="I36" s="345"/>
      <c r="J36" s="345"/>
      <c r="K36" s="364"/>
      <c r="L36" s="237" t="s">
        <v>276</v>
      </c>
      <c r="M36" s="345"/>
      <c r="N36" s="345"/>
      <c r="O36" s="364"/>
      <c r="P36" s="237" t="s">
        <v>277</v>
      </c>
      <c r="Q36" s="345"/>
      <c r="R36" s="345"/>
      <c r="S36" s="364"/>
      <c r="T36" s="237" t="s">
        <v>278</v>
      </c>
      <c r="U36" s="345"/>
      <c r="V36" s="345"/>
      <c r="W36" s="364"/>
      <c r="X36" s="237" t="s">
        <v>279</v>
      </c>
      <c r="Y36" s="345"/>
      <c r="Z36" s="345"/>
      <c r="AA36" s="364"/>
      <c r="AB36" s="237" t="s">
        <v>299</v>
      </c>
      <c r="AC36" s="345"/>
      <c r="AD36" s="345"/>
      <c r="AE36" s="364"/>
      <c r="AF36" s="237" t="s">
        <v>300</v>
      </c>
      <c r="AG36" s="345"/>
      <c r="AH36" s="359"/>
      <c r="AI36" s="347"/>
      <c r="AJ36" s="237" t="s">
        <v>684</v>
      </c>
      <c r="AK36" s="345"/>
      <c r="AL36" s="359"/>
      <c r="AM36" s="347"/>
      <c r="AN36" s="237" t="s">
        <v>703</v>
      </c>
      <c r="AO36" s="345"/>
      <c r="AP36" s="359"/>
      <c r="AQ36" s="347"/>
      <c r="AR36" s="237" t="s">
        <v>724</v>
      </c>
      <c r="AS36" s="345"/>
      <c r="AT36" s="359"/>
    </row>
    <row r="37" spans="2:46" x14ac:dyDescent="0.25">
      <c r="B37" s="95">
        <v>1</v>
      </c>
      <c r="C37" s="234">
        <v>101325</v>
      </c>
      <c r="D37" s="106">
        <f>B37/ 0.000009869233</f>
        <v>101324.99658281448</v>
      </c>
      <c r="E37" s="100">
        <f>C37-D37</f>
        <v>3.4171855222666636E-3</v>
      </c>
      <c r="F37" s="54">
        <f t="shared" ref="F37:F42" si="44">(100*E37)/D37</f>
        <v>3.3725000123476396E-6</v>
      </c>
      <c r="G37" s="234">
        <v>1.0332300000000001</v>
      </c>
      <c r="H37" s="106">
        <f>D37*0.00001019716</f>
        <v>1.0332272021544124</v>
      </c>
      <c r="I37" s="100">
        <f>G37-H37</f>
        <v>2.7978455876542796E-6</v>
      </c>
      <c r="J37" s="54">
        <f t="shared" ref="J37:J42" si="45">(100*I37)/H37</f>
        <v>2.7078706230540675E-4</v>
      </c>
      <c r="K37" s="234">
        <v>1.01325</v>
      </c>
      <c r="L37" s="106">
        <f>D37/100000</f>
        <v>1.0132499658281449</v>
      </c>
      <c r="M37" s="100">
        <f>K37-L37</f>
        <v>3.4171855123332762E-8</v>
      </c>
      <c r="N37" s="54">
        <f t="shared" ref="N37:N42" si="46">(100*M37)/L37</f>
        <v>3.3725000025441476E-6</v>
      </c>
      <c r="O37" s="234">
        <v>101.325</v>
      </c>
      <c r="P37" s="106">
        <f>D37/1000</f>
        <v>101.32499658281448</v>
      </c>
      <c r="Q37" s="100">
        <f>O37-P37</f>
        <v>3.417185524767774E-6</v>
      </c>
      <c r="R37" s="54">
        <f t="shared" ref="R37:R42" si="47">(100*Q37)/P37</f>
        <v>3.3725000148160436E-6</v>
      </c>
      <c r="S37" s="234">
        <v>10332.299999999999</v>
      </c>
      <c r="T37" s="106">
        <f>D37/9.80665</f>
        <v>10332.27417954291</v>
      </c>
      <c r="U37" s="100">
        <f>S37-T37</f>
        <v>2.5820457089139381E-2</v>
      </c>
      <c r="V37" s="54">
        <f t="shared" ref="V37:V42" si="48">(100*U37)/T37</f>
        <v>2.4990100572690817E-4</v>
      </c>
      <c r="W37" s="234">
        <v>0.101325</v>
      </c>
      <c r="X37" s="106">
        <f>D37/1000000</f>
        <v>0.10132499658281448</v>
      </c>
      <c r="Y37" s="100">
        <f>W37-X37</f>
        <v>3.4171855206599488E-9</v>
      </c>
      <c r="Z37" s="54">
        <f t="shared" ref="Z37:Z42" si="49">(100*Y37)/X37</f>
        <v>3.3725000107619355E-6</v>
      </c>
      <c r="AA37" s="234">
        <v>14.6959</v>
      </c>
      <c r="AB37" s="106">
        <f>D37*0.0001450377</f>
        <v>14.695944456879273</v>
      </c>
      <c r="AC37" s="100">
        <f>AA37-AB37</f>
        <v>-4.4456879273013783E-5</v>
      </c>
      <c r="AD37" s="54">
        <f t="shared" ref="AD37:AD42" si="50">(100*AC37)/AB37</f>
        <v>-3.0251120915337435E-4</v>
      </c>
      <c r="AE37" s="234">
        <v>760</v>
      </c>
      <c r="AF37" s="106">
        <f>D37*0.007500616</f>
        <v>759.99989056900358</v>
      </c>
      <c r="AG37" s="100">
        <f>AE37-AF37</f>
        <v>1.0943099641735898E-4</v>
      </c>
      <c r="AH37" s="162">
        <f t="shared" ref="AH37:AH42" si="51">(100*AG37)/AF37</f>
        <v>1.4398817391332674E-5</v>
      </c>
      <c r="AI37" s="234">
        <v>1013.25</v>
      </c>
      <c r="AJ37" s="106">
        <v>1013.24996582814</v>
      </c>
      <c r="AK37" s="100">
        <f>AI37-AJ37</f>
        <v>3.4171859965681506E-5</v>
      </c>
      <c r="AL37" s="162">
        <f t="shared" ref="AL37:AL42" si="52">(100*AK37)/AJ37</f>
        <v>3.3725004804468441E-6</v>
      </c>
      <c r="AM37" s="234">
        <v>406.78199999999998</v>
      </c>
      <c r="AN37" s="106">
        <v>406.78244801350002</v>
      </c>
      <c r="AO37" s="100">
        <f>AM37-AN37</f>
        <v>-4.4801350003353946E-4</v>
      </c>
      <c r="AP37" s="162">
        <f t="shared" ref="AP37:AP42" si="53">(100*AO37)/AN37</f>
        <v>-1.1013589751017751E-4</v>
      </c>
      <c r="AQ37" s="234">
        <v>760</v>
      </c>
      <c r="AR37" s="106">
        <v>759.99989056900358</v>
      </c>
      <c r="AS37" s="100">
        <f>AQ37-AR37</f>
        <v>1.0943099641735898E-4</v>
      </c>
      <c r="AT37" s="162">
        <f t="shared" ref="AT37:AT42" si="54">(100*AS37)/AR37</f>
        <v>1.4398817391332674E-5</v>
      </c>
    </row>
    <row r="38" spans="2:46" x14ac:dyDescent="0.25">
      <c r="B38" s="32">
        <v>852</v>
      </c>
      <c r="C38" s="161">
        <v>86328897</v>
      </c>
      <c r="D38" s="104">
        <f t="shared" ref="D38:D42" si="55">B38/ 0.000009869233</f>
        <v>86328897.088557944</v>
      </c>
      <c r="E38" s="99">
        <f t="shared" ref="E38:E42" si="56">C38-D38</f>
        <v>-8.855794370174408E-2</v>
      </c>
      <c r="F38" s="52">
        <f t="shared" si="44"/>
        <v>-1.0258203995227639E-7</v>
      </c>
      <c r="G38" s="161">
        <v>880.31</v>
      </c>
      <c r="H38" s="104">
        <f t="shared" ref="H38:H42" si="57">D38*0.00001019716</f>
        <v>880.30957623555958</v>
      </c>
      <c r="I38" s="99">
        <f t="shared" ref="I38:I42" si="58">G38-H38</f>
        <v>4.2376444037017791E-4</v>
      </c>
      <c r="J38" s="52">
        <f t="shared" si="45"/>
        <v>4.8138115477774145E-5</v>
      </c>
      <c r="K38" s="161">
        <v>863.28899999999999</v>
      </c>
      <c r="L38" s="104">
        <f t="shared" ref="L38:L42" si="59">D38/100000</f>
        <v>863.28897088557949</v>
      </c>
      <c r="M38" s="99">
        <f t="shared" ref="M38:M42" si="60">K38-L38</f>
        <v>2.911442049935431E-5</v>
      </c>
      <c r="N38" s="52">
        <f t="shared" si="46"/>
        <v>3.3724999949307982E-6</v>
      </c>
      <c r="O38" s="161">
        <v>86328.9</v>
      </c>
      <c r="P38" s="104">
        <f t="shared" ref="P38:P42" si="61">D38/1000</f>
        <v>86328.897088557947</v>
      </c>
      <c r="Q38" s="99">
        <f t="shared" ref="Q38:Q42" si="62">O38-P38</f>
        <v>2.9114420467521995E-3</v>
      </c>
      <c r="R38" s="52">
        <f t="shared" si="47"/>
        <v>3.3724999912434682E-6</v>
      </c>
      <c r="S38" s="161">
        <v>8803098</v>
      </c>
      <c r="T38" s="104">
        <f t="shared" ref="T38:T42" si="63">D38/9.80665</f>
        <v>8803097.6009705607</v>
      </c>
      <c r="U38" s="99">
        <f t="shared" ref="U38:U42" si="64">S38-T38</f>
        <v>0.39902943931519985</v>
      </c>
      <c r="V38" s="52">
        <f t="shared" si="48"/>
        <v>4.5328298901423742E-6</v>
      </c>
      <c r="W38" s="161">
        <v>86.328900000000004</v>
      </c>
      <c r="X38" s="104">
        <f t="shared" ref="X38:X42" si="65">D38/1000000</f>
        <v>86.328897088557937</v>
      </c>
      <c r="Y38" s="99">
        <f t="shared" ref="Y38:Y42" si="66">W38-X38</f>
        <v>2.9114420669884566E-6</v>
      </c>
      <c r="Z38" s="52">
        <f t="shared" si="49"/>
        <v>3.3725000146843532E-6</v>
      </c>
      <c r="AA38" s="161">
        <v>12520.9</v>
      </c>
      <c r="AB38" s="104">
        <f t="shared" ref="AB38:AB42" si="67">D38*0.0001450377</f>
        <v>12520.944677261141</v>
      </c>
      <c r="AC38" s="99">
        <f t="shared" ref="AC38:AC42" si="68">AA38-AB38</f>
        <v>-4.4677261141259805E-2</v>
      </c>
      <c r="AD38" s="52">
        <f t="shared" si="50"/>
        <v>-3.5682021039831486E-4</v>
      </c>
      <c r="AE38" s="161">
        <v>647520</v>
      </c>
      <c r="AF38" s="104">
        <f t="shared" ref="AF38:AF42" si="69">D38*0.007500616</f>
        <v>647519.90676479111</v>
      </c>
      <c r="AG38" s="99">
        <f t="shared" ref="AG38:AG42" si="70">AE38-AF38</f>
        <v>9.3235208885744214E-2</v>
      </c>
      <c r="AH38" s="153">
        <f t="shared" si="51"/>
        <v>1.4398817381781517E-5</v>
      </c>
      <c r="AI38" s="161">
        <v>863289</v>
      </c>
      <c r="AJ38" s="104">
        <v>863288.97088557901</v>
      </c>
      <c r="AK38" s="99">
        <f t="shared" ref="AK38:AK42" si="71">AI38-AJ38</f>
        <v>2.9114420991390944E-2</v>
      </c>
      <c r="AL38" s="153">
        <f t="shared" si="52"/>
        <v>3.3725000519263891E-6</v>
      </c>
      <c r="AM38" s="161">
        <v>346579</v>
      </c>
      <c r="AN38" s="104">
        <v>346578.64570750197</v>
      </c>
      <c r="AO38" s="99">
        <f t="shared" ref="AO38:AO42" si="72">AM38-AN38</f>
        <v>0.35429249802837148</v>
      </c>
      <c r="AP38" s="153">
        <f t="shared" si="53"/>
        <v>1.0222571483165748E-4</v>
      </c>
      <c r="AQ38" s="161">
        <v>647520</v>
      </c>
      <c r="AR38" s="104">
        <v>647519.90676479111</v>
      </c>
      <c r="AS38" s="99">
        <f t="shared" ref="AS38:AS42" si="73">AQ38-AR38</f>
        <v>9.3235208885744214E-2</v>
      </c>
      <c r="AT38" s="153">
        <f t="shared" si="54"/>
        <v>1.4398817381781517E-5</v>
      </c>
    </row>
    <row r="39" spans="2:46" x14ac:dyDescent="0.25">
      <c r="B39" s="32">
        <v>4123</v>
      </c>
      <c r="C39" s="161">
        <v>417762961</v>
      </c>
      <c r="D39" s="104">
        <f t="shared" si="55"/>
        <v>417762960.9109441</v>
      </c>
      <c r="E39" s="99">
        <f t="shared" si="56"/>
        <v>8.9055895805358887E-2</v>
      </c>
      <c r="F39" s="52">
        <f t="shared" si="44"/>
        <v>2.1317326842755507E-8</v>
      </c>
      <c r="G39" s="161">
        <v>4260</v>
      </c>
      <c r="H39" s="104">
        <f t="shared" si="57"/>
        <v>4259.995754482643</v>
      </c>
      <c r="I39" s="99">
        <f t="shared" si="58"/>
        <v>4.2455173570488114E-3</v>
      </c>
      <c r="J39" s="52">
        <f t="shared" si="45"/>
        <v>9.9660131176924376E-5</v>
      </c>
      <c r="K39" s="161">
        <v>4177.63</v>
      </c>
      <c r="L39" s="104">
        <f t="shared" si="59"/>
        <v>4177.6296091094409</v>
      </c>
      <c r="M39" s="99">
        <f t="shared" si="60"/>
        <v>3.9089055917429505E-4</v>
      </c>
      <c r="N39" s="52">
        <f t="shared" si="46"/>
        <v>9.3567548047329765E-6</v>
      </c>
      <c r="O39" s="161">
        <v>417763</v>
      </c>
      <c r="P39" s="104">
        <f t="shared" si="61"/>
        <v>417762.96091094409</v>
      </c>
      <c r="Q39" s="99">
        <f t="shared" si="62"/>
        <v>3.9089055906515568E-2</v>
      </c>
      <c r="R39" s="52">
        <f t="shared" si="47"/>
        <v>9.3567548021205049E-6</v>
      </c>
      <c r="S39" s="161">
        <v>42599966</v>
      </c>
      <c r="T39" s="104">
        <f t="shared" si="63"/>
        <v>42599966.442255422</v>
      </c>
      <c r="U39" s="99">
        <f t="shared" si="64"/>
        <v>-0.4422554224729538</v>
      </c>
      <c r="V39" s="52">
        <f t="shared" si="48"/>
        <v>-1.0381590865157942E-6</v>
      </c>
      <c r="W39" s="161">
        <v>417.76299999999998</v>
      </c>
      <c r="X39" s="104">
        <f t="shared" si="65"/>
        <v>417.76296091094412</v>
      </c>
      <c r="Y39" s="99">
        <f t="shared" si="66"/>
        <v>3.9089055860586086E-5</v>
      </c>
      <c r="Z39" s="52">
        <f t="shared" si="49"/>
        <v>9.3567547911263544E-6</v>
      </c>
      <c r="AA39" s="161">
        <v>60591.4</v>
      </c>
      <c r="AB39" s="104">
        <f t="shared" si="67"/>
        <v>60591.378995713239</v>
      </c>
      <c r="AC39" s="99">
        <f t="shared" si="68"/>
        <v>2.1004286762035917E-2</v>
      </c>
      <c r="AD39" s="52">
        <f t="shared" si="50"/>
        <v>3.4665470748770945E-5</v>
      </c>
      <c r="AE39" s="161">
        <v>3133480</v>
      </c>
      <c r="AF39" s="104">
        <f t="shared" si="69"/>
        <v>3133479.548816002</v>
      </c>
      <c r="AG39" s="99">
        <f t="shared" si="70"/>
        <v>0.45118399802595377</v>
      </c>
      <c r="AH39" s="153">
        <f t="shared" si="51"/>
        <v>1.4398817384860082E-5</v>
      </c>
      <c r="AI39" s="161">
        <v>4177630</v>
      </c>
      <c r="AJ39" s="104">
        <v>4177629.6091094399</v>
      </c>
      <c r="AK39" s="99">
        <f t="shared" si="71"/>
        <v>0.39089056011289358</v>
      </c>
      <c r="AL39" s="153">
        <f t="shared" si="52"/>
        <v>9.3567548272002289E-6</v>
      </c>
      <c r="AM39" s="161">
        <v>1677164</v>
      </c>
      <c r="AN39" s="104">
        <v>1677164.0331596599</v>
      </c>
      <c r="AO39" s="99">
        <f t="shared" si="72"/>
        <v>-3.3159659942612052E-2</v>
      </c>
      <c r="AP39" s="153">
        <f t="shared" si="53"/>
        <v>-1.9771268216467515E-6</v>
      </c>
      <c r="AQ39" s="161">
        <v>3133480</v>
      </c>
      <c r="AR39" s="104">
        <v>3133479.548816002</v>
      </c>
      <c r="AS39" s="99">
        <f t="shared" si="73"/>
        <v>0.45118399802595377</v>
      </c>
      <c r="AT39" s="153">
        <f t="shared" si="54"/>
        <v>1.4398817384860082E-5</v>
      </c>
    </row>
    <row r="40" spans="2:46" x14ac:dyDescent="0.25">
      <c r="B40" s="32">
        <v>774411225588</v>
      </c>
      <c r="C40" s="161">
        <v>7.8467214786397296E+16</v>
      </c>
      <c r="D40" s="104">
        <f t="shared" si="55"/>
        <v>7.846721478639728E+16</v>
      </c>
      <c r="E40" s="99">
        <f t="shared" si="56"/>
        <v>0</v>
      </c>
      <c r="F40" s="52">
        <f t="shared" si="44"/>
        <v>0</v>
      </c>
      <c r="G40" s="161">
        <v>800142743931</v>
      </c>
      <c r="H40" s="104">
        <f t="shared" si="57"/>
        <v>800142743931.25891</v>
      </c>
      <c r="I40" s="99">
        <f t="shared" si="58"/>
        <v>-0.2589111328125</v>
      </c>
      <c r="J40" s="52">
        <f t="shared" si="45"/>
        <v>-3.2358117945357927E-11</v>
      </c>
      <c r="K40" s="161">
        <v>784672147864</v>
      </c>
      <c r="L40" s="104">
        <f t="shared" si="59"/>
        <v>784672147863.97278</v>
      </c>
      <c r="M40" s="99">
        <f t="shared" si="60"/>
        <v>2.72216796875E-2</v>
      </c>
      <c r="N40" s="52">
        <f t="shared" si="46"/>
        <v>3.4691787852547847E-12</v>
      </c>
      <c r="O40" s="161">
        <v>78467214786397</v>
      </c>
      <c r="P40" s="104">
        <f t="shared" si="61"/>
        <v>78467214786397.281</v>
      </c>
      <c r="Q40" s="99">
        <f t="shared" si="62"/>
        <v>-0.28125</v>
      </c>
      <c r="R40" s="52">
        <f t="shared" si="47"/>
        <v>-3.5842995162453021E-13</v>
      </c>
      <c r="S40" s="161">
        <v>8001429110491070</v>
      </c>
      <c r="T40" s="104">
        <f t="shared" si="63"/>
        <v>8001429110491073</v>
      </c>
      <c r="U40" s="99">
        <f t="shared" si="64"/>
        <v>0</v>
      </c>
      <c r="V40" s="52">
        <f t="shared" si="48"/>
        <v>0</v>
      </c>
      <c r="W40" s="161">
        <v>78467214786</v>
      </c>
      <c r="X40" s="104">
        <f t="shared" si="65"/>
        <v>78467214786.397278</v>
      </c>
      <c r="Y40" s="99">
        <f t="shared" si="66"/>
        <v>-0.39727783203125</v>
      </c>
      <c r="Z40" s="52">
        <f t="shared" si="49"/>
        <v>-5.0629786352518825E-10</v>
      </c>
      <c r="AA40" s="161">
        <v>11380704358025</v>
      </c>
      <c r="AB40" s="104">
        <f t="shared" si="67"/>
        <v>11380704358025.053</v>
      </c>
      <c r="AC40" s="99">
        <f t="shared" si="68"/>
        <v>-5.2734375E-2</v>
      </c>
      <c r="AD40" s="52">
        <f t="shared" si="50"/>
        <v>-4.6336653111294115E-13</v>
      </c>
      <c r="AE40" s="161">
        <v>588552446702288</v>
      </c>
      <c r="AF40" s="104">
        <f t="shared" si="69"/>
        <v>588552446702288</v>
      </c>
      <c r="AG40" s="99">
        <f t="shared" si="70"/>
        <v>0</v>
      </c>
      <c r="AH40" s="153">
        <f t="shared" si="51"/>
        <v>0</v>
      </c>
      <c r="AI40" s="161">
        <v>784672147863973</v>
      </c>
      <c r="AJ40" s="104">
        <v>784672147863973</v>
      </c>
      <c r="AK40" s="99">
        <f t="shared" si="71"/>
        <v>0</v>
      </c>
      <c r="AL40" s="153">
        <f t="shared" si="52"/>
        <v>0</v>
      </c>
      <c r="AM40" s="161">
        <v>315016894113822</v>
      </c>
      <c r="AN40" s="104">
        <v>315016894113822</v>
      </c>
      <c r="AO40" s="99">
        <f t="shared" si="72"/>
        <v>0</v>
      </c>
      <c r="AP40" s="153">
        <f t="shared" si="53"/>
        <v>0</v>
      </c>
      <c r="AQ40" s="161">
        <v>588552446702288</v>
      </c>
      <c r="AR40" s="104">
        <v>588552446702288</v>
      </c>
      <c r="AS40" s="99">
        <f t="shared" si="73"/>
        <v>0</v>
      </c>
      <c r="AT40" s="153">
        <f t="shared" si="54"/>
        <v>0</v>
      </c>
    </row>
    <row r="41" spans="2:46" x14ac:dyDescent="0.25">
      <c r="B41" s="105">
        <v>0.98699999999999999</v>
      </c>
      <c r="C41" s="159">
        <v>100008</v>
      </c>
      <c r="D41" s="104">
        <f t="shared" si="55"/>
        <v>100007.77162723789</v>
      </c>
      <c r="E41" s="99">
        <f t="shared" si="56"/>
        <v>0.22837276211066637</v>
      </c>
      <c r="F41" s="52">
        <f t="shared" si="44"/>
        <v>2.2835501521010522E-4</v>
      </c>
      <c r="G41" s="161">
        <v>1.0198</v>
      </c>
      <c r="H41" s="104">
        <f t="shared" si="57"/>
        <v>1.019795248526405</v>
      </c>
      <c r="I41" s="99">
        <f t="shared" si="58"/>
        <v>4.7514735950215936E-6</v>
      </c>
      <c r="J41" s="52">
        <f t="shared" si="45"/>
        <v>4.659242727290042E-4</v>
      </c>
      <c r="K41" s="161">
        <v>1.0000800000000001</v>
      </c>
      <c r="L41" s="104">
        <f t="shared" si="59"/>
        <v>1.0000777162723788</v>
      </c>
      <c r="M41" s="99">
        <f t="shared" si="60"/>
        <v>2.2837276212328561E-6</v>
      </c>
      <c r="N41" s="52">
        <f t="shared" si="46"/>
        <v>2.2835501522272349E-4</v>
      </c>
      <c r="O41" s="161">
        <v>100.008</v>
      </c>
      <c r="P41" s="104">
        <f t="shared" si="61"/>
        <v>100.00777162723789</v>
      </c>
      <c r="Q41" s="99">
        <f t="shared" si="62"/>
        <v>2.2837276210907476E-4</v>
      </c>
      <c r="R41" s="52">
        <f t="shared" si="47"/>
        <v>2.2835501520851372E-4</v>
      </c>
      <c r="S41" s="161">
        <v>10198</v>
      </c>
      <c r="T41" s="104">
        <f t="shared" si="63"/>
        <v>10197.954615208853</v>
      </c>
      <c r="U41" s="99">
        <f t="shared" si="64"/>
        <v>4.5384791146716452E-2</v>
      </c>
      <c r="V41" s="52">
        <f t="shared" si="48"/>
        <v>4.4503817539088918E-4</v>
      </c>
      <c r="W41" s="161">
        <v>0.100008</v>
      </c>
      <c r="X41" s="104">
        <f t="shared" si="65"/>
        <v>0.1000077716272379</v>
      </c>
      <c r="Y41" s="99">
        <f t="shared" si="66"/>
        <v>2.2837276210385671E-7</v>
      </c>
      <c r="Z41" s="52">
        <f t="shared" si="49"/>
        <v>2.2835501520329608E-4</v>
      </c>
      <c r="AA41" s="161">
        <v>14.504899999999999</v>
      </c>
      <c r="AB41" s="104">
        <f t="shared" si="67"/>
        <v>14.504897178939842</v>
      </c>
      <c r="AC41" s="99">
        <f t="shared" si="68"/>
        <v>2.8210601570322069E-6</v>
      </c>
      <c r="AD41" s="52">
        <f t="shared" si="50"/>
        <v>1.94490186468071E-5</v>
      </c>
      <c r="AE41" s="161">
        <v>750.12</v>
      </c>
      <c r="AF41" s="104">
        <f t="shared" si="69"/>
        <v>750.11989199160655</v>
      </c>
      <c r="AG41" s="99">
        <f t="shared" si="70"/>
        <v>1.0800839345392887E-4</v>
      </c>
      <c r="AH41" s="153">
        <f t="shared" si="51"/>
        <v>1.4398817389998961E-5</v>
      </c>
      <c r="AI41" s="161">
        <v>1000.08</v>
      </c>
      <c r="AJ41" s="104">
        <v>1000.07771627237</v>
      </c>
      <c r="AK41" s="99">
        <f t="shared" si="71"/>
        <v>2.2837276300151643E-3</v>
      </c>
      <c r="AL41" s="153">
        <f t="shared" si="52"/>
        <v>2.2835501610088808E-4</v>
      </c>
      <c r="AM41" s="161">
        <v>401.49400000000003</v>
      </c>
      <c r="AN41" s="104">
        <v>401.49427618932401</v>
      </c>
      <c r="AO41" s="99">
        <f t="shared" si="72"/>
        <v>-2.7618932398354445E-4</v>
      </c>
      <c r="AP41" s="153">
        <f t="shared" si="53"/>
        <v>-6.8790351535001165E-5</v>
      </c>
      <c r="AQ41" s="161">
        <v>750.12</v>
      </c>
      <c r="AR41" s="104">
        <v>750.11989199160655</v>
      </c>
      <c r="AS41" s="99">
        <f t="shared" si="73"/>
        <v>1.0800839345392887E-4</v>
      </c>
      <c r="AT41" s="153">
        <f t="shared" si="54"/>
        <v>1.4398817389998961E-5</v>
      </c>
    </row>
    <row r="42" spans="2:46" ht="15.75" thickBot="1" x14ac:dyDescent="0.3">
      <c r="B42" s="34">
        <v>-852</v>
      </c>
      <c r="C42" s="235">
        <v>-86328897</v>
      </c>
      <c r="D42" s="160">
        <f t="shared" si="55"/>
        <v>-86328897.088557944</v>
      </c>
      <c r="E42" s="101">
        <f t="shared" si="56"/>
        <v>8.855794370174408E-2</v>
      </c>
      <c r="F42" s="57">
        <f t="shared" si="44"/>
        <v>-1.0258203995227639E-7</v>
      </c>
      <c r="G42" s="235">
        <v>-880.31</v>
      </c>
      <c r="H42" s="160">
        <f t="shared" si="57"/>
        <v>-880.30957623555958</v>
      </c>
      <c r="I42" s="101">
        <f t="shared" si="58"/>
        <v>-4.2376444037017791E-4</v>
      </c>
      <c r="J42" s="57">
        <f t="shared" si="45"/>
        <v>4.8138115477774145E-5</v>
      </c>
      <c r="K42" s="235">
        <v>-863.28899999999999</v>
      </c>
      <c r="L42" s="160">
        <f t="shared" si="59"/>
        <v>-863.28897088557949</v>
      </c>
      <c r="M42" s="101">
        <f t="shared" si="60"/>
        <v>-2.911442049935431E-5</v>
      </c>
      <c r="N42" s="57">
        <f t="shared" si="46"/>
        <v>3.3724999949307982E-6</v>
      </c>
      <c r="O42" s="235">
        <v>-86328.9</v>
      </c>
      <c r="P42" s="160">
        <f t="shared" si="61"/>
        <v>-86328.897088557947</v>
      </c>
      <c r="Q42" s="101">
        <f t="shared" si="62"/>
        <v>-2.9114420467521995E-3</v>
      </c>
      <c r="R42" s="57">
        <f t="shared" si="47"/>
        <v>3.3724999912434682E-6</v>
      </c>
      <c r="S42" s="235">
        <v>-8803098</v>
      </c>
      <c r="T42" s="160">
        <f t="shared" si="63"/>
        <v>-8803097.6009705607</v>
      </c>
      <c r="U42" s="101">
        <f t="shared" si="64"/>
        <v>-0.39902943931519985</v>
      </c>
      <c r="V42" s="57">
        <f t="shared" si="48"/>
        <v>4.5328298901423742E-6</v>
      </c>
      <c r="W42" s="235">
        <v>-86.328900000000004</v>
      </c>
      <c r="X42" s="160">
        <f t="shared" si="65"/>
        <v>-86.328897088557937</v>
      </c>
      <c r="Y42" s="101">
        <f t="shared" si="66"/>
        <v>-2.9114420669884566E-6</v>
      </c>
      <c r="Z42" s="57">
        <f t="shared" si="49"/>
        <v>3.3725000146843532E-6</v>
      </c>
      <c r="AA42" s="235">
        <v>-12520.9</v>
      </c>
      <c r="AB42" s="160">
        <f t="shared" si="67"/>
        <v>-12520.944677261141</v>
      </c>
      <c r="AC42" s="101">
        <f t="shared" si="68"/>
        <v>4.4677261141259805E-2</v>
      </c>
      <c r="AD42" s="57">
        <f t="shared" si="50"/>
        <v>-3.5682021039831486E-4</v>
      </c>
      <c r="AE42" s="235">
        <v>-647520</v>
      </c>
      <c r="AF42" s="160">
        <f t="shared" si="69"/>
        <v>-647519.90676479111</v>
      </c>
      <c r="AG42" s="101">
        <f t="shared" si="70"/>
        <v>-9.3235208885744214E-2</v>
      </c>
      <c r="AH42" s="163">
        <f t="shared" si="51"/>
        <v>1.4398817381781517E-5</v>
      </c>
      <c r="AI42" s="235">
        <v>-863289</v>
      </c>
      <c r="AJ42" s="160">
        <v>-863288.97088557901</v>
      </c>
      <c r="AK42" s="101">
        <f t="shared" si="71"/>
        <v>-2.9114420991390944E-2</v>
      </c>
      <c r="AL42" s="163">
        <f t="shared" si="52"/>
        <v>3.3725000519263891E-6</v>
      </c>
      <c r="AM42" s="235">
        <v>-346579</v>
      </c>
      <c r="AN42" s="160">
        <v>-346578.64570750197</v>
      </c>
      <c r="AO42" s="101">
        <f t="shared" si="72"/>
        <v>-0.35429249802837148</v>
      </c>
      <c r="AP42" s="163">
        <f t="shared" si="53"/>
        <v>1.0222571483165748E-4</v>
      </c>
      <c r="AQ42" s="235">
        <v>-647520</v>
      </c>
      <c r="AR42" s="160">
        <v>-647519.90676479111</v>
      </c>
      <c r="AS42" s="101">
        <f t="shared" si="73"/>
        <v>-9.3235208885744214E-2</v>
      </c>
      <c r="AT42" s="163">
        <f t="shared" si="54"/>
        <v>1.4398817381781517E-5</v>
      </c>
    </row>
    <row r="43" spans="2:46" ht="15.75" thickBot="1" x14ac:dyDescent="0.3">
      <c r="B43" s="11"/>
      <c r="C43" s="165"/>
      <c r="D43" s="165"/>
      <c r="E43" s="164"/>
      <c r="F43" s="164"/>
      <c r="G43" s="165"/>
      <c r="H43" s="165"/>
      <c r="I43" s="164"/>
      <c r="J43" s="164"/>
      <c r="K43" s="165"/>
      <c r="L43" s="165"/>
      <c r="M43" s="164"/>
      <c r="N43" s="164"/>
      <c r="O43" s="165"/>
      <c r="P43" s="165"/>
      <c r="Q43" s="164"/>
      <c r="R43" s="164"/>
      <c r="S43" s="165"/>
      <c r="T43" s="165"/>
      <c r="U43" s="164"/>
      <c r="V43" s="164"/>
      <c r="W43" s="165"/>
      <c r="X43" s="165"/>
      <c r="Y43" s="164"/>
      <c r="Z43" s="164"/>
      <c r="AA43" s="165"/>
      <c r="AB43" s="165"/>
      <c r="AC43" s="164"/>
      <c r="AD43" s="164"/>
      <c r="AE43" s="165"/>
      <c r="AF43" s="165"/>
      <c r="AG43" s="164"/>
      <c r="AH43" s="164"/>
      <c r="AQ43" s="165"/>
      <c r="AR43" s="165"/>
      <c r="AS43" s="164"/>
      <c r="AT43" s="164"/>
    </row>
    <row r="44" spans="2:46" x14ac:dyDescent="0.25">
      <c r="B44" s="341" t="s">
        <v>10</v>
      </c>
      <c r="C44" s="166" t="s">
        <v>14</v>
      </c>
      <c r="D44" s="168" t="s">
        <v>14</v>
      </c>
      <c r="E44" s="343" t="s">
        <v>354</v>
      </c>
      <c r="F44" s="352" t="s">
        <v>355</v>
      </c>
      <c r="G44" s="166" t="s">
        <v>14</v>
      </c>
      <c r="H44" s="168" t="s">
        <v>14</v>
      </c>
      <c r="I44" s="343" t="s">
        <v>354</v>
      </c>
      <c r="J44" s="352" t="s">
        <v>355</v>
      </c>
      <c r="K44" s="166" t="s">
        <v>14</v>
      </c>
      <c r="L44" s="168" t="s">
        <v>14</v>
      </c>
      <c r="M44" s="343" t="s">
        <v>354</v>
      </c>
      <c r="N44" s="352" t="s">
        <v>355</v>
      </c>
      <c r="O44" s="166" t="s">
        <v>14</v>
      </c>
      <c r="P44" s="168" t="s">
        <v>14</v>
      </c>
      <c r="Q44" s="343" t="s">
        <v>354</v>
      </c>
      <c r="R44" s="352" t="s">
        <v>355</v>
      </c>
      <c r="S44" s="166" t="s">
        <v>14</v>
      </c>
      <c r="T44" s="168" t="s">
        <v>14</v>
      </c>
      <c r="U44" s="343" t="s">
        <v>354</v>
      </c>
      <c r="V44" s="352" t="s">
        <v>355</v>
      </c>
      <c r="W44" s="166" t="s">
        <v>14</v>
      </c>
      <c r="X44" s="168" t="s">
        <v>14</v>
      </c>
      <c r="Y44" s="343" t="s">
        <v>354</v>
      </c>
      <c r="Z44" s="352" t="s">
        <v>355</v>
      </c>
      <c r="AA44" s="166" t="s">
        <v>14</v>
      </c>
      <c r="AB44" s="168" t="s">
        <v>14</v>
      </c>
      <c r="AC44" s="343" t="s">
        <v>354</v>
      </c>
      <c r="AD44" s="352" t="s">
        <v>355</v>
      </c>
      <c r="AE44" s="166" t="s">
        <v>14</v>
      </c>
      <c r="AF44" s="168" t="s">
        <v>14</v>
      </c>
      <c r="AG44" s="343" t="s">
        <v>354</v>
      </c>
      <c r="AH44" s="357" t="s">
        <v>355</v>
      </c>
      <c r="AI44" s="166" t="s">
        <v>14</v>
      </c>
      <c r="AJ44" s="168" t="s">
        <v>14</v>
      </c>
      <c r="AK44" s="343" t="s">
        <v>354</v>
      </c>
      <c r="AL44" s="357" t="s">
        <v>355</v>
      </c>
      <c r="AM44" s="166" t="s">
        <v>14</v>
      </c>
      <c r="AN44" s="168" t="s">
        <v>14</v>
      </c>
      <c r="AO44" s="343" t="s">
        <v>354</v>
      </c>
      <c r="AP44" s="357" t="s">
        <v>355</v>
      </c>
      <c r="AQ44" s="166" t="s">
        <v>14</v>
      </c>
      <c r="AR44" s="168" t="s">
        <v>14</v>
      </c>
      <c r="AS44" s="343" t="s">
        <v>354</v>
      </c>
      <c r="AT44" s="357" t="s">
        <v>355</v>
      </c>
    </row>
    <row r="45" spans="2:46" ht="15.75" thickBot="1" x14ac:dyDescent="0.3">
      <c r="B45" s="342"/>
      <c r="C45" s="167" t="s">
        <v>290</v>
      </c>
      <c r="D45" s="169" t="s">
        <v>291</v>
      </c>
      <c r="E45" s="344"/>
      <c r="F45" s="353"/>
      <c r="G45" s="167" t="s">
        <v>290</v>
      </c>
      <c r="H45" s="169" t="s">
        <v>291</v>
      </c>
      <c r="I45" s="344"/>
      <c r="J45" s="353"/>
      <c r="K45" s="167" t="s">
        <v>290</v>
      </c>
      <c r="L45" s="169" t="s">
        <v>291</v>
      </c>
      <c r="M45" s="344"/>
      <c r="N45" s="353"/>
      <c r="O45" s="167" t="s">
        <v>290</v>
      </c>
      <c r="P45" s="169" t="s">
        <v>291</v>
      </c>
      <c r="Q45" s="344"/>
      <c r="R45" s="353"/>
      <c r="S45" s="167" t="s">
        <v>290</v>
      </c>
      <c r="T45" s="169" t="s">
        <v>291</v>
      </c>
      <c r="U45" s="344"/>
      <c r="V45" s="353"/>
      <c r="W45" s="167" t="s">
        <v>290</v>
      </c>
      <c r="X45" s="169" t="s">
        <v>291</v>
      </c>
      <c r="Y45" s="344"/>
      <c r="Z45" s="353"/>
      <c r="AA45" s="167" t="s">
        <v>290</v>
      </c>
      <c r="AB45" s="169" t="s">
        <v>291</v>
      </c>
      <c r="AC45" s="344"/>
      <c r="AD45" s="353"/>
      <c r="AE45" s="167" t="s">
        <v>290</v>
      </c>
      <c r="AF45" s="169" t="s">
        <v>291</v>
      </c>
      <c r="AG45" s="344"/>
      <c r="AH45" s="358"/>
      <c r="AI45" s="167" t="s">
        <v>290</v>
      </c>
      <c r="AJ45" s="169" t="s">
        <v>291</v>
      </c>
      <c r="AK45" s="344"/>
      <c r="AL45" s="358"/>
      <c r="AM45" s="167" t="s">
        <v>290</v>
      </c>
      <c r="AN45" s="169" t="s">
        <v>291</v>
      </c>
      <c r="AO45" s="344"/>
      <c r="AP45" s="358"/>
      <c r="AQ45" s="167" t="s">
        <v>290</v>
      </c>
      <c r="AR45" s="169" t="s">
        <v>291</v>
      </c>
      <c r="AS45" s="344"/>
      <c r="AT45" s="358"/>
    </row>
    <row r="46" spans="2:46" ht="15.75" thickBot="1" x14ac:dyDescent="0.3">
      <c r="B46" s="346" t="s">
        <v>21</v>
      </c>
      <c r="C46" s="363" t="s">
        <v>18</v>
      </c>
      <c r="D46" s="177" t="s">
        <v>18</v>
      </c>
      <c r="E46" s="344"/>
      <c r="F46" s="354"/>
      <c r="G46" s="363" t="s">
        <v>19</v>
      </c>
      <c r="H46" s="177" t="s">
        <v>19</v>
      </c>
      <c r="I46" s="344"/>
      <c r="J46" s="354"/>
      <c r="K46" s="363" t="s">
        <v>20</v>
      </c>
      <c r="L46" s="177" t="s">
        <v>20</v>
      </c>
      <c r="M46" s="344"/>
      <c r="N46" s="354"/>
      <c r="O46" s="363" t="s">
        <v>22</v>
      </c>
      <c r="P46" s="177" t="s">
        <v>22</v>
      </c>
      <c r="Q46" s="344"/>
      <c r="R46" s="354"/>
      <c r="S46" s="363" t="s">
        <v>23</v>
      </c>
      <c r="T46" s="177" t="s">
        <v>23</v>
      </c>
      <c r="U46" s="344"/>
      <c r="V46" s="354"/>
      <c r="W46" s="363" t="s">
        <v>24</v>
      </c>
      <c r="X46" s="177" t="s">
        <v>24</v>
      </c>
      <c r="Y46" s="344"/>
      <c r="Z46" s="354"/>
      <c r="AA46" s="363" t="s">
        <v>25</v>
      </c>
      <c r="AB46" s="177" t="s">
        <v>25</v>
      </c>
      <c r="AC46" s="344"/>
      <c r="AD46" s="354"/>
      <c r="AE46" s="363" t="s">
        <v>26</v>
      </c>
      <c r="AF46" s="225" t="s">
        <v>26</v>
      </c>
      <c r="AG46" s="344"/>
      <c r="AH46" s="358"/>
      <c r="AI46" s="346" t="s">
        <v>681</v>
      </c>
      <c r="AJ46" s="17" t="s">
        <v>681</v>
      </c>
      <c r="AK46" s="344"/>
      <c r="AL46" s="358"/>
      <c r="AM46" s="346" t="s">
        <v>700</v>
      </c>
      <c r="AN46" s="17" t="s">
        <v>700</v>
      </c>
      <c r="AO46" s="344"/>
      <c r="AP46" s="358"/>
      <c r="AQ46" s="346" t="s">
        <v>721</v>
      </c>
      <c r="AR46" s="17" t="s">
        <v>721</v>
      </c>
      <c r="AS46" s="344"/>
      <c r="AT46" s="358"/>
    </row>
    <row r="47" spans="2:46" ht="24" thickBot="1" x14ac:dyDescent="0.3">
      <c r="B47" s="347"/>
      <c r="C47" s="364"/>
      <c r="D47" s="236" t="s">
        <v>280</v>
      </c>
      <c r="E47" s="345"/>
      <c r="F47" s="345"/>
      <c r="G47" s="364"/>
      <c r="H47" s="237" t="s">
        <v>301</v>
      </c>
      <c r="I47" s="345"/>
      <c r="J47" s="345"/>
      <c r="K47" s="364"/>
      <c r="L47" s="237" t="s">
        <v>302</v>
      </c>
      <c r="M47" s="345"/>
      <c r="N47" s="345"/>
      <c r="O47" s="364"/>
      <c r="P47" s="237" t="s">
        <v>281</v>
      </c>
      <c r="Q47" s="345"/>
      <c r="R47" s="345"/>
      <c r="S47" s="364"/>
      <c r="T47" s="237" t="s">
        <v>303</v>
      </c>
      <c r="U47" s="345"/>
      <c r="V47" s="345"/>
      <c r="W47" s="364"/>
      <c r="X47" s="237" t="s">
        <v>282</v>
      </c>
      <c r="Y47" s="345"/>
      <c r="Z47" s="345"/>
      <c r="AA47" s="364"/>
      <c r="AB47" s="237" t="s">
        <v>304</v>
      </c>
      <c r="AC47" s="345"/>
      <c r="AD47" s="345"/>
      <c r="AE47" s="364"/>
      <c r="AF47" s="237" t="s">
        <v>305</v>
      </c>
      <c r="AG47" s="345"/>
      <c r="AH47" s="359"/>
      <c r="AI47" s="347"/>
      <c r="AJ47" s="237" t="s">
        <v>686</v>
      </c>
      <c r="AK47" s="345"/>
      <c r="AL47" s="359"/>
      <c r="AM47" s="347"/>
      <c r="AN47" s="237" t="s">
        <v>704</v>
      </c>
      <c r="AO47" s="345"/>
      <c r="AP47" s="359"/>
      <c r="AQ47" s="347"/>
      <c r="AR47" s="237" t="s">
        <v>725</v>
      </c>
      <c r="AS47" s="345"/>
      <c r="AT47" s="359"/>
    </row>
    <row r="48" spans="2:46" x14ac:dyDescent="0.25">
      <c r="B48" s="95">
        <v>1</v>
      </c>
      <c r="C48" s="234">
        <v>100000</v>
      </c>
      <c r="D48" s="106">
        <f>B48*100000</f>
        <v>100000</v>
      </c>
      <c r="E48" s="100">
        <f>C48-D48</f>
        <v>0</v>
      </c>
      <c r="F48" s="54">
        <f t="shared" ref="F48:F53" si="74">(100*E48)/D48</f>
        <v>0</v>
      </c>
      <c r="G48" s="234">
        <v>1.01972</v>
      </c>
      <c r="H48" s="106">
        <f>D48* 0.00001019716</f>
        <v>1.0197160000000001</v>
      </c>
      <c r="I48" s="100">
        <f>G48-H48</f>
        <v>3.9999999998929781E-6</v>
      </c>
      <c r="J48" s="54">
        <f t="shared" ref="J48:J53" si="75">(100*I48)/H48</f>
        <v>3.9226608191819857E-4</v>
      </c>
      <c r="K48" s="234">
        <v>0.98692299999999999</v>
      </c>
      <c r="L48" s="106">
        <f>D48* 0.000009869233</f>
        <v>0.98692330000000006</v>
      </c>
      <c r="M48" s="100">
        <f>K48-L48</f>
        <v>-3.0000000006413785E-7</v>
      </c>
      <c r="N48" s="54">
        <f t="shared" ref="N48:N53" si="76">(100*M48)/L48</f>
        <v>-3.0397498981343112E-5</v>
      </c>
      <c r="O48" s="234">
        <v>100</v>
      </c>
      <c r="P48" s="106">
        <f>D48/1000</f>
        <v>100</v>
      </c>
      <c r="Q48" s="100">
        <f>O48-P48</f>
        <v>0</v>
      </c>
      <c r="R48" s="54">
        <f t="shared" ref="R48:R53" si="77">(100*Q48)/P48</f>
        <v>0</v>
      </c>
      <c r="S48" s="234">
        <v>10197.200000000001</v>
      </c>
      <c r="T48" s="106">
        <f>D48/9.80665</f>
        <v>10197.162129779283</v>
      </c>
      <c r="U48" s="100">
        <f>S48-T48</f>
        <v>3.7870220718104974E-2</v>
      </c>
      <c r="V48" s="54">
        <f t="shared" ref="V48:V53" si="78">(100*U48)/T48</f>
        <v>3.7138000000520416E-4</v>
      </c>
      <c r="W48" s="234">
        <v>0.1</v>
      </c>
      <c r="X48" s="106">
        <f>D48/1000000</f>
        <v>0.1</v>
      </c>
      <c r="Y48" s="100">
        <f>W48-X48</f>
        <v>0</v>
      </c>
      <c r="Z48" s="54">
        <f t="shared" ref="Z48:Z53" si="79">(100*Y48)/X48</f>
        <v>0</v>
      </c>
      <c r="AA48" s="234">
        <v>14.5038</v>
      </c>
      <c r="AB48" s="106">
        <f>D48* 0.0001450377</f>
        <v>14.503770000000001</v>
      </c>
      <c r="AC48" s="100">
        <f>AA48-AB48</f>
        <v>2.9999999998864268E-5</v>
      </c>
      <c r="AD48" s="54">
        <f t="shared" ref="AD48:AD53" si="80">(100*AC48)/AB48</f>
        <v>2.0684277259543047E-4</v>
      </c>
      <c r="AE48" s="234">
        <v>750.06200000000001</v>
      </c>
      <c r="AF48" s="106">
        <f>D48*0.007500616</f>
        <v>750.0616</v>
      </c>
      <c r="AG48" s="100">
        <f>AE48-AF48</f>
        <v>4.0000000001327862E-4</v>
      </c>
      <c r="AH48" s="162">
        <f t="shared" ref="AH48:AH53" si="81">(100*AG48)/AF48</f>
        <v>5.3328953250410182E-5</v>
      </c>
      <c r="AI48" s="234">
        <v>1000</v>
      </c>
      <c r="AJ48" s="106">
        <v>1000</v>
      </c>
      <c r="AK48" s="100">
        <f>AI48-AJ48</f>
        <v>0</v>
      </c>
      <c r="AL48" s="162">
        <f t="shared" ref="AL48:AL53" si="82">(100*AK48)/AJ48</f>
        <v>0</v>
      </c>
      <c r="AM48" s="234">
        <v>401.46300000000002</v>
      </c>
      <c r="AN48" s="106">
        <v>401.46307597556199</v>
      </c>
      <c r="AO48" s="100">
        <f>AM48-AN48</f>
        <v>-7.5975561969698902E-5</v>
      </c>
      <c r="AP48" s="162">
        <f t="shared" ref="AP48:AP53" si="83">(100*AO48)/AN48</f>
        <v>-1.8924669917669766E-5</v>
      </c>
      <c r="AQ48" s="234">
        <v>750.06200000000001</v>
      </c>
      <c r="AR48" s="106">
        <v>750.0616</v>
      </c>
      <c r="AS48" s="100">
        <f>AQ48-AR48</f>
        <v>4.0000000001327862E-4</v>
      </c>
      <c r="AT48" s="162">
        <f t="shared" ref="AT48:AT53" si="84">(100*AS48)/AR48</f>
        <v>5.3328953250410182E-5</v>
      </c>
    </row>
    <row r="49" spans="2:46" x14ac:dyDescent="0.25">
      <c r="B49" s="32">
        <v>852</v>
      </c>
      <c r="C49" s="161">
        <v>85200000</v>
      </c>
      <c r="D49" s="104">
        <f t="shared" ref="D49:D53" si="85">B49*100000</f>
        <v>85200000</v>
      </c>
      <c r="E49" s="99">
        <f t="shared" ref="E49:E53" si="86">C49-D49</f>
        <v>0</v>
      </c>
      <c r="F49" s="52">
        <f t="shared" si="74"/>
        <v>0</v>
      </c>
      <c r="G49" s="161">
        <v>868.798</v>
      </c>
      <c r="H49" s="104">
        <f t="shared" ref="H49:H53" si="87">D49* 0.00001019716</f>
        <v>868.79803200000003</v>
      </c>
      <c r="I49" s="99">
        <f t="shared" ref="I49:I53" si="88">G49-H49</f>
        <v>-3.2000000032894604E-5</v>
      </c>
      <c r="J49" s="52">
        <f t="shared" si="75"/>
        <v>-3.68324959936081E-6</v>
      </c>
      <c r="K49" s="161">
        <v>840.85900000000004</v>
      </c>
      <c r="L49" s="104">
        <f t="shared" ref="L49:L53" si="89">D49* 0.000009869233</f>
        <v>840.85865160000003</v>
      </c>
      <c r="M49" s="99">
        <f t="shared" ref="M49:M53" si="90">K49-L49</f>
        <v>3.4840000000713189E-4</v>
      </c>
      <c r="N49" s="52">
        <f t="shared" si="76"/>
        <v>4.1433836631661039E-5</v>
      </c>
      <c r="O49" s="161">
        <v>85200</v>
      </c>
      <c r="P49" s="104">
        <f t="shared" ref="P49:P53" si="91">D49/1000</f>
        <v>85200</v>
      </c>
      <c r="Q49" s="99">
        <f t="shared" ref="Q49:Q53" si="92">O49-P49</f>
        <v>0</v>
      </c>
      <c r="R49" s="52">
        <f t="shared" si="77"/>
        <v>0</v>
      </c>
      <c r="S49" s="161">
        <v>8687982</v>
      </c>
      <c r="T49" s="104">
        <f t="shared" ref="T49:T53" si="93">D49/9.80665</f>
        <v>8687982.134571949</v>
      </c>
      <c r="U49" s="99">
        <f t="shared" ref="U49:U53" si="94">S49-T49</f>
        <v>-0.13457194902002811</v>
      </c>
      <c r="V49" s="52">
        <f t="shared" si="78"/>
        <v>-1.5489436664991299E-6</v>
      </c>
      <c r="W49" s="161">
        <v>85.2</v>
      </c>
      <c r="X49" s="104">
        <f t="shared" ref="X49:X53" si="95">D49/1000000</f>
        <v>85.2</v>
      </c>
      <c r="Y49" s="99">
        <f t="shared" ref="Y49:Y53" si="96">W49-X49</f>
        <v>0</v>
      </c>
      <c r="Z49" s="52">
        <f t="shared" si="79"/>
        <v>0</v>
      </c>
      <c r="AA49" s="161">
        <v>12357.2</v>
      </c>
      <c r="AB49" s="104">
        <f t="shared" ref="AB49:AB53" si="97">D49* 0.0001450377</f>
        <v>12357.21204</v>
      </c>
      <c r="AC49" s="99">
        <f t="shared" ref="AC49:AC53" si="98">AA49-AB49</f>
        <v>-1.2039999999615247E-2</v>
      </c>
      <c r="AD49" s="52">
        <f t="shared" si="80"/>
        <v>-9.7432980518923323E-5</v>
      </c>
      <c r="AE49" s="161">
        <v>639052</v>
      </c>
      <c r="AF49" s="104">
        <f t="shared" ref="AF49:AF53" si="99">D49*0.007500616</f>
        <v>639052.48320000002</v>
      </c>
      <c r="AG49" s="99">
        <f t="shared" ref="AG49:AG53" si="100">AE49-AF49</f>
        <v>-0.48320000001695007</v>
      </c>
      <c r="AH49" s="153">
        <f t="shared" si="81"/>
        <v>-7.561194310635769E-5</v>
      </c>
      <c r="AI49" s="161">
        <v>852000</v>
      </c>
      <c r="AJ49" s="104">
        <v>852000</v>
      </c>
      <c r="AK49" s="99">
        <f t="shared" ref="AK49:AK53" si="101">AI49-AJ49</f>
        <v>0</v>
      </c>
      <c r="AL49" s="153">
        <f t="shared" si="82"/>
        <v>0</v>
      </c>
      <c r="AM49" s="161">
        <v>342047</v>
      </c>
      <c r="AN49" s="104">
        <v>342046.540731179</v>
      </c>
      <c r="AO49" s="99">
        <f t="shared" ref="AO49:AO53" si="102">AM49-AN49</f>
        <v>0.45926882099593058</v>
      </c>
      <c r="AP49" s="153">
        <f t="shared" si="83"/>
        <v>1.3427085682964963E-4</v>
      </c>
      <c r="AQ49" s="161">
        <v>639052</v>
      </c>
      <c r="AR49" s="104">
        <v>639052.48320000002</v>
      </c>
      <c r="AS49" s="99">
        <f t="shared" ref="AS49:AS53" si="103">AQ49-AR49</f>
        <v>-0.48320000001695007</v>
      </c>
      <c r="AT49" s="153">
        <f t="shared" si="84"/>
        <v>-7.561194310635769E-5</v>
      </c>
    </row>
    <row r="50" spans="2:46" x14ac:dyDescent="0.25">
      <c r="B50" s="32">
        <v>4123</v>
      </c>
      <c r="C50" s="161">
        <v>412300000</v>
      </c>
      <c r="D50" s="104">
        <f t="shared" si="85"/>
        <v>412300000</v>
      </c>
      <c r="E50" s="99">
        <f t="shared" si="86"/>
        <v>0</v>
      </c>
      <c r="F50" s="52">
        <f t="shared" si="74"/>
        <v>0</v>
      </c>
      <c r="G50" s="161">
        <v>4204.29</v>
      </c>
      <c r="H50" s="104">
        <f t="shared" si="87"/>
        <v>4204.289068</v>
      </c>
      <c r="I50" s="99">
        <f t="shared" si="88"/>
        <v>9.3199999992066296E-4</v>
      </c>
      <c r="J50" s="52">
        <f t="shared" si="75"/>
        <v>2.2167838244386456E-5</v>
      </c>
      <c r="K50" s="161">
        <v>4069.08</v>
      </c>
      <c r="L50" s="104">
        <f t="shared" si="89"/>
        <v>4069.0847659000001</v>
      </c>
      <c r="M50" s="99">
        <f t="shared" si="90"/>
        <v>-4.7659000001658569E-3</v>
      </c>
      <c r="N50" s="52">
        <f t="shared" si="76"/>
        <v>-1.1712461829513486E-4</v>
      </c>
      <c r="O50" s="161">
        <v>412300</v>
      </c>
      <c r="P50" s="104">
        <f t="shared" si="91"/>
        <v>412300</v>
      </c>
      <c r="Q50" s="99">
        <f t="shared" si="92"/>
        <v>0</v>
      </c>
      <c r="R50" s="52">
        <f t="shared" si="77"/>
        <v>0</v>
      </c>
      <c r="S50" s="161">
        <v>42042899</v>
      </c>
      <c r="T50" s="104">
        <f t="shared" si="93"/>
        <v>42042899.461079985</v>
      </c>
      <c r="U50" s="99">
        <f t="shared" si="94"/>
        <v>-0.46107998490333557</v>
      </c>
      <c r="V50" s="52">
        <f t="shared" si="78"/>
        <v>-1.0966893121397757E-6</v>
      </c>
      <c r="W50" s="161">
        <v>412.3</v>
      </c>
      <c r="X50" s="104">
        <f t="shared" si="95"/>
        <v>412.3</v>
      </c>
      <c r="Y50" s="99">
        <f t="shared" si="96"/>
        <v>0</v>
      </c>
      <c r="Z50" s="52">
        <f t="shared" si="79"/>
        <v>0</v>
      </c>
      <c r="AA50" s="161">
        <v>59799</v>
      </c>
      <c r="AB50" s="104">
        <f t="shared" si="97"/>
        <v>59799.043710000005</v>
      </c>
      <c r="AC50" s="99">
        <f t="shared" si="98"/>
        <v>-4.371000000537606E-2</v>
      </c>
      <c r="AD50" s="52">
        <f t="shared" si="80"/>
        <v>-7.3094814387586219E-5</v>
      </c>
      <c r="AE50" s="161">
        <v>3092504</v>
      </c>
      <c r="AF50" s="104">
        <f t="shared" si="99"/>
        <v>3092503.9767999998</v>
      </c>
      <c r="AG50" s="99">
        <f t="shared" si="100"/>
        <v>2.3200000170618296E-2</v>
      </c>
      <c r="AH50" s="153">
        <f t="shared" si="81"/>
        <v>7.5020114265543266E-7</v>
      </c>
      <c r="AI50" s="161">
        <v>4123000</v>
      </c>
      <c r="AJ50" s="104">
        <v>4123000</v>
      </c>
      <c r="AK50" s="99">
        <f t="shared" si="101"/>
        <v>0</v>
      </c>
      <c r="AL50" s="153">
        <f t="shared" si="82"/>
        <v>0</v>
      </c>
      <c r="AM50" s="161">
        <v>1655232</v>
      </c>
      <c r="AN50" s="104">
        <v>1655232.2622472399</v>
      </c>
      <c r="AO50" s="99">
        <f t="shared" si="102"/>
        <v>-0.26224723993800581</v>
      </c>
      <c r="AP50" s="153">
        <f t="shared" si="83"/>
        <v>-1.5843531202198999E-5</v>
      </c>
      <c r="AQ50" s="161">
        <v>3092504</v>
      </c>
      <c r="AR50" s="104">
        <v>3092503.9767999998</v>
      </c>
      <c r="AS50" s="99">
        <f t="shared" si="103"/>
        <v>2.3200000170618296E-2</v>
      </c>
      <c r="AT50" s="153">
        <f t="shared" si="84"/>
        <v>7.5020114265543266E-7</v>
      </c>
    </row>
    <row r="51" spans="2:46" x14ac:dyDescent="0.25">
      <c r="B51" s="32">
        <v>774411225588</v>
      </c>
      <c r="C51" s="161">
        <v>7.74411225588E+16</v>
      </c>
      <c r="D51" s="104">
        <f t="shared" si="85"/>
        <v>7.74411225588E+16</v>
      </c>
      <c r="E51" s="99">
        <f t="shared" si="86"/>
        <v>0</v>
      </c>
      <c r="F51" s="52">
        <f t="shared" si="74"/>
        <v>0</v>
      </c>
      <c r="G51" s="161">
        <v>789679517312</v>
      </c>
      <c r="H51" s="104">
        <f t="shared" si="87"/>
        <v>789679517311.69299</v>
      </c>
      <c r="I51" s="99">
        <f t="shared" si="88"/>
        <v>0.3070068359375</v>
      </c>
      <c r="J51" s="52">
        <f t="shared" si="75"/>
        <v>3.8877396362342508E-11</v>
      </c>
      <c r="K51" s="161">
        <v>764284482314</v>
      </c>
      <c r="L51" s="104">
        <f t="shared" si="89"/>
        <v>764284482314.35339</v>
      </c>
      <c r="M51" s="99">
        <f t="shared" si="90"/>
        <v>-0.3533935546875</v>
      </c>
      <c r="N51" s="52">
        <f t="shared" si="76"/>
        <v>-4.6238483557507025E-11</v>
      </c>
      <c r="O51" s="161">
        <v>77441122558800</v>
      </c>
      <c r="P51" s="104">
        <f t="shared" si="91"/>
        <v>77441122558800</v>
      </c>
      <c r="Q51" s="99">
        <f t="shared" si="92"/>
        <v>0</v>
      </c>
      <c r="R51" s="52">
        <f t="shared" si="77"/>
        <v>0</v>
      </c>
      <c r="S51" s="161">
        <v>7896796822441920</v>
      </c>
      <c r="T51" s="104">
        <f t="shared" si="93"/>
        <v>7896796822441915</v>
      </c>
      <c r="U51" s="99">
        <f t="shared" si="94"/>
        <v>0</v>
      </c>
      <c r="V51" s="52">
        <f t="shared" si="78"/>
        <v>0</v>
      </c>
      <c r="W51" s="161">
        <v>77441122559</v>
      </c>
      <c r="X51" s="104">
        <f t="shared" si="95"/>
        <v>77441122558.800003</v>
      </c>
      <c r="Y51" s="99">
        <f t="shared" si="96"/>
        <v>0.1999969482421875</v>
      </c>
      <c r="Z51" s="52">
        <f t="shared" si="79"/>
        <v>2.5825677835484951E-10</v>
      </c>
      <c r="AA51" s="161">
        <v>11231882301346</v>
      </c>
      <c r="AB51" s="104">
        <f t="shared" si="97"/>
        <v>11231882301346.467</v>
      </c>
      <c r="AC51" s="99">
        <f t="shared" si="98"/>
        <v>-0.466796875</v>
      </c>
      <c r="AD51" s="52">
        <f t="shared" si="80"/>
        <v>-4.155998633853569E-12</v>
      </c>
      <c r="AE51" s="161">
        <v>580856122922496</v>
      </c>
      <c r="AF51" s="104">
        <f t="shared" si="99"/>
        <v>580856122922496.25</v>
      </c>
      <c r="AG51" s="99">
        <f t="shared" si="100"/>
        <v>0</v>
      </c>
      <c r="AH51" s="153">
        <f t="shared" si="81"/>
        <v>0</v>
      </c>
      <c r="AI51" s="161">
        <v>774411225588000</v>
      </c>
      <c r="AJ51" s="104">
        <v>774411225588000</v>
      </c>
      <c r="AK51" s="99">
        <f t="shared" si="101"/>
        <v>0</v>
      </c>
      <c r="AL51" s="153">
        <f t="shared" si="82"/>
        <v>0</v>
      </c>
      <c r="AM51" s="161">
        <v>310897512694564</v>
      </c>
      <c r="AN51" s="104">
        <v>310897512694564</v>
      </c>
      <c r="AO51" s="99">
        <f t="shared" si="102"/>
        <v>0</v>
      </c>
      <c r="AP51" s="153">
        <f t="shared" si="83"/>
        <v>0</v>
      </c>
      <c r="AQ51" s="161">
        <v>580856122922496</v>
      </c>
      <c r="AR51" s="104">
        <v>580856122922496.25</v>
      </c>
      <c r="AS51" s="99">
        <f t="shared" si="103"/>
        <v>0</v>
      </c>
      <c r="AT51" s="153">
        <f t="shared" si="84"/>
        <v>0</v>
      </c>
    </row>
    <row r="52" spans="2:46" x14ac:dyDescent="0.25">
      <c r="B52" s="105">
        <v>0.98699999999999999</v>
      </c>
      <c r="C52" s="159">
        <v>98700</v>
      </c>
      <c r="D52" s="104">
        <f t="shared" si="85"/>
        <v>98700</v>
      </c>
      <c r="E52" s="99">
        <f t="shared" si="86"/>
        <v>0</v>
      </c>
      <c r="F52" s="52">
        <f t="shared" si="74"/>
        <v>0</v>
      </c>
      <c r="G52" s="161">
        <v>1.0064599999999999</v>
      </c>
      <c r="H52" s="104">
        <f t="shared" si="87"/>
        <v>1.006459692</v>
      </c>
      <c r="I52" s="99">
        <f t="shared" si="88"/>
        <v>3.079999999489047E-7</v>
      </c>
      <c r="J52" s="52">
        <f t="shared" si="75"/>
        <v>3.0602318443261082E-5</v>
      </c>
      <c r="K52" s="161">
        <v>0.97409299999999999</v>
      </c>
      <c r="L52" s="104">
        <f t="shared" si="89"/>
        <v>0.97409329710000003</v>
      </c>
      <c r="M52" s="99">
        <f t="shared" si="90"/>
        <v>-2.9710000004623538E-7</v>
      </c>
      <c r="N52" s="52">
        <f t="shared" si="76"/>
        <v>-3.050015855059674E-5</v>
      </c>
      <c r="O52" s="161">
        <v>98.7</v>
      </c>
      <c r="P52" s="104">
        <f t="shared" si="91"/>
        <v>98.7</v>
      </c>
      <c r="Q52" s="99">
        <f t="shared" si="92"/>
        <v>0</v>
      </c>
      <c r="R52" s="52">
        <f t="shared" si="77"/>
        <v>0</v>
      </c>
      <c r="S52" s="161">
        <v>10064.6</v>
      </c>
      <c r="T52" s="104">
        <f t="shared" si="93"/>
        <v>10064.599022092152</v>
      </c>
      <c r="U52" s="99">
        <f t="shared" si="94"/>
        <v>9.7790784820972476E-4</v>
      </c>
      <c r="V52" s="52">
        <f t="shared" si="78"/>
        <v>9.7163120563788212E-6</v>
      </c>
      <c r="W52" s="161">
        <v>9.8699999999999996E-2</v>
      </c>
      <c r="X52" s="104">
        <f t="shared" si="95"/>
        <v>9.8699999999999996E-2</v>
      </c>
      <c r="Y52" s="99">
        <f t="shared" si="96"/>
        <v>0</v>
      </c>
      <c r="Z52" s="52">
        <f t="shared" si="79"/>
        <v>0</v>
      </c>
      <c r="AA52" s="161">
        <v>14.315200000000001</v>
      </c>
      <c r="AB52" s="104">
        <f t="shared" si="97"/>
        <v>14.31522099</v>
      </c>
      <c r="AC52" s="99">
        <f t="shared" si="98"/>
        <v>-2.0989999999443398E-5</v>
      </c>
      <c r="AD52" s="52">
        <f t="shared" si="80"/>
        <v>-1.4662714612723139E-4</v>
      </c>
      <c r="AE52" s="161">
        <v>740.31100000000004</v>
      </c>
      <c r="AF52" s="104">
        <f t="shared" si="99"/>
        <v>740.31079920000002</v>
      </c>
      <c r="AG52" s="99">
        <f t="shared" si="100"/>
        <v>2.0080000001598819E-4</v>
      </c>
      <c r="AH52" s="153">
        <f t="shared" si="81"/>
        <v>2.7123743194476986E-5</v>
      </c>
      <c r="AI52" s="161">
        <v>987</v>
      </c>
      <c r="AJ52" s="104">
        <v>987</v>
      </c>
      <c r="AK52" s="99">
        <f t="shared" si="101"/>
        <v>0</v>
      </c>
      <c r="AL52" s="153">
        <f t="shared" si="82"/>
        <v>0</v>
      </c>
      <c r="AM52" s="161">
        <v>396.24400000000003</v>
      </c>
      <c r="AN52" s="104">
        <v>396.24405598788002</v>
      </c>
      <c r="AO52" s="99">
        <f t="shared" si="102"/>
        <v>-5.5987879989061184E-5</v>
      </c>
      <c r="AP52" s="153">
        <f t="shared" si="83"/>
        <v>-1.4129645389752848E-5</v>
      </c>
      <c r="AQ52" s="161">
        <v>740.31100000000004</v>
      </c>
      <c r="AR52" s="104">
        <v>740.31079920000002</v>
      </c>
      <c r="AS52" s="99">
        <f t="shared" si="103"/>
        <v>2.0080000001598819E-4</v>
      </c>
      <c r="AT52" s="153">
        <f t="shared" si="84"/>
        <v>2.7123743194476986E-5</v>
      </c>
    </row>
    <row r="53" spans="2:46" ht="15.75" thickBot="1" x14ac:dyDescent="0.3">
      <c r="B53" s="34">
        <v>-852</v>
      </c>
      <c r="C53" s="235">
        <v>-85200000</v>
      </c>
      <c r="D53" s="160">
        <f t="shared" si="85"/>
        <v>-85200000</v>
      </c>
      <c r="E53" s="101">
        <f t="shared" si="86"/>
        <v>0</v>
      </c>
      <c r="F53" s="57">
        <f t="shared" si="74"/>
        <v>0</v>
      </c>
      <c r="G53" s="235">
        <v>-868.798</v>
      </c>
      <c r="H53" s="160">
        <f t="shared" si="87"/>
        <v>-868.79803200000003</v>
      </c>
      <c r="I53" s="101">
        <f t="shared" si="88"/>
        <v>3.2000000032894604E-5</v>
      </c>
      <c r="J53" s="57">
        <f t="shared" si="75"/>
        <v>-3.68324959936081E-6</v>
      </c>
      <c r="K53" s="235">
        <v>-840.85900000000004</v>
      </c>
      <c r="L53" s="160">
        <f t="shared" si="89"/>
        <v>-840.85865160000003</v>
      </c>
      <c r="M53" s="101">
        <f t="shared" si="90"/>
        <v>-3.4840000000713189E-4</v>
      </c>
      <c r="N53" s="57">
        <f t="shared" si="76"/>
        <v>4.1433836631661039E-5</v>
      </c>
      <c r="O53" s="235">
        <v>-85200</v>
      </c>
      <c r="P53" s="160">
        <f t="shared" si="91"/>
        <v>-85200</v>
      </c>
      <c r="Q53" s="101">
        <f t="shared" si="92"/>
        <v>0</v>
      </c>
      <c r="R53" s="57">
        <f t="shared" si="77"/>
        <v>0</v>
      </c>
      <c r="S53" s="235">
        <v>-8687982</v>
      </c>
      <c r="T53" s="160">
        <f t="shared" si="93"/>
        <v>-8687982.134571949</v>
      </c>
      <c r="U53" s="101">
        <f t="shared" si="94"/>
        <v>0.13457194902002811</v>
      </c>
      <c r="V53" s="57">
        <f t="shared" si="78"/>
        <v>-1.5489436664991299E-6</v>
      </c>
      <c r="W53" s="235">
        <v>-85.2</v>
      </c>
      <c r="X53" s="160">
        <f t="shared" si="95"/>
        <v>-85.2</v>
      </c>
      <c r="Y53" s="101">
        <f t="shared" si="96"/>
        <v>0</v>
      </c>
      <c r="Z53" s="57">
        <f t="shared" si="79"/>
        <v>0</v>
      </c>
      <c r="AA53" s="235">
        <v>-12357.2</v>
      </c>
      <c r="AB53" s="160">
        <f t="shared" si="97"/>
        <v>-12357.21204</v>
      </c>
      <c r="AC53" s="101">
        <f t="shared" si="98"/>
        <v>1.2039999999615247E-2</v>
      </c>
      <c r="AD53" s="57">
        <f t="shared" si="80"/>
        <v>-9.7432980518923323E-5</v>
      </c>
      <c r="AE53" s="235">
        <v>-639052</v>
      </c>
      <c r="AF53" s="160">
        <f t="shared" si="99"/>
        <v>-639052.48320000002</v>
      </c>
      <c r="AG53" s="101">
        <f t="shared" si="100"/>
        <v>0.48320000001695007</v>
      </c>
      <c r="AH53" s="163">
        <f t="shared" si="81"/>
        <v>-7.561194310635769E-5</v>
      </c>
      <c r="AI53" s="235">
        <v>-852000</v>
      </c>
      <c r="AJ53" s="160">
        <v>-852000</v>
      </c>
      <c r="AK53" s="101">
        <f t="shared" si="101"/>
        <v>0</v>
      </c>
      <c r="AL53" s="163">
        <f t="shared" si="82"/>
        <v>0</v>
      </c>
      <c r="AM53" s="235">
        <v>-342047</v>
      </c>
      <c r="AN53" s="160">
        <v>-342046.540731179</v>
      </c>
      <c r="AO53" s="101">
        <f t="shared" si="102"/>
        <v>-0.45926882099593058</v>
      </c>
      <c r="AP53" s="163">
        <f t="shared" si="83"/>
        <v>1.3427085682964963E-4</v>
      </c>
      <c r="AQ53" s="235">
        <v>-639052</v>
      </c>
      <c r="AR53" s="160">
        <v>-639052.48320000002</v>
      </c>
      <c r="AS53" s="101">
        <f t="shared" si="103"/>
        <v>0.48320000001695007</v>
      </c>
      <c r="AT53" s="163">
        <f t="shared" si="84"/>
        <v>-7.561194310635769E-5</v>
      </c>
    </row>
    <row r="54" spans="2:46" ht="15.75" thickBot="1" x14ac:dyDescent="0.3">
      <c r="C54" s="165"/>
      <c r="D54" s="165"/>
      <c r="E54" s="164"/>
      <c r="F54" s="164"/>
      <c r="G54" s="165"/>
      <c r="H54" s="165"/>
      <c r="I54" s="164"/>
      <c r="J54" s="164"/>
      <c r="K54" s="165"/>
      <c r="L54" s="165"/>
      <c r="M54" s="164"/>
      <c r="N54" s="164"/>
      <c r="O54" s="165"/>
      <c r="P54" s="165"/>
      <c r="Q54" s="164"/>
      <c r="R54" s="164"/>
      <c r="S54" s="165"/>
      <c r="T54" s="165"/>
      <c r="U54" s="164"/>
      <c r="V54" s="164"/>
      <c r="W54" s="165"/>
      <c r="X54" s="165"/>
      <c r="Y54" s="164"/>
      <c r="Z54" s="164"/>
      <c r="AA54" s="165"/>
      <c r="AB54" s="165"/>
      <c r="AC54" s="164"/>
      <c r="AD54" s="164"/>
      <c r="AE54" s="165"/>
      <c r="AF54" s="165"/>
      <c r="AG54" s="164"/>
      <c r="AH54" s="164"/>
      <c r="AQ54" s="165"/>
      <c r="AR54" s="165"/>
      <c r="AS54" s="164"/>
      <c r="AT54" s="164"/>
    </row>
    <row r="55" spans="2:46" x14ac:dyDescent="0.25">
      <c r="B55" s="341" t="s">
        <v>10</v>
      </c>
      <c r="C55" s="166" t="s">
        <v>14</v>
      </c>
      <c r="D55" s="168" t="s">
        <v>14</v>
      </c>
      <c r="E55" s="343" t="s">
        <v>354</v>
      </c>
      <c r="F55" s="352" t="s">
        <v>355</v>
      </c>
      <c r="G55" s="166" t="s">
        <v>14</v>
      </c>
      <c r="H55" s="168" t="s">
        <v>14</v>
      </c>
      <c r="I55" s="343" t="s">
        <v>354</v>
      </c>
      <c r="J55" s="352" t="s">
        <v>355</v>
      </c>
      <c r="K55" s="166" t="s">
        <v>14</v>
      </c>
      <c r="L55" s="168" t="s">
        <v>14</v>
      </c>
      <c r="M55" s="343" t="s">
        <v>354</v>
      </c>
      <c r="N55" s="352" t="s">
        <v>355</v>
      </c>
      <c r="O55" s="166" t="s">
        <v>14</v>
      </c>
      <c r="P55" s="168" t="s">
        <v>14</v>
      </c>
      <c r="Q55" s="343" t="s">
        <v>354</v>
      </c>
      <c r="R55" s="352" t="s">
        <v>355</v>
      </c>
      <c r="S55" s="166" t="s">
        <v>14</v>
      </c>
      <c r="T55" s="168" t="s">
        <v>14</v>
      </c>
      <c r="U55" s="343" t="s">
        <v>354</v>
      </c>
      <c r="V55" s="352" t="s">
        <v>355</v>
      </c>
      <c r="W55" s="166" t="s">
        <v>14</v>
      </c>
      <c r="X55" s="168" t="s">
        <v>14</v>
      </c>
      <c r="Y55" s="343" t="s">
        <v>354</v>
      </c>
      <c r="Z55" s="352" t="s">
        <v>355</v>
      </c>
      <c r="AA55" s="166" t="s">
        <v>14</v>
      </c>
      <c r="AB55" s="168" t="s">
        <v>14</v>
      </c>
      <c r="AC55" s="343" t="s">
        <v>354</v>
      </c>
      <c r="AD55" s="352" t="s">
        <v>355</v>
      </c>
      <c r="AE55" s="166" t="s">
        <v>14</v>
      </c>
      <c r="AF55" s="168" t="s">
        <v>14</v>
      </c>
      <c r="AG55" s="343" t="s">
        <v>354</v>
      </c>
      <c r="AH55" s="357" t="s">
        <v>355</v>
      </c>
      <c r="AI55" s="166" t="s">
        <v>14</v>
      </c>
      <c r="AJ55" s="168" t="s">
        <v>14</v>
      </c>
      <c r="AK55" s="343" t="s">
        <v>354</v>
      </c>
      <c r="AL55" s="357" t="s">
        <v>355</v>
      </c>
      <c r="AM55" s="166" t="s">
        <v>14</v>
      </c>
      <c r="AN55" s="168" t="s">
        <v>14</v>
      </c>
      <c r="AO55" s="343" t="s">
        <v>354</v>
      </c>
      <c r="AP55" s="357" t="s">
        <v>355</v>
      </c>
      <c r="AQ55" s="166" t="s">
        <v>14</v>
      </c>
      <c r="AR55" s="168" t="s">
        <v>14</v>
      </c>
      <c r="AS55" s="343" t="s">
        <v>354</v>
      </c>
      <c r="AT55" s="357" t="s">
        <v>355</v>
      </c>
    </row>
    <row r="56" spans="2:46" ht="15.75" thickBot="1" x14ac:dyDescent="0.3">
      <c r="B56" s="342"/>
      <c r="C56" s="167" t="s">
        <v>290</v>
      </c>
      <c r="D56" s="169" t="s">
        <v>291</v>
      </c>
      <c r="E56" s="344"/>
      <c r="F56" s="353"/>
      <c r="G56" s="167" t="s">
        <v>290</v>
      </c>
      <c r="H56" s="169" t="s">
        <v>291</v>
      </c>
      <c r="I56" s="344"/>
      <c r="J56" s="353"/>
      <c r="K56" s="167" t="s">
        <v>290</v>
      </c>
      <c r="L56" s="169" t="s">
        <v>291</v>
      </c>
      <c r="M56" s="344"/>
      <c r="N56" s="353"/>
      <c r="O56" s="167" t="s">
        <v>290</v>
      </c>
      <c r="P56" s="169" t="s">
        <v>291</v>
      </c>
      <c r="Q56" s="344"/>
      <c r="R56" s="353"/>
      <c r="S56" s="167" t="s">
        <v>290</v>
      </c>
      <c r="T56" s="169" t="s">
        <v>291</v>
      </c>
      <c r="U56" s="344"/>
      <c r="V56" s="353"/>
      <c r="W56" s="167" t="s">
        <v>290</v>
      </c>
      <c r="X56" s="169" t="s">
        <v>291</v>
      </c>
      <c r="Y56" s="344"/>
      <c r="Z56" s="353"/>
      <c r="AA56" s="167" t="s">
        <v>290</v>
      </c>
      <c r="AB56" s="169" t="s">
        <v>291</v>
      </c>
      <c r="AC56" s="344"/>
      <c r="AD56" s="353"/>
      <c r="AE56" s="167" t="s">
        <v>290</v>
      </c>
      <c r="AF56" s="169" t="s">
        <v>291</v>
      </c>
      <c r="AG56" s="344"/>
      <c r="AH56" s="358"/>
      <c r="AI56" s="167" t="s">
        <v>290</v>
      </c>
      <c r="AJ56" s="169" t="s">
        <v>291</v>
      </c>
      <c r="AK56" s="344"/>
      <c r="AL56" s="358"/>
      <c r="AM56" s="167" t="s">
        <v>290</v>
      </c>
      <c r="AN56" s="169" t="s">
        <v>291</v>
      </c>
      <c r="AO56" s="344"/>
      <c r="AP56" s="358"/>
      <c r="AQ56" s="167" t="s">
        <v>290</v>
      </c>
      <c r="AR56" s="169" t="s">
        <v>291</v>
      </c>
      <c r="AS56" s="344"/>
      <c r="AT56" s="358"/>
    </row>
    <row r="57" spans="2:46" ht="15.75" thickBot="1" x14ac:dyDescent="0.3">
      <c r="B57" s="346" t="s">
        <v>22</v>
      </c>
      <c r="C57" s="363" t="s">
        <v>18</v>
      </c>
      <c r="D57" s="177" t="s">
        <v>18</v>
      </c>
      <c r="E57" s="344"/>
      <c r="F57" s="354"/>
      <c r="G57" s="363" t="s">
        <v>19</v>
      </c>
      <c r="H57" s="177" t="s">
        <v>19</v>
      </c>
      <c r="I57" s="344"/>
      <c r="J57" s="354"/>
      <c r="K57" s="363" t="s">
        <v>20</v>
      </c>
      <c r="L57" s="177" t="s">
        <v>20</v>
      </c>
      <c r="M57" s="344"/>
      <c r="N57" s="354"/>
      <c r="O57" s="363" t="s">
        <v>21</v>
      </c>
      <c r="P57" s="240" t="s">
        <v>21</v>
      </c>
      <c r="Q57" s="344"/>
      <c r="R57" s="354"/>
      <c r="S57" s="363" t="s">
        <v>23</v>
      </c>
      <c r="T57" s="177" t="s">
        <v>23</v>
      </c>
      <c r="U57" s="344"/>
      <c r="V57" s="354"/>
      <c r="W57" s="363" t="s">
        <v>24</v>
      </c>
      <c r="X57" s="177" t="s">
        <v>24</v>
      </c>
      <c r="Y57" s="344"/>
      <c r="Z57" s="354"/>
      <c r="AA57" s="363" t="s">
        <v>25</v>
      </c>
      <c r="AB57" s="177" t="s">
        <v>25</v>
      </c>
      <c r="AC57" s="344"/>
      <c r="AD57" s="354"/>
      <c r="AE57" s="363" t="s">
        <v>26</v>
      </c>
      <c r="AF57" s="225" t="s">
        <v>26</v>
      </c>
      <c r="AG57" s="344"/>
      <c r="AH57" s="358"/>
      <c r="AI57" s="346" t="s">
        <v>681</v>
      </c>
      <c r="AJ57" s="17" t="s">
        <v>681</v>
      </c>
      <c r="AK57" s="344"/>
      <c r="AL57" s="358"/>
      <c r="AM57" s="346" t="s">
        <v>700</v>
      </c>
      <c r="AN57" s="17" t="s">
        <v>700</v>
      </c>
      <c r="AO57" s="344"/>
      <c r="AP57" s="358"/>
      <c r="AQ57" s="346" t="s">
        <v>721</v>
      </c>
      <c r="AR57" s="17" t="s">
        <v>721</v>
      </c>
      <c r="AS57" s="344"/>
      <c r="AT57" s="358"/>
    </row>
    <row r="58" spans="2:46" ht="24" thickBot="1" x14ac:dyDescent="0.3">
      <c r="B58" s="347"/>
      <c r="C58" s="364"/>
      <c r="D58" s="236" t="s">
        <v>283</v>
      </c>
      <c r="E58" s="345"/>
      <c r="F58" s="345"/>
      <c r="G58" s="364"/>
      <c r="H58" s="237" t="s">
        <v>306</v>
      </c>
      <c r="I58" s="345"/>
      <c r="J58" s="345"/>
      <c r="K58" s="364"/>
      <c r="L58" s="237" t="s">
        <v>307</v>
      </c>
      <c r="M58" s="345"/>
      <c r="N58" s="345"/>
      <c r="O58" s="364"/>
      <c r="P58" s="237" t="s">
        <v>284</v>
      </c>
      <c r="Q58" s="345"/>
      <c r="R58" s="345"/>
      <c r="S58" s="364"/>
      <c r="T58" s="237" t="s">
        <v>308</v>
      </c>
      <c r="U58" s="345"/>
      <c r="V58" s="345"/>
      <c r="W58" s="364"/>
      <c r="X58" s="237" t="s">
        <v>285</v>
      </c>
      <c r="Y58" s="345"/>
      <c r="Z58" s="345"/>
      <c r="AA58" s="364"/>
      <c r="AB58" s="237" t="s">
        <v>309</v>
      </c>
      <c r="AC58" s="345"/>
      <c r="AD58" s="345"/>
      <c r="AE58" s="364"/>
      <c r="AF58" s="237" t="s">
        <v>310</v>
      </c>
      <c r="AG58" s="345"/>
      <c r="AH58" s="359"/>
      <c r="AI58" s="347"/>
      <c r="AJ58" s="237" t="s">
        <v>685</v>
      </c>
      <c r="AK58" s="345"/>
      <c r="AL58" s="359"/>
      <c r="AM58" s="347"/>
      <c r="AN58" s="237" t="s">
        <v>705</v>
      </c>
      <c r="AO58" s="345"/>
      <c r="AP58" s="359"/>
      <c r="AQ58" s="347"/>
      <c r="AR58" s="237" t="s">
        <v>726</v>
      </c>
      <c r="AS58" s="345"/>
      <c r="AT58" s="359"/>
    </row>
    <row r="59" spans="2:46" x14ac:dyDescent="0.25">
      <c r="B59" s="95">
        <v>1</v>
      </c>
      <c r="C59" s="234">
        <v>1000</v>
      </c>
      <c r="D59" s="106">
        <f>B59*1000</f>
        <v>1000</v>
      </c>
      <c r="E59" s="100">
        <f>C59-D59</f>
        <v>0</v>
      </c>
      <c r="F59" s="54">
        <f t="shared" ref="F59:F64" si="104">(100*E59)/D59</f>
        <v>0</v>
      </c>
      <c r="G59" s="234">
        <v>1.01972E-2</v>
      </c>
      <c r="H59" s="106">
        <f>D59*0.00001019716</f>
        <v>1.019716E-2</v>
      </c>
      <c r="I59" s="100">
        <f>G59-H59</f>
        <v>3.9999999999762448E-8</v>
      </c>
      <c r="J59" s="54">
        <f t="shared" ref="J59:J64" si="105">(100*I59)/H59</f>
        <v>3.9226608192636429E-4</v>
      </c>
      <c r="K59" s="234">
        <v>9.8692299999999997E-3</v>
      </c>
      <c r="L59" s="106">
        <f>D59*0.000009869233</f>
        <v>9.8692329999999998E-3</v>
      </c>
      <c r="M59" s="100">
        <f>K59-L59</f>
        <v>-3.0000000001556559E-9</v>
      </c>
      <c r="N59" s="54">
        <f t="shared" ref="N59:N64" si="106">(100*M59)/L59</f>
        <v>-3.0397498976421532E-5</v>
      </c>
      <c r="O59" s="234">
        <v>0.01</v>
      </c>
      <c r="P59" s="106">
        <f>D59/100000</f>
        <v>0.01</v>
      </c>
      <c r="Q59" s="100">
        <f>O59-P59</f>
        <v>0</v>
      </c>
      <c r="R59" s="54">
        <f t="shared" ref="R59:R64" si="107">(100*Q59)/P59</f>
        <v>0</v>
      </c>
      <c r="S59" s="234">
        <v>101.97199999999999</v>
      </c>
      <c r="T59" s="106">
        <f>D59/9.80665</f>
        <v>101.97162129779284</v>
      </c>
      <c r="U59" s="100">
        <f>S59-T59</f>
        <v>3.7870220715774394E-4</v>
      </c>
      <c r="V59" s="54">
        <f t="shared" ref="V59:V64" si="108">(100*U59)/T59</f>
        <v>3.713799999823489E-4</v>
      </c>
      <c r="W59" s="234">
        <v>1E-3</v>
      </c>
      <c r="X59" s="106">
        <f>D59/1000000</f>
        <v>1E-3</v>
      </c>
      <c r="Y59" s="100">
        <f>W59-X59</f>
        <v>0</v>
      </c>
      <c r="Z59" s="54">
        <f t="shared" ref="Z59:Z64" si="109">(100*Y59)/X59</f>
        <v>0</v>
      </c>
      <c r="AA59" s="234">
        <v>0.145038</v>
      </c>
      <c r="AB59" s="106">
        <f>D59* 0.0001450377</f>
        <v>0.14503770000000002</v>
      </c>
      <c r="AC59" s="100">
        <f>AA59-AB59</f>
        <v>2.9999999998087112E-7</v>
      </c>
      <c r="AD59" s="54">
        <f t="shared" ref="AD59:AD64" si="110">(100*AC59)/AB59</f>
        <v>2.0684277259007215E-4</v>
      </c>
      <c r="AE59" s="234">
        <v>7.5006199999999996</v>
      </c>
      <c r="AF59" s="106">
        <f>D59*0.007500616</f>
        <v>7.5006159999999999</v>
      </c>
      <c r="AG59" s="100">
        <f>AE59-AF59</f>
        <v>3.9999999996709334E-6</v>
      </c>
      <c r="AH59" s="162">
        <f t="shared" ref="AH59:AH64" si="111">(100*AG59)/AF59</f>
        <v>5.3328953244252652E-5</v>
      </c>
      <c r="AI59" s="234">
        <v>10</v>
      </c>
      <c r="AJ59" s="106">
        <v>10</v>
      </c>
      <c r="AK59" s="100">
        <f>AI59-AJ59</f>
        <v>0</v>
      </c>
      <c r="AL59" s="162">
        <f t="shared" ref="AL59:AL64" si="112">(100*AK59)/AJ59</f>
        <v>0</v>
      </c>
      <c r="AM59" s="234">
        <v>4.0146300000000004</v>
      </c>
      <c r="AN59" s="106">
        <v>4.0146307597556197</v>
      </c>
      <c r="AO59" s="100">
        <f>AM59-AN59</f>
        <v>-7.5975561930619051E-7</v>
      </c>
      <c r="AP59" s="162">
        <f t="shared" ref="AP59:AP64" si="113">(100*AO59)/AN59</f>
        <v>-1.8924669907935409E-5</v>
      </c>
      <c r="AQ59" s="234">
        <v>7.5006199999999996</v>
      </c>
      <c r="AR59" s="106">
        <v>7.5006159999999999</v>
      </c>
      <c r="AS59" s="100">
        <f>AQ59-AR59</f>
        <v>3.9999999996709334E-6</v>
      </c>
      <c r="AT59" s="162">
        <f t="shared" ref="AT59:AT64" si="114">(100*AS59)/AR59</f>
        <v>5.3328953244252652E-5</v>
      </c>
    </row>
    <row r="60" spans="2:46" x14ac:dyDescent="0.25">
      <c r="B60" s="32">
        <v>852</v>
      </c>
      <c r="C60" s="161">
        <v>852000</v>
      </c>
      <c r="D60" s="104">
        <f t="shared" ref="D60:D64" si="115">B60*1000</f>
        <v>852000</v>
      </c>
      <c r="E60" s="99">
        <f t="shared" ref="E60:E64" si="116">C60-D60</f>
        <v>0</v>
      </c>
      <c r="F60" s="52">
        <f t="shared" si="104"/>
        <v>0</v>
      </c>
      <c r="G60" s="161">
        <v>8.6879799999999996</v>
      </c>
      <c r="H60" s="104">
        <f t="shared" ref="H60:H64" si="117">D60*0.00001019716</f>
        <v>8.6879803199999994</v>
      </c>
      <c r="I60" s="99">
        <f t="shared" ref="I60:I64" si="118">G60-H60</f>
        <v>-3.1999999983156613E-7</v>
      </c>
      <c r="J60" s="52">
        <f t="shared" si="105"/>
        <v>-3.6832495936358905E-6</v>
      </c>
      <c r="K60" s="161">
        <v>8.4085900000000002</v>
      </c>
      <c r="L60" s="104">
        <f t="shared" ref="L60:L64" si="119">D60*0.000009869233</f>
        <v>8.4085865159999997</v>
      </c>
      <c r="M60" s="99">
        <f t="shared" ref="M60:M64" si="120">K60-L60</f>
        <v>3.4840000004976446E-6</v>
      </c>
      <c r="N60" s="52">
        <f t="shared" si="106"/>
        <v>4.1433836636731168E-5</v>
      </c>
      <c r="O60" s="161">
        <v>8.52</v>
      </c>
      <c r="P60" s="104">
        <f t="shared" ref="P60:P64" si="121">D60/100000</f>
        <v>8.52</v>
      </c>
      <c r="Q60" s="99">
        <f t="shared" ref="Q60:Q64" si="122">O60-P60</f>
        <v>0</v>
      </c>
      <c r="R60" s="52">
        <f t="shared" si="107"/>
        <v>0</v>
      </c>
      <c r="S60" s="161">
        <v>86879.8</v>
      </c>
      <c r="T60" s="104">
        <f t="shared" ref="T60:T64" si="123">D60/9.80665</f>
        <v>86879.821345719494</v>
      </c>
      <c r="U60" s="99">
        <f t="shared" ref="U60:U64" si="124">S60-T60</f>
        <v>-2.1345719491364434E-2</v>
      </c>
      <c r="V60" s="52">
        <f t="shared" si="108"/>
        <v>-2.4569248832158334E-5</v>
      </c>
      <c r="W60" s="161">
        <v>0.85199999999999998</v>
      </c>
      <c r="X60" s="104">
        <f t="shared" ref="X60:X64" si="125">D60/1000000</f>
        <v>0.85199999999999998</v>
      </c>
      <c r="Y60" s="99">
        <f t="shared" ref="Y60:Y64" si="126">W60-X60</f>
        <v>0</v>
      </c>
      <c r="Z60" s="52">
        <f t="shared" si="109"/>
        <v>0</v>
      </c>
      <c r="AA60" s="161">
        <v>123.572</v>
      </c>
      <c r="AB60" s="104">
        <f t="shared" ref="AB60:AB64" si="127">D60* 0.0001450377</f>
        <v>123.5721204</v>
      </c>
      <c r="AC60" s="99">
        <f t="shared" ref="AC60:AC64" si="128">AA60-AB60</f>
        <v>-1.2040000000013151E-4</v>
      </c>
      <c r="AD60" s="52">
        <f t="shared" si="110"/>
        <v>-9.7432980522143336E-5</v>
      </c>
      <c r="AE60" s="161">
        <v>6390.52</v>
      </c>
      <c r="AF60" s="104">
        <f t="shared" ref="AF60:AF64" si="129">D60*0.007500616</f>
        <v>6390.5248320000001</v>
      </c>
      <c r="AG60" s="99">
        <f t="shared" ref="AG60:AG64" si="130">AE60-AF60</f>
        <v>-4.8319999996238039E-3</v>
      </c>
      <c r="AH60" s="153">
        <f t="shared" si="111"/>
        <v>-7.5611943097818541E-5</v>
      </c>
      <c r="AI60" s="161">
        <v>8520</v>
      </c>
      <c r="AJ60" s="104">
        <v>8520</v>
      </c>
      <c r="AK60" s="99">
        <f t="shared" ref="AK60:AK64" si="131">AI60-AJ60</f>
        <v>0</v>
      </c>
      <c r="AL60" s="153">
        <f t="shared" si="112"/>
        <v>0</v>
      </c>
      <c r="AM60" s="161">
        <v>3420.47</v>
      </c>
      <c r="AN60" s="104">
        <v>3420.4654073117899</v>
      </c>
      <c r="AO60" s="99">
        <f t="shared" ref="AO60:AO64" si="132">AM60-AN60</f>
        <v>4.5926882098683564E-3</v>
      </c>
      <c r="AP60" s="153">
        <f t="shared" si="113"/>
        <v>1.3427085682699065E-4</v>
      </c>
      <c r="AQ60" s="161">
        <v>6390.52</v>
      </c>
      <c r="AR60" s="104">
        <v>6390.5248320000001</v>
      </c>
      <c r="AS60" s="99">
        <f t="shared" ref="AS60:AS64" si="133">AQ60-AR60</f>
        <v>-4.8319999996238039E-3</v>
      </c>
      <c r="AT60" s="153">
        <f t="shared" si="114"/>
        <v>-7.5611943097818541E-5</v>
      </c>
    </row>
    <row r="61" spans="2:46" x14ac:dyDescent="0.25">
      <c r="B61" s="32">
        <v>4123</v>
      </c>
      <c r="C61" s="161">
        <v>4123000</v>
      </c>
      <c r="D61" s="104">
        <f t="shared" si="115"/>
        <v>4123000</v>
      </c>
      <c r="E61" s="99">
        <f t="shared" si="116"/>
        <v>0</v>
      </c>
      <c r="F61" s="52">
        <f t="shared" si="104"/>
        <v>0</v>
      </c>
      <c r="G61" s="161">
        <v>42.042900000000003</v>
      </c>
      <c r="H61" s="104">
        <f t="shared" si="117"/>
        <v>42.042890679999999</v>
      </c>
      <c r="I61" s="99">
        <f t="shared" si="118"/>
        <v>9.3200000037541031E-6</v>
      </c>
      <c r="J61" s="52">
        <f t="shared" si="105"/>
        <v>2.2167838255202732E-5</v>
      </c>
      <c r="K61" s="161">
        <v>40.690800000000003</v>
      </c>
      <c r="L61" s="104">
        <f t="shared" si="119"/>
        <v>40.690847658999999</v>
      </c>
      <c r="M61" s="99">
        <f t="shared" si="120"/>
        <v>-4.7658999996258444E-5</v>
      </c>
      <c r="N61" s="52">
        <f t="shared" si="106"/>
        <v>-1.1712461828186376E-4</v>
      </c>
      <c r="O61" s="161">
        <v>41.23</v>
      </c>
      <c r="P61" s="104">
        <f t="shared" si="121"/>
        <v>41.23</v>
      </c>
      <c r="Q61" s="99">
        <f t="shared" si="122"/>
        <v>0</v>
      </c>
      <c r="R61" s="52">
        <f t="shared" si="107"/>
        <v>0</v>
      </c>
      <c r="S61" s="161">
        <v>420429</v>
      </c>
      <c r="T61" s="104">
        <f t="shared" si="123"/>
        <v>420428.99461079983</v>
      </c>
      <c r="U61" s="99">
        <f t="shared" si="124"/>
        <v>5.3892001742497087E-3</v>
      </c>
      <c r="V61" s="52">
        <f t="shared" si="108"/>
        <v>1.2818336136018896E-6</v>
      </c>
      <c r="W61" s="161">
        <v>4.1230000000000002</v>
      </c>
      <c r="X61" s="104">
        <f t="shared" si="125"/>
        <v>4.1230000000000002</v>
      </c>
      <c r="Y61" s="99">
        <f t="shared" si="126"/>
        <v>0</v>
      </c>
      <c r="Z61" s="52">
        <f t="shared" si="109"/>
        <v>0</v>
      </c>
      <c r="AA61" s="161">
        <v>597.99</v>
      </c>
      <c r="AB61" s="104">
        <f t="shared" si="127"/>
        <v>597.99043710000001</v>
      </c>
      <c r="AC61" s="99">
        <f t="shared" si="128"/>
        <v>-4.3709999999919091E-4</v>
      </c>
      <c r="AD61" s="52">
        <f t="shared" si="110"/>
        <v>-7.309481437846072E-5</v>
      </c>
      <c r="AE61" s="161">
        <v>30925</v>
      </c>
      <c r="AF61" s="104">
        <f t="shared" si="129"/>
        <v>30925.039767999999</v>
      </c>
      <c r="AG61" s="99">
        <f t="shared" si="130"/>
        <v>-3.9767999998730375E-2</v>
      </c>
      <c r="AH61" s="153">
        <f t="shared" si="111"/>
        <v>-1.2859482250328653E-4</v>
      </c>
      <c r="AI61" s="161">
        <v>41230</v>
      </c>
      <c r="AJ61" s="104">
        <v>41230</v>
      </c>
      <c r="AK61" s="99">
        <f t="shared" si="131"/>
        <v>0</v>
      </c>
      <c r="AL61" s="153">
        <f t="shared" si="112"/>
        <v>0</v>
      </c>
      <c r="AM61" s="161">
        <v>16552.3</v>
      </c>
      <c r="AN61" s="104">
        <v>16552.322622472399</v>
      </c>
      <c r="AO61" s="99">
        <f t="shared" si="132"/>
        <v>-2.2622472399234539E-2</v>
      </c>
      <c r="AP61" s="153">
        <f t="shared" si="113"/>
        <v>-1.3667249554766986E-4</v>
      </c>
      <c r="AQ61" s="161">
        <v>30925</v>
      </c>
      <c r="AR61" s="104">
        <v>30925.039767999999</v>
      </c>
      <c r="AS61" s="99">
        <f t="shared" si="133"/>
        <v>-3.9767999998730375E-2</v>
      </c>
      <c r="AT61" s="153">
        <f t="shared" si="114"/>
        <v>-1.2859482250328653E-4</v>
      </c>
    </row>
    <row r="62" spans="2:46" x14ac:dyDescent="0.25">
      <c r="B62" s="32">
        <v>774411225588</v>
      </c>
      <c r="C62" s="161">
        <v>774411225588000</v>
      </c>
      <c r="D62" s="104">
        <f t="shared" si="115"/>
        <v>774411225588000</v>
      </c>
      <c r="E62" s="99">
        <f t="shared" si="116"/>
        <v>0</v>
      </c>
      <c r="F62" s="52">
        <f t="shared" si="104"/>
        <v>0</v>
      </c>
      <c r="G62" s="161">
        <v>7896795173</v>
      </c>
      <c r="H62" s="104">
        <f t="shared" si="117"/>
        <v>7896795173.11693</v>
      </c>
      <c r="I62" s="99">
        <f t="shared" si="118"/>
        <v>-0.11693000793457031</v>
      </c>
      <c r="J62" s="52">
        <f t="shared" si="105"/>
        <v>-1.480727375741431E-9</v>
      </c>
      <c r="K62" s="161">
        <v>7642844823</v>
      </c>
      <c r="L62" s="104">
        <f t="shared" si="119"/>
        <v>7642844823.1435347</v>
      </c>
      <c r="M62" s="99">
        <f t="shared" si="120"/>
        <v>-0.14353466033935547</v>
      </c>
      <c r="N62" s="52">
        <f t="shared" si="106"/>
        <v>-1.8780266204635444E-9</v>
      </c>
      <c r="O62" s="161">
        <v>7744112256</v>
      </c>
      <c r="P62" s="104">
        <f t="shared" si="121"/>
        <v>7744112255.8800001</v>
      </c>
      <c r="Q62" s="99">
        <f t="shared" si="122"/>
        <v>0.11999988555908203</v>
      </c>
      <c r="R62" s="52">
        <f t="shared" si="107"/>
        <v>1.5495628368244241E-9</v>
      </c>
      <c r="S62" s="161">
        <v>78967968224419</v>
      </c>
      <c r="T62" s="104">
        <f t="shared" si="123"/>
        <v>78967968224419.156</v>
      </c>
      <c r="U62" s="99">
        <f t="shared" si="124"/>
        <v>-0.15625</v>
      </c>
      <c r="V62" s="52">
        <f t="shared" si="108"/>
        <v>-1.9786503757568251E-13</v>
      </c>
      <c r="W62" s="161">
        <v>774411226</v>
      </c>
      <c r="X62" s="104">
        <f t="shared" si="125"/>
        <v>774411225.58800006</v>
      </c>
      <c r="Y62" s="99">
        <f t="shared" si="126"/>
        <v>0.41199994087219238</v>
      </c>
      <c r="Z62" s="52">
        <f t="shared" si="109"/>
        <v>5.3201700499546137E-8</v>
      </c>
      <c r="AA62" s="161">
        <v>112318823013</v>
      </c>
      <c r="AB62" s="104">
        <f t="shared" si="127"/>
        <v>112318823013.46468</v>
      </c>
      <c r="AC62" s="99">
        <f t="shared" si="128"/>
        <v>-0.4646759033203125</v>
      </c>
      <c r="AD62" s="52">
        <f t="shared" si="110"/>
        <v>-4.1371151411069149E-10</v>
      </c>
      <c r="AE62" s="161">
        <v>5808561229225</v>
      </c>
      <c r="AF62" s="104">
        <f t="shared" si="129"/>
        <v>5808561229224.9619</v>
      </c>
      <c r="AG62" s="99">
        <f t="shared" si="130"/>
        <v>3.80859375E-2</v>
      </c>
      <c r="AH62" s="153">
        <f t="shared" si="111"/>
        <v>6.55686253393972E-13</v>
      </c>
      <c r="AI62" s="161">
        <v>7744112255880</v>
      </c>
      <c r="AJ62" s="104">
        <v>7744112255880</v>
      </c>
      <c r="AK62" s="99">
        <f t="shared" si="131"/>
        <v>0</v>
      </c>
      <c r="AL62" s="153">
        <f t="shared" si="112"/>
        <v>0</v>
      </c>
      <c r="AM62" s="161">
        <v>3108975126946</v>
      </c>
      <c r="AN62" s="104">
        <v>3108975126945.6299</v>
      </c>
      <c r="AO62" s="99">
        <f t="shared" si="132"/>
        <v>0.3701171875</v>
      </c>
      <c r="AP62" s="153">
        <f t="shared" si="113"/>
        <v>1.1904797317037933E-11</v>
      </c>
      <c r="AQ62" s="161">
        <v>5808561229225</v>
      </c>
      <c r="AR62" s="104">
        <v>5808561229224.9619</v>
      </c>
      <c r="AS62" s="99">
        <f t="shared" si="133"/>
        <v>3.80859375E-2</v>
      </c>
      <c r="AT62" s="153">
        <f t="shared" si="114"/>
        <v>6.55686253393972E-13</v>
      </c>
    </row>
    <row r="63" spans="2:46" x14ac:dyDescent="0.25">
      <c r="B63" s="105">
        <v>0.98699999999999999</v>
      </c>
      <c r="C63" s="159">
        <v>987</v>
      </c>
      <c r="D63" s="104">
        <f t="shared" si="115"/>
        <v>987</v>
      </c>
      <c r="E63" s="99">
        <f t="shared" si="116"/>
        <v>0</v>
      </c>
      <c r="F63" s="52">
        <f t="shared" si="104"/>
        <v>0</v>
      </c>
      <c r="G63" s="161">
        <v>1.00646E-2</v>
      </c>
      <c r="H63" s="104">
        <f t="shared" si="117"/>
        <v>1.006459692E-2</v>
      </c>
      <c r="I63" s="99">
        <f t="shared" si="118"/>
        <v>3.0799999998359917E-9</v>
      </c>
      <c r="J63" s="52">
        <f t="shared" si="105"/>
        <v>3.0602318446708262E-5</v>
      </c>
      <c r="K63" s="161">
        <v>9.7409300000000001E-3</v>
      </c>
      <c r="L63" s="104">
        <f t="shared" si="119"/>
        <v>9.7409329709999999E-3</v>
      </c>
      <c r="M63" s="99">
        <f t="shared" si="120"/>
        <v>-2.9709999998378533E-9</v>
      </c>
      <c r="N63" s="52">
        <f t="shared" si="106"/>
        <v>-3.0500158544185649E-5</v>
      </c>
      <c r="O63" s="161">
        <v>9.8700000000000003E-3</v>
      </c>
      <c r="P63" s="104">
        <f t="shared" si="121"/>
        <v>9.8700000000000003E-3</v>
      </c>
      <c r="Q63" s="99">
        <f t="shared" si="122"/>
        <v>0</v>
      </c>
      <c r="R63" s="52">
        <f t="shared" si="107"/>
        <v>0</v>
      </c>
      <c r="S63" s="161">
        <v>100.646</v>
      </c>
      <c r="T63" s="104">
        <f t="shared" si="123"/>
        <v>100.64599022092152</v>
      </c>
      <c r="U63" s="99">
        <f t="shared" si="124"/>
        <v>9.7790784820972476E-6</v>
      </c>
      <c r="V63" s="52">
        <f t="shared" si="108"/>
        <v>9.7163120563788212E-6</v>
      </c>
      <c r="W63" s="161">
        <v>9.8700000000000003E-4</v>
      </c>
      <c r="X63" s="104">
        <f t="shared" si="125"/>
        <v>9.8700000000000003E-4</v>
      </c>
      <c r="Y63" s="99">
        <f t="shared" si="126"/>
        <v>0</v>
      </c>
      <c r="Z63" s="52">
        <f t="shared" si="109"/>
        <v>0</v>
      </c>
      <c r="AA63" s="161">
        <v>0.143152</v>
      </c>
      <c r="AB63" s="104">
        <f t="shared" si="127"/>
        <v>0.14315220990000002</v>
      </c>
      <c r="AC63" s="99">
        <f t="shared" si="128"/>
        <v>-2.0990000001996911E-7</v>
      </c>
      <c r="AD63" s="52">
        <f t="shared" si="110"/>
        <v>-1.4662714614506911E-4</v>
      </c>
      <c r="AE63" s="161">
        <v>7.4031099999999999</v>
      </c>
      <c r="AF63" s="104">
        <f t="shared" si="129"/>
        <v>7.4031079919999998</v>
      </c>
      <c r="AG63" s="99">
        <f t="shared" si="130"/>
        <v>2.0080000000533005E-6</v>
      </c>
      <c r="AH63" s="153">
        <f t="shared" si="111"/>
        <v>2.7123743193037301E-5</v>
      </c>
      <c r="AI63" s="161">
        <v>9.8699999999999992</v>
      </c>
      <c r="AJ63" s="104">
        <v>9.8699999999999992</v>
      </c>
      <c r="AK63" s="99">
        <f t="shared" si="131"/>
        <v>0</v>
      </c>
      <c r="AL63" s="153">
        <f t="shared" si="112"/>
        <v>0</v>
      </c>
      <c r="AM63" s="161">
        <v>3.96244</v>
      </c>
      <c r="AN63" s="104">
        <v>3.9624405598788002</v>
      </c>
      <c r="AO63" s="99">
        <f t="shared" si="132"/>
        <v>-5.5987880021035608E-7</v>
      </c>
      <c r="AP63" s="153">
        <f t="shared" si="113"/>
        <v>-1.4129645397822225E-5</v>
      </c>
      <c r="AQ63" s="161">
        <v>7.4031099999999999</v>
      </c>
      <c r="AR63" s="104">
        <v>7.4031079919999998</v>
      </c>
      <c r="AS63" s="99">
        <f t="shared" si="133"/>
        <v>2.0080000000533005E-6</v>
      </c>
      <c r="AT63" s="153">
        <f t="shared" si="114"/>
        <v>2.7123743193037301E-5</v>
      </c>
    </row>
    <row r="64" spans="2:46" ht="15.75" thickBot="1" x14ac:dyDescent="0.3">
      <c r="B64" s="34">
        <v>-852</v>
      </c>
      <c r="C64" s="235">
        <v>-852000</v>
      </c>
      <c r="D64" s="160">
        <f t="shared" si="115"/>
        <v>-852000</v>
      </c>
      <c r="E64" s="101">
        <f t="shared" si="116"/>
        <v>0</v>
      </c>
      <c r="F64" s="57">
        <f t="shared" si="104"/>
        <v>0</v>
      </c>
      <c r="G64" s="235">
        <v>-8.6879799999999996</v>
      </c>
      <c r="H64" s="160">
        <f t="shared" si="117"/>
        <v>-8.6879803199999994</v>
      </c>
      <c r="I64" s="101">
        <f t="shared" si="118"/>
        <v>3.1999999983156613E-7</v>
      </c>
      <c r="J64" s="57">
        <f t="shared" si="105"/>
        <v>-3.6832495936358905E-6</v>
      </c>
      <c r="K64" s="235">
        <v>-8.4085900000000002</v>
      </c>
      <c r="L64" s="160">
        <f t="shared" si="119"/>
        <v>-8.4085865159999997</v>
      </c>
      <c r="M64" s="101">
        <f t="shared" si="120"/>
        <v>-3.4840000004976446E-6</v>
      </c>
      <c r="N64" s="57">
        <f t="shared" si="106"/>
        <v>4.1433836636731168E-5</v>
      </c>
      <c r="O64" s="235">
        <v>-8.52</v>
      </c>
      <c r="P64" s="160">
        <f t="shared" si="121"/>
        <v>-8.52</v>
      </c>
      <c r="Q64" s="101">
        <f t="shared" si="122"/>
        <v>0</v>
      </c>
      <c r="R64" s="57">
        <f t="shared" si="107"/>
        <v>0</v>
      </c>
      <c r="S64" s="235">
        <v>-86879.8</v>
      </c>
      <c r="T64" s="160">
        <f t="shared" si="123"/>
        <v>-86879.821345719494</v>
      </c>
      <c r="U64" s="101">
        <f t="shared" si="124"/>
        <v>2.1345719491364434E-2</v>
      </c>
      <c r="V64" s="57">
        <f t="shared" si="108"/>
        <v>-2.4569248832158334E-5</v>
      </c>
      <c r="W64" s="235">
        <v>-0.85199999999999998</v>
      </c>
      <c r="X64" s="160">
        <f t="shared" si="125"/>
        <v>-0.85199999999999998</v>
      </c>
      <c r="Y64" s="101">
        <f t="shared" si="126"/>
        <v>0</v>
      </c>
      <c r="Z64" s="57">
        <f t="shared" si="109"/>
        <v>0</v>
      </c>
      <c r="AA64" s="235">
        <v>-123.572</v>
      </c>
      <c r="AB64" s="160">
        <f t="shared" si="127"/>
        <v>-123.5721204</v>
      </c>
      <c r="AC64" s="101">
        <f t="shared" si="128"/>
        <v>1.2040000000013151E-4</v>
      </c>
      <c r="AD64" s="57">
        <f t="shared" si="110"/>
        <v>-9.7432980522143336E-5</v>
      </c>
      <c r="AE64" s="235">
        <v>-6390.52</v>
      </c>
      <c r="AF64" s="160">
        <f t="shared" si="129"/>
        <v>-6390.5248320000001</v>
      </c>
      <c r="AG64" s="101">
        <f t="shared" si="130"/>
        <v>4.8319999996238039E-3</v>
      </c>
      <c r="AH64" s="163">
        <f t="shared" si="111"/>
        <v>-7.5611943097818541E-5</v>
      </c>
      <c r="AI64" s="235">
        <v>-8520</v>
      </c>
      <c r="AJ64" s="160">
        <v>-8520</v>
      </c>
      <c r="AK64" s="101">
        <f t="shared" si="131"/>
        <v>0</v>
      </c>
      <c r="AL64" s="163">
        <f t="shared" si="112"/>
        <v>0</v>
      </c>
      <c r="AM64" s="235">
        <v>-3420.47</v>
      </c>
      <c r="AN64" s="160">
        <v>-3420.4654073117899</v>
      </c>
      <c r="AO64" s="101">
        <f t="shared" si="132"/>
        <v>-4.5926882098683564E-3</v>
      </c>
      <c r="AP64" s="163">
        <f t="shared" si="113"/>
        <v>1.3427085682699065E-4</v>
      </c>
      <c r="AQ64" s="235">
        <v>-6390.52</v>
      </c>
      <c r="AR64" s="160">
        <v>-6390.5248320000001</v>
      </c>
      <c r="AS64" s="101">
        <f t="shared" si="133"/>
        <v>4.8319999996238039E-3</v>
      </c>
      <c r="AT64" s="163">
        <f t="shared" si="114"/>
        <v>-7.5611943097818541E-5</v>
      </c>
    </row>
    <row r="65" spans="2:46" ht="15.75" thickBot="1" x14ac:dyDescent="0.3">
      <c r="C65" s="165"/>
      <c r="D65" s="165"/>
      <c r="E65" s="164"/>
      <c r="F65" s="164"/>
      <c r="G65" s="165"/>
      <c r="H65" s="165"/>
      <c r="I65" s="164"/>
      <c r="J65" s="164"/>
      <c r="K65" s="165"/>
      <c r="L65" s="165"/>
      <c r="M65" s="164"/>
      <c r="N65" s="164"/>
      <c r="O65" s="165"/>
      <c r="P65" s="165"/>
      <c r="Q65" s="164"/>
      <c r="R65" s="164"/>
      <c r="S65" s="165"/>
      <c r="T65" s="165"/>
      <c r="U65" s="164"/>
      <c r="V65" s="164"/>
      <c r="W65" s="165"/>
      <c r="X65" s="165"/>
      <c r="Y65" s="164"/>
      <c r="Z65" s="164"/>
      <c r="AA65" s="165"/>
      <c r="AB65" s="165"/>
      <c r="AC65" s="164"/>
      <c r="AD65" s="164"/>
      <c r="AE65" s="165"/>
      <c r="AF65" s="165"/>
      <c r="AG65" s="164"/>
      <c r="AH65" s="164"/>
      <c r="AQ65" s="165"/>
      <c r="AR65" s="165"/>
      <c r="AS65" s="164"/>
      <c r="AT65" s="164"/>
    </row>
    <row r="66" spans="2:46" x14ac:dyDescent="0.25">
      <c r="B66" s="341" t="s">
        <v>10</v>
      </c>
      <c r="C66" s="166" t="s">
        <v>14</v>
      </c>
      <c r="D66" s="168" t="s">
        <v>14</v>
      </c>
      <c r="E66" s="343" t="s">
        <v>354</v>
      </c>
      <c r="F66" s="352" t="s">
        <v>355</v>
      </c>
      <c r="G66" s="166" t="s">
        <v>14</v>
      </c>
      <c r="H66" s="168" t="s">
        <v>14</v>
      </c>
      <c r="I66" s="343" t="s">
        <v>354</v>
      </c>
      <c r="J66" s="352" t="s">
        <v>355</v>
      </c>
      <c r="K66" s="166" t="s">
        <v>14</v>
      </c>
      <c r="L66" s="168" t="s">
        <v>14</v>
      </c>
      <c r="M66" s="343" t="s">
        <v>354</v>
      </c>
      <c r="N66" s="352" t="s">
        <v>355</v>
      </c>
      <c r="O66" s="166" t="s">
        <v>14</v>
      </c>
      <c r="P66" s="168" t="s">
        <v>14</v>
      </c>
      <c r="Q66" s="343" t="s">
        <v>354</v>
      </c>
      <c r="R66" s="352" t="s">
        <v>355</v>
      </c>
      <c r="S66" s="166" t="s">
        <v>14</v>
      </c>
      <c r="T66" s="168" t="s">
        <v>14</v>
      </c>
      <c r="U66" s="343" t="s">
        <v>354</v>
      </c>
      <c r="V66" s="352" t="s">
        <v>355</v>
      </c>
      <c r="W66" s="166" t="s">
        <v>14</v>
      </c>
      <c r="X66" s="168" t="s">
        <v>14</v>
      </c>
      <c r="Y66" s="343" t="s">
        <v>354</v>
      </c>
      <c r="Z66" s="352" t="s">
        <v>355</v>
      </c>
      <c r="AA66" s="166" t="s">
        <v>14</v>
      </c>
      <c r="AB66" s="168" t="s">
        <v>14</v>
      </c>
      <c r="AC66" s="343" t="s">
        <v>354</v>
      </c>
      <c r="AD66" s="352" t="s">
        <v>355</v>
      </c>
      <c r="AE66" s="166" t="s">
        <v>14</v>
      </c>
      <c r="AF66" s="168" t="s">
        <v>14</v>
      </c>
      <c r="AG66" s="343" t="s">
        <v>354</v>
      </c>
      <c r="AH66" s="357" t="s">
        <v>355</v>
      </c>
      <c r="AI66" s="166" t="s">
        <v>14</v>
      </c>
      <c r="AJ66" s="168" t="s">
        <v>14</v>
      </c>
      <c r="AK66" s="343" t="s">
        <v>354</v>
      </c>
      <c r="AL66" s="357" t="s">
        <v>355</v>
      </c>
      <c r="AM66" s="166" t="s">
        <v>14</v>
      </c>
      <c r="AN66" s="168" t="s">
        <v>14</v>
      </c>
      <c r="AO66" s="343" t="s">
        <v>354</v>
      </c>
      <c r="AP66" s="357" t="s">
        <v>355</v>
      </c>
      <c r="AQ66" s="166" t="s">
        <v>14</v>
      </c>
      <c r="AR66" s="168" t="s">
        <v>14</v>
      </c>
      <c r="AS66" s="343" t="s">
        <v>354</v>
      </c>
      <c r="AT66" s="357" t="s">
        <v>355</v>
      </c>
    </row>
    <row r="67" spans="2:46" ht="15.75" thickBot="1" x14ac:dyDescent="0.3">
      <c r="B67" s="342"/>
      <c r="C67" s="167" t="s">
        <v>290</v>
      </c>
      <c r="D67" s="169" t="s">
        <v>291</v>
      </c>
      <c r="E67" s="344"/>
      <c r="F67" s="353"/>
      <c r="G67" s="167" t="s">
        <v>290</v>
      </c>
      <c r="H67" s="169" t="s">
        <v>291</v>
      </c>
      <c r="I67" s="344"/>
      <c r="J67" s="353"/>
      <c r="K67" s="167" t="s">
        <v>290</v>
      </c>
      <c r="L67" s="169" t="s">
        <v>291</v>
      </c>
      <c r="M67" s="344"/>
      <c r="N67" s="353"/>
      <c r="O67" s="167" t="s">
        <v>290</v>
      </c>
      <c r="P67" s="169" t="s">
        <v>291</v>
      </c>
      <c r="Q67" s="344"/>
      <c r="R67" s="353"/>
      <c r="S67" s="167" t="s">
        <v>290</v>
      </c>
      <c r="T67" s="169" t="s">
        <v>291</v>
      </c>
      <c r="U67" s="344"/>
      <c r="V67" s="353"/>
      <c r="W67" s="167" t="s">
        <v>290</v>
      </c>
      <c r="X67" s="169" t="s">
        <v>291</v>
      </c>
      <c r="Y67" s="344"/>
      <c r="Z67" s="353"/>
      <c r="AA67" s="167" t="s">
        <v>290</v>
      </c>
      <c r="AB67" s="169" t="s">
        <v>291</v>
      </c>
      <c r="AC67" s="344"/>
      <c r="AD67" s="353"/>
      <c r="AE67" s="167" t="s">
        <v>290</v>
      </c>
      <c r="AF67" s="169" t="s">
        <v>291</v>
      </c>
      <c r="AG67" s="344"/>
      <c r="AH67" s="358"/>
      <c r="AI67" s="167" t="s">
        <v>290</v>
      </c>
      <c r="AJ67" s="169" t="s">
        <v>291</v>
      </c>
      <c r="AK67" s="344"/>
      <c r="AL67" s="358"/>
      <c r="AM67" s="167" t="s">
        <v>290</v>
      </c>
      <c r="AN67" s="169" t="s">
        <v>291</v>
      </c>
      <c r="AO67" s="344"/>
      <c r="AP67" s="358"/>
      <c r="AQ67" s="167" t="s">
        <v>290</v>
      </c>
      <c r="AR67" s="169" t="s">
        <v>291</v>
      </c>
      <c r="AS67" s="344"/>
      <c r="AT67" s="358"/>
    </row>
    <row r="68" spans="2:46" ht="15.75" thickBot="1" x14ac:dyDescent="0.3">
      <c r="B68" s="346" t="s">
        <v>23</v>
      </c>
      <c r="C68" s="363" t="s">
        <v>18</v>
      </c>
      <c r="D68" s="177" t="s">
        <v>18</v>
      </c>
      <c r="E68" s="344"/>
      <c r="F68" s="354"/>
      <c r="G68" s="363" t="s">
        <v>19</v>
      </c>
      <c r="H68" s="177" t="s">
        <v>19</v>
      </c>
      <c r="I68" s="344"/>
      <c r="J68" s="354"/>
      <c r="K68" s="363" t="s">
        <v>20</v>
      </c>
      <c r="L68" s="177" t="s">
        <v>20</v>
      </c>
      <c r="M68" s="344"/>
      <c r="N68" s="354"/>
      <c r="O68" s="363" t="s">
        <v>21</v>
      </c>
      <c r="P68" s="240" t="s">
        <v>21</v>
      </c>
      <c r="Q68" s="344"/>
      <c r="R68" s="354"/>
      <c r="S68" s="363" t="s">
        <v>22</v>
      </c>
      <c r="T68" s="177" t="s">
        <v>22</v>
      </c>
      <c r="U68" s="344"/>
      <c r="V68" s="354"/>
      <c r="W68" s="363" t="s">
        <v>24</v>
      </c>
      <c r="X68" s="177" t="s">
        <v>24</v>
      </c>
      <c r="Y68" s="344"/>
      <c r="Z68" s="354"/>
      <c r="AA68" s="363" t="s">
        <v>25</v>
      </c>
      <c r="AB68" s="177" t="s">
        <v>25</v>
      </c>
      <c r="AC68" s="344"/>
      <c r="AD68" s="354"/>
      <c r="AE68" s="363" t="s">
        <v>26</v>
      </c>
      <c r="AF68" s="225" t="s">
        <v>26</v>
      </c>
      <c r="AG68" s="344"/>
      <c r="AH68" s="358"/>
      <c r="AI68" s="346" t="s">
        <v>681</v>
      </c>
      <c r="AJ68" s="17" t="s">
        <v>681</v>
      </c>
      <c r="AK68" s="344"/>
      <c r="AL68" s="358"/>
      <c r="AM68" s="346" t="s">
        <v>700</v>
      </c>
      <c r="AN68" s="17" t="s">
        <v>700</v>
      </c>
      <c r="AO68" s="344"/>
      <c r="AP68" s="358"/>
      <c r="AQ68" s="346" t="s">
        <v>721</v>
      </c>
      <c r="AR68" s="17" t="s">
        <v>721</v>
      </c>
      <c r="AS68" s="344"/>
      <c r="AT68" s="358"/>
    </row>
    <row r="69" spans="2:46" ht="35.25" thickBot="1" x14ac:dyDescent="0.3">
      <c r="B69" s="347"/>
      <c r="C69" s="364"/>
      <c r="D69" s="236" t="s">
        <v>311</v>
      </c>
      <c r="E69" s="345"/>
      <c r="F69" s="345"/>
      <c r="G69" s="364"/>
      <c r="H69" s="237" t="s">
        <v>312</v>
      </c>
      <c r="I69" s="345"/>
      <c r="J69" s="345"/>
      <c r="K69" s="364"/>
      <c r="L69" s="237" t="s">
        <v>313</v>
      </c>
      <c r="M69" s="345"/>
      <c r="N69" s="345"/>
      <c r="O69" s="364"/>
      <c r="P69" s="237" t="s">
        <v>314</v>
      </c>
      <c r="Q69" s="345"/>
      <c r="R69" s="345"/>
      <c r="S69" s="364"/>
      <c r="T69" s="237" t="s">
        <v>315</v>
      </c>
      <c r="U69" s="345"/>
      <c r="V69" s="345"/>
      <c r="W69" s="364"/>
      <c r="X69" s="237" t="s">
        <v>316</v>
      </c>
      <c r="Y69" s="345"/>
      <c r="Z69" s="345"/>
      <c r="AA69" s="364"/>
      <c r="AB69" s="237" t="s">
        <v>317</v>
      </c>
      <c r="AC69" s="345"/>
      <c r="AD69" s="345"/>
      <c r="AE69" s="364"/>
      <c r="AF69" s="237" t="s">
        <v>318</v>
      </c>
      <c r="AG69" s="345"/>
      <c r="AH69" s="359"/>
      <c r="AI69" s="347"/>
      <c r="AJ69" s="237" t="s">
        <v>687</v>
      </c>
      <c r="AK69" s="345"/>
      <c r="AL69" s="359"/>
      <c r="AM69" s="347"/>
      <c r="AN69" s="237" t="s">
        <v>706</v>
      </c>
      <c r="AO69" s="345"/>
      <c r="AP69" s="359"/>
      <c r="AQ69" s="347"/>
      <c r="AR69" s="237" t="s">
        <v>727</v>
      </c>
      <c r="AS69" s="345"/>
      <c r="AT69" s="359"/>
    </row>
    <row r="70" spans="2:46" x14ac:dyDescent="0.25">
      <c r="B70" s="95">
        <v>1</v>
      </c>
      <c r="C70" s="234">
        <v>9.8066499999999994</v>
      </c>
      <c r="D70" s="106">
        <f>B70*9.80665</f>
        <v>9.8066499999999994</v>
      </c>
      <c r="E70" s="100">
        <f>C70-D70</f>
        <v>0</v>
      </c>
      <c r="F70" s="54">
        <f t="shared" ref="F70:F75" si="134">(100*E70)/D70</f>
        <v>0</v>
      </c>
      <c r="G70" s="234">
        <v>9.9999979114000003E-5</v>
      </c>
      <c r="H70" s="106">
        <f>D70*0.00001019716</f>
        <v>9.999997911399999E-5</v>
      </c>
      <c r="I70" s="100">
        <f>G70-H70</f>
        <v>0</v>
      </c>
      <c r="J70" s="54">
        <f t="shared" ref="J70:J75" si="135">(100*I70)/H70</f>
        <v>0</v>
      </c>
      <c r="K70" s="234">
        <v>9.6784113799449993E-5</v>
      </c>
      <c r="L70" s="106">
        <f>D70*0.000009869233</f>
        <v>9.6784113799449993E-5</v>
      </c>
      <c r="M70" s="100">
        <f>K70-L70</f>
        <v>0</v>
      </c>
      <c r="N70" s="54">
        <f t="shared" ref="N70:N75" si="136">(100*M70)/L70</f>
        <v>0</v>
      </c>
      <c r="O70" s="234">
        <v>9.80665E-5</v>
      </c>
      <c r="P70" s="106">
        <f>D70/100000</f>
        <v>9.80665E-5</v>
      </c>
      <c r="Q70" s="100">
        <f>O70-P70</f>
        <v>0</v>
      </c>
      <c r="R70" s="54">
        <f t="shared" ref="R70:R75" si="137">(100*Q70)/P70</f>
        <v>0</v>
      </c>
      <c r="S70" s="234">
        <v>9.8066500000000001E-3</v>
      </c>
      <c r="T70" s="106">
        <f>D70/1000</f>
        <v>9.8066500000000001E-3</v>
      </c>
      <c r="U70" s="100">
        <f>S70-T70</f>
        <v>0</v>
      </c>
      <c r="V70" s="54">
        <f t="shared" ref="V70:V75" si="138">(100*U70)/T70</f>
        <v>0</v>
      </c>
      <c r="W70" s="234">
        <v>9.8066500000000004E-6</v>
      </c>
      <c r="X70" s="106">
        <f>D70/1000000</f>
        <v>9.8066499999999987E-6</v>
      </c>
      <c r="Y70" s="100">
        <f>W70-X70</f>
        <v>0</v>
      </c>
      <c r="Z70" s="54">
        <f t="shared" ref="Z70:Z75" si="139">(100*Y70)/X70</f>
        <v>0</v>
      </c>
      <c r="AA70" s="234">
        <v>1.4223300000000001E-3</v>
      </c>
      <c r="AB70" s="106">
        <f>D70*0.0001450377</f>
        <v>1.4223339607049999E-3</v>
      </c>
      <c r="AC70" s="100">
        <f>AA70-AB70</f>
        <v>-3.9607049998665461E-9</v>
      </c>
      <c r="AD70" s="54">
        <f t="shared" ref="AD70:AD75" si="140">(100*AC70)/AB70</f>
        <v>-2.784651923732009E-4</v>
      </c>
      <c r="AE70" s="234">
        <v>7.3555899999999994E-2</v>
      </c>
      <c r="AF70" s="106">
        <f>D70*0.007500616</f>
        <v>7.3555915896399995E-2</v>
      </c>
      <c r="AG70" s="100">
        <f>AE70-AF70</f>
        <v>-1.5896400001880195E-8</v>
      </c>
      <c r="AH70" s="162">
        <f t="shared" ref="AH70:AH75" si="141">(100*AG70)/AF70</f>
        <v>-2.1611314070603807E-5</v>
      </c>
      <c r="AI70" s="234">
        <v>9.8066500000000001E-2</v>
      </c>
      <c r="AJ70" s="106">
        <v>9.80655E-2</v>
      </c>
      <c r="AK70" s="100">
        <f>AI70-AJ70</f>
        <v>1.0000000000010001E-6</v>
      </c>
      <c r="AL70" s="162">
        <f t="shared" ref="AL70:AL75" si="142">(100*AK70)/AJ70</f>
        <v>1.0197266112965315E-3</v>
      </c>
      <c r="AM70" s="234">
        <v>3.9370099999999998E-2</v>
      </c>
      <c r="AN70" s="106">
        <v>3.9370078740157501E-2</v>
      </c>
      <c r="AO70" s="100">
        <f>AM70-AN70</f>
        <v>2.1259842497567405E-8</v>
      </c>
      <c r="AP70" s="162">
        <f t="shared" ref="AP70:AP75" si="143">(100*AO70)/AN70</f>
        <v>5.3999999943821181E-5</v>
      </c>
      <c r="AQ70" s="234">
        <v>7.3555899999999994E-2</v>
      </c>
      <c r="AR70" s="106">
        <v>7.3555915896399995E-2</v>
      </c>
      <c r="AS70" s="100">
        <f>AQ70-AR70</f>
        <v>-1.5896400001880195E-8</v>
      </c>
      <c r="AT70" s="162">
        <f t="shared" ref="AT70:AT75" si="144">(100*AS70)/AR70</f>
        <v>-2.1611314070603807E-5</v>
      </c>
    </row>
    <row r="71" spans="2:46" x14ac:dyDescent="0.25">
      <c r="B71" s="32">
        <v>852</v>
      </c>
      <c r="C71" s="161">
        <v>8355.27</v>
      </c>
      <c r="D71" s="104">
        <f t="shared" ref="D71:D75" si="145">B71*9.80665</f>
        <v>8355.2657999999992</v>
      </c>
      <c r="E71" s="99">
        <f t="shared" ref="E71:E75" si="146">C71-D71</f>
        <v>4.2000000012194505E-3</v>
      </c>
      <c r="F71" s="52">
        <f t="shared" si="134"/>
        <v>5.0267700654352027E-5</v>
      </c>
      <c r="G71" s="161">
        <v>8.5199999999999998E-2</v>
      </c>
      <c r="H71" s="104">
        <f t="shared" ref="H71:H75" si="147">D71*0.00001019716</f>
        <v>8.5199982205127991E-2</v>
      </c>
      <c r="I71" s="99">
        <f t="shared" ref="I71:I75" si="148">G71-H71</f>
        <v>1.7794872006482443E-8</v>
      </c>
      <c r="J71" s="52">
        <f t="shared" si="135"/>
        <v>2.0886004369859376E-5</v>
      </c>
      <c r="K71" s="161">
        <v>8.2460099999999995E-2</v>
      </c>
      <c r="L71" s="104">
        <f t="shared" ref="L71:L75" si="149">D71*0.000009869233</f>
        <v>8.2460064957131401E-2</v>
      </c>
      <c r="M71" s="99">
        <f t="shared" ref="M71:M75" si="150">K71-L71</f>
        <v>3.5042868593015974E-8</v>
      </c>
      <c r="N71" s="52">
        <f t="shared" si="136"/>
        <v>4.2496775392104949E-5</v>
      </c>
      <c r="O71" s="161">
        <v>8.3552699999999994E-2</v>
      </c>
      <c r="P71" s="104">
        <f t="shared" ref="P71:P75" si="151">D71/100000</f>
        <v>8.3552657999999988E-2</v>
      </c>
      <c r="Q71" s="99">
        <f t="shared" ref="Q71:Q75" si="152">O71-P71</f>
        <v>4.200000000564863E-8</v>
      </c>
      <c r="R71" s="52">
        <f t="shared" si="137"/>
        <v>5.0267700646517595E-5</v>
      </c>
      <c r="S71" s="161">
        <v>8.3552700000000009</v>
      </c>
      <c r="T71" s="104">
        <f t="shared" ref="T71:T75" si="153">D71/1000</f>
        <v>8.3552657999999997</v>
      </c>
      <c r="U71" s="99">
        <f t="shared" ref="U71:U75" si="154">S71-T71</f>
        <v>4.2000000011199745E-6</v>
      </c>
      <c r="V71" s="52">
        <f t="shared" si="138"/>
        <v>5.0267700653161444E-5</v>
      </c>
      <c r="W71" s="161">
        <v>8.3552699999999997E-3</v>
      </c>
      <c r="X71" s="104">
        <f t="shared" ref="X71:X75" si="155">D71/1000000</f>
        <v>8.3552657999999991E-3</v>
      </c>
      <c r="Y71" s="99">
        <f t="shared" ref="Y71:Y75" si="156">W71-X71</f>
        <v>4.200000000564863E-9</v>
      </c>
      <c r="Z71" s="52">
        <f t="shared" si="139"/>
        <v>5.0267700646517595E-5</v>
      </c>
      <c r="AA71" s="161">
        <v>1.21183</v>
      </c>
      <c r="AB71" s="104">
        <f t="shared" ref="AB71:AB75" si="157">D71*0.0001450377</f>
        <v>1.2118285345206599</v>
      </c>
      <c r="AC71" s="99">
        <f t="shared" ref="AC71:AC75" si="158">AA71-AB71</f>
        <v>1.4654793401014388E-6</v>
      </c>
      <c r="AD71" s="52">
        <f t="shared" si="140"/>
        <v>1.2093124549844923E-4</v>
      </c>
      <c r="AE71" s="161">
        <v>62.669600000000003</v>
      </c>
      <c r="AF71" s="104">
        <f t="shared" ref="AF71:AF75" si="159">D71*0.007500616</f>
        <v>62.669640343732794</v>
      </c>
      <c r="AG71" s="99">
        <f t="shared" ref="AG71:AG75" si="160">AE71-AF71</f>
        <v>-4.034373279182546E-5</v>
      </c>
      <c r="AH71" s="153">
        <f t="shared" si="141"/>
        <v>-6.4375242255335508E-5</v>
      </c>
      <c r="AI71" s="161">
        <v>83.552700000000002</v>
      </c>
      <c r="AJ71" s="104">
        <v>83.552657999999994</v>
      </c>
      <c r="AK71" s="99">
        <f t="shared" ref="AK71:AK75" si="161">AI71-AJ71</f>
        <v>4.2000000007647031E-5</v>
      </c>
      <c r="AL71" s="153">
        <f t="shared" si="142"/>
        <v>5.0267700648909379E-5</v>
      </c>
      <c r="AM71" s="161">
        <v>33.543300000000002</v>
      </c>
      <c r="AN71" s="104">
        <v>33.543307086614099</v>
      </c>
      <c r="AO71" s="99">
        <f t="shared" ref="AO71:AO75" si="162">AM71-AN71</f>
        <v>-7.0866140973180336E-6</v>
      </c>
      <c r="AP71" s="153">
        <f t="shared" si="143"/>
        <v>-2.1126760337074935E-5</v>
      </c>
      <c r="AQ71" s="161">
        <v>62.669600000000003</v>
      </c>
      <c r="AR71" s="104">
        <v>62.669640343732794</v>
      </c>
      <c r="AS71" s="99">
        <f t="shared" ref="AS71:AS75" si="163">AQ71-AR71</f>
        <v>-4.034373279182546E-5</v>
      </c>
      <c r="AT71" s="153">
        <f t="shared" si="144"/>
        <v>-6.4375242255335508E-5</v>
      </c>
    </row>
    <row r="72" spans="2:46" x14ac:dyDescent="0.25">
      <c r="B72" s="32">
        <v>4123</v>
      </c>
      <c r="C72" s="161">
        <v>40432.800000000003</v>
      </c>
      <c r="D72" s="104">
        <f t="shared" si="145"/>
        <v>40432.817949999997</v>
      </c>
      <c r="E72" s="99">
        <f t="shared" si="146"/>
        <v>-1.7949999994016252E-2</v>
      </c>
      <c r="F72" s="52">
        <f t="shared" si="134"/>
        <v>-4.4394630164569705E-5</v>
      </c>
      <c r="G72" s="161">
        <v>0.4123</v>
      </c>
      <c r="H72" s="104">
        <f t="shared" si="147"/>
        <v>0.41229991388702197</v>
      </c>
      <c r="I72" s="99">
        <f t="shared" si="148"/>
        <v>8.6112978026076092E-8</v>
      </c>
      <c r="J72" s="52">
        <f t="shared" si="135"/>
        <v>2.0886004368575417E-5</v>
      </c>
      <c r="K72" s="161">
        <v>0.39904099999999998</v>
      </c>
      <c r="L72" s="104">
        <f t="shared" si="149"/>
        <v>0.39904090119513236</v>
      </c>
      <c r="M72" s="99">
        <f t="shared" si="150"/>
        <v>9.8804867620927439E-8</v>
      </c>
      <c r="N72" s="52">
        <f t="shared" si="136"/>
        <v>2.4760586527597961E-5</v>
      </c>
      <c r="O72" s="161">
        <v>0.40432800000000002</v>
      </c>
      <c r="P72" s="104">
        <f t="shared" si="151"/>
        <v>0.4043281795</v>
      </c>
      <c r="Q72" s="99">
        <f t="shared" si="152"/>
        <v>-1.7949999997490806E-7</v>
      </c>
      <c r="R72" s="52">
        <f t="shared" si="137"/>
        <v>-4.4394630173163105E-5</v>
      </c>
      <c r="S72" s="161">
        <v>40.4328</v>
      </c>
      <c r="T72" s="104">
        <f t="shared" si="153"/>
        <v>40.43281795</v>
      </c>
      <c r="U72" s="99">
        <f t="shared" si="154"/>
        <v>-1.7950000000155342E-5</v>
      </c>
      <c r="V72" s="52">
        <f t="shared" si="138"/>
        <v>-4.439463017975313E-5</v>
      </c>
      <c r="W72" s="161">
        <v>4.0432799999999998E-2</v>
      </c>
      <c r="X72" s="104">
        <f t="shared" si="155"/>
        <v>4.0432817949999998E-2</v>
      </c>
      <c r="Y72" s="99">
        <f t="shared" si="156"/>
        <v>-1.7950000000266364E-8</v>
      </c>
      <c r="Z72" s="52">
        <f t="shared" si="139"/>
        <v>-4.4394630180027717E-5</v>
      </c>
      <c r="AA72" s="161">
        <v>5.8642799999999999</v>
      </c>
      <c r="AB72" s="104">
        <f t="shared" si="157"/>
        <v>5.8642829199867146</v>
      </c>
      <c r="AC72" s="99">
        <f t="shared" si="158"/>
        <v>-2.9199867146445513E-6</v>
      </c>
      <c r="AD72" s="52">
        <f t="shared" si="140"/>
        <v>-4.9792732623670321E-5</v>
      </c>
      <c r="AE72" s="161">
        <v>303.27100000000002</v>
      </c>
      <c r="AF72" s="104">
        <f t="shared" si="159"/>
        <v>303.27104124085719</v>
      </c>
      <c r="AG72" s="99">
        <f t="shared" si="160"/>
        <v>-4.124085717194248E-5</v>
      </c>
      <c r="AH72" s="153">
        <f t="shared" si="141"/>
        <v>-1.3598679584836814E-5</v>
      </c>
      <c r="AI72" s="161">
        <v>404.32799999999997</v>
      </c>
      <c r="AJ72" s="104">
        <v>404.32817949999998</v>
      </c>
      <c r="AK72" s="99">
        <f t="shared" si="161"/>
        <v>-1.7950000000155342E-4</v>
      </c>
      <c r="AL72" s="153">
        <f t="shared" si="142"/>
        <v>-4.4394630179753136E-5</v>
      </c>
      <c r="AM72" s="161">
        <v>162.32300000000001</v>
      </c>
      <c r="AN72" s="104">
        <v>162.32283464566899</v>
      </c>
      <c r="AO72" s="99">
        <f t="shared" si="162"/>
        <v>1.6535433101694252E-4</v>
      </c>
      <c r="AP72" s="153">
        <f t="shared" si="143"/>
        <v>1.0186757234611564E-4</v>
      </c>
      <c r="AQ72" s="161">
        <v>303.27100000000002</v>
      </c>
      <c r="AR72" s="104">
        <v>303.27104124085719</v>
      </c>
      <c r="AS72" s="99">
        <f t="shared" si="163"/>
        <v>-4.124085717194248E-5</v>
      </c>
      <c r="AT72" s="153">
        <f t="shared" si="144"/>
        <v>-1.3598679584836814E-5</v>
      </c>
    </row>
    <row r="73" spans="2:46" x14ac:dyDescent="0.25">
      <c r="B73" s="32">
        <v>774411225588</v>
      </c>
      <c r="C73" s="161">
        <v>7594379845413</v>
      </c>
      <c r="D73" s="104">
        <f t="shared" si="145"/>
        <v>7594379845412.5596</v>
      </c>
      <c r="E73" s="99">
        <f t="shared" si="146"/>
        <v>0.4404296875</v>
      </c>
      <c r="F73" s="52">
        <f t="shared" si="134"/>
        <v>5.7994161006582355E-12</v>
      </c>
      <c r="G73" s="161">
        <v>77441106</v>
      </c>
      <c r="H73" s="104">
        <f t="shared" si="147"/>
        <v>77441106.384447142</v>
      </c>
      <c r="I73" s="99">
        <f t="shared" si="148"/>
        <v>-0.38444714248180389</v>
      </c>
      <c r="J73" s="52">
        <f t="shared" si="135"/>
        <v>-4.9643808105382936E-7</v>
      </c>
      <c r="K73" s="161">
        <v>74950704</v>
      </c>
      <c r="L73" s="104">
        <f t="shared" si="149"/>
        <v>74950704.18488054</v>
      </c>
      <c r="M73" s="99">
        <f t="shared" si="150"/>
        <v>-0.18488053977489471</v>
      </c>
      <c r="N73" s="52">
        <f t="shared" si="136"/>
        <v>-2.4666951669840324E-7</v>
      </c>
      <c r="O73" s="161">
        <v>75943798</v>
      </c>
      <c r="P73" s="104">
        <f t="shared" si="151"/>
        <v>75943798.454125598</v>
      </c>
      <c r="Q73" s="99">
        <f t="shared" si="152"/>
        <v>-0.45412559807300568</v>
      </c>
      <c r="R73" s="52">
        <f t="shared" si="137"/>
        <v>-5.9797588126609646E-7</v>
      </c>
      <c r="S73" s="161">
        <v>7594379845</v>
      </c>
      <c r="T73" s="104">
        <f t="shared" si="153"/>
        <v>7594379845.4125595</v>
      </c>
      <c r="U73" s="99">
        <f t="shared" si="154"/>
        <v>-0.41255950927734375</v>
      </c>
      <c r="V73" s="52">
        <f t="shared" si="138"/>
        <v>-5.4324318466445069E-9</v>
      </c>
      <c r="W73" s="161">
        <v>7594380</v>
      </c>
      <c r="X73" s="104">
        <f t="shared" si="155"/>
        <v>7594379.8454125598</v>
      </c>
      <c r="Y73" s="99">
        <f t="shared" si="156"/>
        <v>0.15458744019269943</v>
      </c>
      <c r="Z73" s="52">
        <f t="shared" si="139"/>
        <v>2.035550543156978E-6</v>
      </c>
      <c r="AA73" s="161">
        <v>1101471386</v>
      </c>
      <c r="AB73" s="104">
        <f t="shared" si="157"/>
        <v>1101471385.7049932</v>
      </c>
      <c r="AC73" s="99">
        <f t="shared" si="158"/>
        <v>0.29500675201416016</v>
      </c>
      <c r="AD73" s="52">
        <f t="shared" si="140"/>
        <v>2.6782970110961352E-8</v>
      </c>
      <c r="AE73" s="161">
        <v>56962526979</v>
      </c>
      <c r="AF73" s="104">
        <f t="shared" si="159"/>
        <v>56962526978.578972</v>
      </c>
      <c r="AG73" s="99">
        <f t="shared" si="160"/>
        <v>0.42102813720703125</v>
      </c>
      <c r="AH73" s="153">
        <f t="shared" si="141"/>
        <v>7.3913177581703995E-10</v>
      </c>
      <c r="AI73" s="161">
        <v>75943798454</v>
      </c>
      <c r="AJ73" s="104">
        <v>75943798454.125595</v>
      </c>
      <c r="AK73" s="99">
        <f t="shared" si="161"/>
        <v>-0.1255950927734375</v>
      </c>
      <c r="AL73" s="153">
        <f t="shared" si="142"/>
        <v>-1.6537899779835759E-10</v>
      </c>
      <c r="AM73" s="161">
        <v>30488630929</v>
      </c>
      <c r="AN73" s="104">
        <v>30488630928.6614</v>
      </c>
      <c r="AO73" s="99">
        <f t="shared" si="162"/>
        <v>0.33860015869140625</v>
      </c>
      <c r="AP73" s="153">
        <f t="shared" si="143"/>
        <v>1.1105784299848601E-9</v>
      </c>
      <c r="AQ73" s="161">
        <v>56962526979</v>
      </c>
      <c r="AR73" s="104">
        <v>56962526978.578972</v>
      </c>
      <c r="AS73" s="99">
        <f t="shared" si="163"/>
        <v>0.42102813720703125</v>
      </c>
      <c r="AT73" s="153">
        <f t="shared" si="144"/>
        <v>7.3913177581703995E-10</v>
      </c>
    </row>
    <row r="74" spans="2:46" x14ac:dyDescent="0.25">
      <c r="B74" s="105">
        <v>0.98699999999999999</v>
      </c>
      <c r="C74" s="159">
        <v>9.6791599999999995</v>
      </c>
      <c r="D74" s="104">
        <f t="shared" si="145"/>
        <v>9.6791635500000002</v>
      </c>
      <c r="E74" s="99">
        <f t="shared" si="146"/>
        <v>-3.5500000006294385E-6</v>
      </c>
      <c r="F74" s="52">
        <f t="shared" si="134"/>
        <v>-3.6676722965688894E-5</v>
      </c>
      <c r="G74" s="161">
        <v>9.8699979385517996E-5</v>
      </c>
      <c r="H74" s="104">
        <f t="shared" si="147"/>
        <v>9.8699979385518009E-5</v>
      </c>
      <c r="I74" s="99">
        <f t="shared" si="148"/>
        <v>0</v>
      </c>
      <c r="J74" s="52">
        <f t="shared" si="135"/>
        <v>0</v>
      </c>
      <c r="K74" s="161">
        <v>9.5525920320057201E-5</v>
      </c>
      <c r="L74" s="104">
        <f t="shared" si="149"/>
        <v>9.552592032005716E-5</v>
      </c>
      <c r="M74" s="99">
        <f t="shared" si="150"/>
        <v>0</v>
      </c>
      <c r="N74" s="52">
        <f t="shared" si="136"/>
        <v>0</v>
      </c>
      <c r="O74" s="161">
        <v>9.6791635499999997E-5</v>
      </c>
      <c r="P74" s="104">
        <f t="shared" si="151"/>
        <v>9.6791635499999997E-5</v>
      </c>
      <c r="Q74" s="99">
        <f t="shared" si="152"/>
        <v>0</v>
      </c>
      <c r="R74" s="52">
        <f t="shared" si="137"/>
        <v>0</v>
      </c>
      <c r="S74" s="161">
        <v>9.6791599999999992E-3</v>
      </c>
      <c r="T74" s="104">
        <f t="shared" si="153"/>
        <v>9.6791635499999997E-3</v>
      </c>
      <c r="U74" s="99">
        <f t="shared" si="154"/>
        <v>-3.5500000005600496E-9</v>
      </c>
      <c r="V74" s="52">
        <f t="shared" si="138"/>
        <v>-3.6676722964972006E-5</v>
      </c>
      <c r="W74" s="161">
        <v>9.6791635499999997E-6</v>
      </c>
      <c r="X74" s="104">
        <f t="shared" si="155"/>
        <v>9.6791635499999997E-6</v>
      </c>
      <c r="Y74" s="99">
        <f t="shared" si="156"/>
        <v>0</v>
      </c>
      <c r="Z74" s="52">
        <f t="shared" si="139"/>
        <v>0</v>
      </c>
      <c r="AA74" s="161">
        <v>1.4038399999999999E-3</v>
      </c>
      <c r="AB74" s="104">
        <f t="shared" si="157"/>
        <v>1.4038436192158352E-3</v>
      </c>
      <c r="AC74" s="99">
        <f t="shared" si="158"/>
        <v>-3.6192158352297416E-9</v>
      </c>
      <c r="AD74" s="52">
        <f t="shared" si="140"/>
        <v>-2.5780762085533273E-4</v>
      </c>
      <c r="AE74" s="161">
        <v>7.2599700000000003E-2</v>
      </c>
      <c r="AF74" s="104">
        <f t="shared" si="159"/>
        <v>7.2599688989746794E-2</v>
      </c>
      <c r="AG74" s="99">
        <f t="shared" si="160"/>
        <v>1.1010253209153831E-8</v>
      </c>
      <c r="AH74" s="153">
        <f t="shared" si="141"/>
        <v>1.5165702997307332E-5</v>
      </c>
      <c r="AI74" s="161">
        <v>9.6791600000000005E-2</v>
      </c>
      <c r="AJ74" s="104">
        <v>9.6791635500000001E-2</v>
      </c>
      <c r="AK74" s="99">
        <f t="shared" si="161"/>
        <v>-3.5499999995192155E-8</v>
      </c>
      <c r="AL74" s="153">
        <f t="shared" si="142"/>
        <v>-3.6676722954218659E-5</v>
      </c>
      <c r="AM74" s="161">
        <v>3.8858299999999998E-2</v>
      </c>
      <c r="AN74" s="104">
        <v>3.8858267716535402E-2</v>
      </c>
      <c r="AO74" s="99">
        <f t="shared" si="162"/>
        <v>3.2283464596050138E-8</v>
      </c>
      <c r="AP74" s="153">
        <f t="shared" si="143"/>
        <v>8.3080040601790699E-5</v>
      </c>
      <c r="AQ74" s="161">
        <v>7.2599700000000003E-2</v>
      </c>
      <c r="AR74" s="104">
        <v>7.2599688989746794E-2</v>
      </c>
      <c r="AS74" s="99">
        <f t="shared" si="163"/>
        <v>1.1010253209153831E-8</v>
      </c>
      <c r="AT74" s="153">
        <f t="shared" si="144"/>
        <v>1.5165702997307332E-5</v>
      </c>
    </row>
    <row r="75" spans="2:46" ht="15.75" thickBot="1" x14ac:dyDescent="0.3">
      <c r="B75" s="34">
        <v>-852</v>
      </c>
      <c r="C75" s="235">
        <v>-8355.27</v>
      </c>
      <c r="D75" s="160">
        <f t="shared" si="145"/>
        <v>-8355.2657999999992</v>
      </c>
      <c r="E75" s="101">
        <f t="shared" si="146"/>
        <v>-4.2000000012194505E-3</v>
      </c>
      <c r="F75" s="57">
        <f t="shared" si="134"/>
        <v>5.0267700654352027E-5</v>
      </c>
      <c r="G75" s="235">
        <v>-8.5199999999999998E-2</v>
      </c>
      <c r="H75" s="160">
        <f t="shared" si="147"/>
        <v>-8.5199982205127991E-2</v>
      </c>
      <c r="I75" s="101">
        <f t="shared" si="148"/>
        <v>-1.7794872006482443E-8</v>
      </c>
      <c r="J75" s="57">
        <f t="shared" si="135"/>
        <v>2.0886004369859376E-5</v>
      </c>
      <c r="K75" s="235">
        <v>-8.2460099999999995E-2</v>
      </c>
      <c r="L75" s="160">
        <f t="shared" si="149"/>
        <v>-8.2460064957131401E-2</v>
      </c>
      <c r="M75" s="101">
        <f t="shared" si="150"/>
        <v>-3.5042868593015974E-8</v>
      </c>
      <c r="N75" s="57">
        <f t="shared" si="136"/>
        <v>4.2496775392104949E-5</v>
      </c>
      <c r="O75" s="235">
        <v>-8.3552699999999994E-2</v>
      </c>
      <c r="P75" s="160">
        <f t="shared" si="151"/>
        <v>-8.3552657999999988E-2</v>
      </c>
      <c r="Q75" s="101">
        <f t="shared" si="152"/>
        <v>-4.200000000564863E-8</v>
      </c>
      <c r="R75" s="57">
        <f t="shared" si="137"/>
        <v>5.0267700646517595E-5</v>
      </c>
      <c r="S75" s="235">
        <v>-8.3552700000000009</v>
      </c>
      <c r="T75" s="160">
        <f t="shared" si="153"/>
        <v>-8.3552657999999997</v>
      </c>
      <c r="U75" s="101">
        <f t="shared" si="154"/>
        <v>-4.2000000011199745E-6</v>
      </c>
      <c r="V75" s="57">
        <f t="shared" si="138"/>
        <v>5.0267700653161444E-5</v>
      </c>
      <c r="W75" s="235">
        <v>-8.3552699999999997E-3</v>
      </c>
      <c r="X75" s="160">
        <f t="shared" si="155"/>
        <v>-8.3552657999999991E-3</v>
      </c>
      <c r="Y75" s="101">
        <f t="shared" si="156"/>
        <v>-4.200000000564863E-9</v>
      </c>
      <c r="Z75" s="57">
        <f t="shared" si="139"/>
        <v>5.0267700646517595E-5</v>
      </c>
      <c r="AA75" s="235">
        <v>-1.21183</v>
      </c>
      <c r="AB75" s="160">
        <f t="shared" si="157"/>
        <v>-1.2118285345206599</v>
      </c>
      <c r="AC75" s="101">
        <f t="shared" si="158"/>
        <v>-1.4654793401014388E-6</v>
      </c>
      <c r="AD75" s="57">
        <f t="shared" si="140"/>
        <v>1.2093124549844923E-4</v>
      </c>
      <c r="AE75" s="235">
        <v>-62.669600000000003</v>
      </c>
      <c r="AF75" s="160">
        <f t="shared" si="159"/>
        <v>-62.669640343732794</v>
      </c>
      <c r="AG75" s="101">
        <f t="shared" si="160"/>
        <v>4.034373279182546E-5</v>
      </c>
      <c r="AH75" s="163">
        <f t="shared" si="141"/>
        <v>-6.4375242255335508E-5</v>
      </c>
      <c r="AI75" s="235">
        <v>-83.552700000000002</v>
      </c>
      <c r="AJ75" s="160">
        <v>-83.552657999999994</v>
      </c>
      <c r="AK75" s="101">
        <f t="shared" si="161"/>
        <v>-4.2000000007647031E-5</v>
      </c>
      <c r="AL75" s="163">
        <f t="shared" si="142"/>
        <v>5.0267700648909379E-5</v>
      </c>
      <c r="AM75" s="235">
        <v>-33.543300000000002</v>
      </c>
      <c r="AN75" s="160">
        <v>-33.543307086614099</v>
      </c>
      <c r="AO75" s="101">
        <f t="shared" si="162"/>
        <v>7.0866140973180336E-6</v>
      </c>
      <c r="AP75" s="163">
        <f t="shared" si="143"/>
        <v>-2.1126760337074935E-5</v>
      </c>
      <c r="AQ75" s="235">
        <v>-62.669600000000003</v>
      </c>
      <c r="AR75" s="160">
        <v>-62.669640343732794</v>
      </c>
      <c r="AS75" s="101">
        <f t="shared" si="163"/>
        <v>4.034373279182546E-5</v>
      </c>
      <c r="AT75" s="163">
        <f t="shared" si="144"/>
        <v>-6.4375242255335508E-5</v>
      </c>
    </row>
    <row r="76" spans="2:46" ht="15.75" thickBot="1" x14ac:dyDescent="0.3">
      <c r="C76" s="165"/>
      <c r="D76" s="165"/>
      <c r="E76" s="164"/>
      <c r="F76" s="164"/>
      <c r="G76" s="165"/>
      <c r="H76" s="165"/>
      <c r="I76" s="164"/>
      <c r="J76" s="164"/>
      <c r="K76" s="165"/>
      <c r="L76" s="165"/>
      <c r="M76" s="164"/>
      <c r="N76" s="164"/>
      <c r="O76" s="165"/>
      <c r="P76" s="165"/>
      <c r="Q76" s="164"/>
      <c r="R76" s="164"/>
      <c r="S76" s="165"/>
      <c r="T76" s="165"/>
      <c r="U76" s="164"/>
      <c r="V76" s="164"/>
      <c r="W76" s="165"/>
      <c r="X76" s="165"/>
      <c r="Y76" s="164"/>
      <c r="Z76" s="164"/>
      <c r="AA76" s="165"/>
      <c r="AB76" s="165"/>
      <c r="AC76" s="164"/>
      <c r="AD76" s="164"/>
      <c r="AE76" s="165"/>
      <c r="AF76" s="165"/>
      <c r="AG76" s="164"/>
      <c r="AH76" s="164"/>
      <c r="AQ76" s="165"/>
      <c r="AR76" s="165"/>
      <c r="AS76" s="164"/>
      <c r="AT76" s="164"/>
    </row>
    <row r="77" spans="2:46" x14ac:dyDescent="0.25">
      <c r="B77" s="341" t="s">
        <v>10</v>
      </c>
      <c r="C77" s="166" t="s">
        <v>14</v>
      </c>
      <c r="D77" s="168" t="s">
        <v>14</v>
      </c>
      <c r="E77" s="343" t="s">
        <v>354</v>
      </c>
      <c r="F77" s="352" t="s">
        <v>355</v>
      </c>
      <c r="G77" s="166" t="s">
        <v>14</v>
      </c>
      <c r="H77" s="168" t="s">
        <v>14</v>
      </c>
      <c r="I77" s="343" t="s">
        <v>354</v>
      </c>
      <c r="J77" s="352" t="s">
        <v>355</v>
      </c>
      <c r="K77" s="166" t="s">
        <v>14</v>
      </c>
      <c r="L77" s="168" t="s">
        <v>14</v>
      </c>
      <c r="M77" s="343" t="s">
        <v>354</v>
      </c>
      <c r="N77" s="352" t="s">
        <v>355</v>
      </c>
      <c r="O77" s="166" t="s">
        <v>14</v>
      </c>
      <c r="P77" s="168" t="s">
        <v>14</v>
      </c>
      <c r="Q77" s="343" t="s">
        <v>354</v>
      </c>
      <c r="R77" s="352" t="s">
        <v>355</v>
      </c>
      <c r="S77" s="166" t="s">
        <v>14</v>
      </c>
      <c r="T77" s="168" t="s">
        <v>14</v>
      </c>
      <c r="U77" s="343" t="s">
        <v>354</v>
      </c>
      <c r="V77" s="352" t="s">
        <v>355</v>
      </c>
      <c r="W77" s="166" t="s">
        <v>14</v>
      </c>
      <c r="X77" s="168" t="s">
        <v>14</v>
      </c>
      <c r="Y77" s="343" t="s">
        <v>354</v>
      </c>
      <c r="Z77" s="352" t="s">
        <v>355</v>
      </c>
      <c r="AA77" s="166" t="s">
        <v>14</v>
      </c>
      <c r="AB77" s="168" t="s">
        <v>14</v>
      </c>
      <c r="AC77" s="343" t="s">
        <v>354</v>
      </c>
      <c r="AD77" s="352" t="s">
        <v>355</v>
      </c>
      <c r="AE77" s="166" t="s">
        <v>14</v>
      </c>
      <c r="AF77" s="168" t="s">
        <v>14</v>
      </c>
      <c r="AG77" s="343" t="s">
        <v>354</v>
      </c>
      <c r="AH77" s="357" t="s">
        <v>355</v>
      </c>
      <c r="AI77" s="166" t="s">
        <v>14</v>
      </c>
      <c r="AJ77" s="168" t="s">
        <v>14</v>
      </c>
      <c r="AK77" s="343" t="s">
        <v>354</v>
      </c>
      <c r="AL77" s="357" t="s">
        <v>355</v>
      </c>
      <c r="AM77" s="166" t="s">
        <v>14</v>
      </c>
      <c r="AN77" s="168" t="s">
        <v>14</v>
      </c>
      <c r="AO77" s="343" t="s">
        <v>354</v>
      </c>
      <c r="AP77" s="357" t="s">
        <v>355</v>
      </c>
      <c r="AQ77" s="166" t="s">
        <v>14</v>
      </c>
      <c r="AR77" s="168" t="s">
        <v>14</v>
      </c>
      <c r="AS77" s="343" t="s">
        <v>354</v>
      </c>
      <c r="AT77" s="357" t="s">
        <v>355</v>
      </c>
    </row>
    <row r="78" spans="2:46" ht="15.75" thickBot="1" x14ac:dyDescent="0.3">
      <c r="B78" s="342"/>
      <c r="C78" s="167" t="s">
        <v>290</v>
      </c>
      <c r="D78" s="169" t="s">
        <v>291</v>
      </c>
      <c r="E78" s="344"/>
      <c r="F78" s="353"/>
      <c r="G78" s="167" t="s">
        <v>290</v>
      </c>
      <c r="H78" s="169" t="s">
        <v>291</v>
      </c>
      <c r="I78" s="344"/>
      <c r="J78" s="353"/>
      <c r="K78" s="167" t="s">
        <v>290</v>
      </c>
      <c r="L78" s="169" t="s">
        <v>291</v>
      </c>
      <c r="M78" s="344"/>
      <c r="N78" s="353"/>
      <c r="O78" s="167" t="s">
        <v>290</v>
      </c>
      <c r="P78" s="169" t="s">
        <v>291</v>
      </c>
      <c r="Q78" s="344"/>
      <c r="R78" s="353"/>
      <c r="S78" s="167" t="s">
        <v>290</v>
      </c>
      <c r="T78" s="169" t="s">
        <v>291</v>
      </c>
      <c r="U78" s="344"/>
      <c r="V78" s="353"/>
      <c r="W78" s="167" t="s">
        <v>290</v>
      </c>
      <c r="X78" s="169" t="s">
        <v>291</v>
      </c>
      <c r="Y78" s="344"/>
      <c r="Z78" s="353"/>
      <c r="AA78" s="167" t="s">
        <v>290</v>
      </c>
      <c r="AB78" s="169" t="s">
        <v>291</v>
      </c>
      <c r="AC78" s="344"/>
      <c r="AD78" s="353"/>
      <c r="AE78" s="167" t="s">
        <v>290</v>
      </c>
      <c r="AF78" s="169" t="s">
        <v>291</v>
      </c>
      <c r="AG78" s="344"/>
      <c r="AH78" s="358"/>
      <c r="AI78" s="167" t="s">
        <v>290</v>
      </c>
      <c r="AJ78" s="169" t="s">
        <v>291</v>
      </c>
      <c r="AK78" s="344"/>
      <c r="AL78" s="358"/>
      <c r="AM78" s="167" t="s">
        <v>290</v>
      </c>
      <c r="AN78" s="169" t="s">
        <v>291</v>
      </c>
      <c r="AO78" s="344"/>
      <c r="AP78" s="358"/>
      <c r="AQ78" s="167" t="s">
        <v>290</v>
      </c>
      <c r="AR78" s="169" t="s">
        <v>291</v>
      </c>
      <c r="AS78" s="344"/>
      <c r="AT78" s="358"/>
    </row>
    <row r="79" spans="2:46" ht="15.75" thickBot="1" x14ac:dyDescent="0.3">
      <c r="B79" s="346" t="s">
        <v>24</v>
      </c>
      <c r="C79" s="363" t="s">
        <v>18</v>
      </c>
      <c r="D79" s="177" t="s">
        <v>18</v>
      </c>
      <c r="E79" s="344"/>
      <c r="F79" s="354"/>
      <c r="G79" s="363" t="s">
        <v>19</v>
      </c>
      <c r="H79" s="177" t="s">
        <v>19</v>
      </c>
      <c r="I79" s="344"/>
      <c r="J79" s="354"/>
      <c r="K79" s="363" t="s">
        <v>20</v>
      </c>
      <c r="L79" s="177" t="s">
        <v>20</v>
      </c>
      <c r="M79" s="344"/>
      <c r="N79" s="354"/>
      <c r="O79" s="363" t="s">
        <v>21</v>
      </c>
      <c r="P79" s="240" t="s">
        <v>21</v>
      </c>
      <c r="Q79" s="344"/>
      <c r="R79" s="354"/>
      <c r="S79" s="363" t="s">
        <v>22</v>
      </c>
      <c r="T79" s="177" t="s">
        <v>22</v>
      </c>
      <c r="U79" s="344"/>
      <c r="V79" s="354"/>
      <c r="W79" s="363" t="s">
        <v>23</v>
      </c>
      <c r="X79" s="177" t="s">
        <v>23</v>
      </c>
      <c r="Y79" s="344"/>
      <c r="Z79" s="354"/>
      <c r="AA79" s="363" t="s">
        <v>25</v>
      </c>
      <c r="AB79" s="177" t="s">
        <v>25</v>
      </c>
      <c r="AC79" s="344"/>
      <c r="AD79" s="354"/>
      <c r="AE79" s="363" t="s">
        <v>26</v>
      </c>
      <c r="AF79" s="225" t="s">
        <v>26</v>
      </c>
      <c r="AG79" s="344"/>
      <c r="AH79" s="358"/>
      <c r="AI79" s="346" t="s">
        <v>681</v>
      </c>
      <c r="AJ79" s="17" t="s">
        <v>681</v>
      </c>
      <c r="AK79" s="344"/>
      <c r="AL79" s="358"/>
      <c r="AM79" s="346" t="s">
        <v>700</v>
      </c>
      <c r="AN79" s="17" t="s">
        <v>700</v>
      </c>
      <c r="AO79" s="344"/>
      <c r="AP79" s="358"/>
      <c r="AQ79" s="346" t="s">
        <v>721</v>
      </c>
      <c r="AR79" s="17" t="s">
        <v>721</v>
      </c>
      <c r="AS79" s="344"/>
      <c r="AT79" s="358"/>
    </row>
    <row r="80" spans="2:46" ht="24" thickBot="1" x14ac:dyDescent="0.3">
      <c r="B80" s="347"/>
      <c r="C80" s="364"/>
      <c r="D80" s="236" t="s">
        <v>286</v>
      </c>
      <c r="E80" s="345"/>
      <c r="F80" s="345"/>
      <c r="G80" s="364"/>
      <c r="H80" s="237" t="s">
        <v>319</v>
      </c>
      <c r="I80" s="345"/>
      <c r="J80" s="345"/>
      <c r="K80" s="364"/>
      <c r="L80" s="237" t="s">
        <v>320</v>
      </c>
      <c r="M80" s="345"/>
      <c r="N80" s="345"/>
      <c r="O80" s="364"/>
      <c r="P80" s="237" t="s">
        <v>287</v>
      </c>
      <c r="Q80" s="345"/>
      <c r="R80" s="345"/>
      <c r="S80" s="364"/>
      <c r="T80" s="237" t="s">
        <v>288</v>
      </c>
      <c r="U80" s="345"/>
      <c r="V80" s="345"/>
      <c r="W80" s="364"/>
      <c r="X80" s="237" t="s">
        <v>321</v>
      </c>
      <c r="Y80" s="345"/>
      <c r="Z80" s="345"/>
      <c r="AA80" s="364"/>
      <c r="AB80" s="237" t="s">
        <v>322</v>
      </c>
      <c r="AC80" s="345"/>
      <c r="AD80" s="345"/>
      <c r="AE80" s="364"/>
      <c r="AF80" s="237" t="s">
        <v>323</v>
      </c>
      <c r="AG80" s="345"/>
      <c r="AH80" s="359"/>
      <c r="AI80" s="347"/>
      <c r="AJ80" s="237" t="s">
        <v>688</v>
      </c>
      <c r="AK80" s="345"/>
      <c r="AL80" s="359"/>
      <c r="AM80" s="347"/>
      <c r="AN80" s="237" t="s">
        <v>707</v>
      </c>
      <c r="AO80" s="345"/>
      <c r="AP80" s="359"/>
      <c r="AQ80" s="347"/>
      <c r="AR80" s="237" t="s">
        <v>728</v>
      </c>
      <c r="AS80" s="345"/>
      <c r="AT80" s="359"/>
    </row>
    <row r="81" spans="2:46" x14ac:dyDescent="0.25">
      <c r="B81" s="95">
        <v>1</v>
      </c>
      <c r="C81" s="234">
        <v>1000000</v>
      </c>
      <c r="D81" s="106">
        <f>B81*1000000</f>
        <v>1000000</v>
      </c>
      <c r="E81" s="100">
        <f>C81-D81</f>
        <v>0</v>
      </c>
      <c r="F81" s="54">
        <f t="shared" ref="F81:F86" si="164">(100*E81)/D81</f>
        <v>0</v>
      </c>
      <c r="G81" s="234">
        <v>10.1972</v>
      </c>
      <c r="H81" s="106">
        <f>D81*0.00001019716</f>
        <v>10.19716</v>
      </c>
      <c r="I81" s="100">
        <f>G81-H81</f>
        <v>4.0000000000262048E-5</v>
      </c>
      <c r="J81" s="54">
        <f t="shared" ref="J81:J86" si="165">(100*I81)/H81</f>
        <v>3.922660819312637E-4</v>
      </c>
      <c r="K81" s="234">
        <v>9.8692299999999999</v>
      </c>
      <c r="L81" s="106">
        <f>D81*0.000009869233</f>
        <v>9.8692330000000013</v>
      </c>
      <c r="M81" s="100">
        <f>K81-L81</f>
        <v>-3.0000000013075123E-6</v>
      </c>
      <c r="N81" s="54">
        <f t="shared" ref="N81:N86" si="166">(100*M81)/L81</f>
        <v>-3.0397498988092711E-5</v>
      </c>
      <c r="O81" s="234">
        <v>10</v>
      </c>
      <c r="P81" s="106">
        <f>D81/100000</f>
        <v>10</v>
      </c>
      <c r="Q81" s="100">
        <f>O81-P81</f>
        <v>0</v>
      </c>
      <c r="R81" s="54">
        <f t="shared" ref="R81:R86" si="167">(100*Q81)/P81</f>
        <v>0</v>
      </c>
      <c r="S81" s="234">
        <v>1000</v>
      </c>
      <c r="T81" s="106">
        <f>D81/1000</f>
        <v>1000</v>
      </c>
      <c r="U81" s="100">
        <f>S81-T81</f>
        <v>0</v>
      </c>
      <c r="V81" s="54">
        <f t="shared" ref="V81:V86" si="168">(100*U81)/T81</f>
        <v>0</v>
      </c>
      <c r="W81" s="234">
        <v>101972</v>
      </c>
      <c r="X81" s="106">
        <f>D81/9.80665</f>
        <v>101971.62129779284</v>
      </c>
      <c r="Y81" s="100">
        <f>W81-X81</f>
        <v>0.37870220716285985</v>
      </c>
      <c r="Z81" s="54">
        <f t="shared" ref="Z81:Z86" si="169">(100*Y81)/X81</f>
        <v>3.7137999998736589E-4</v>
      </c>
      <c r="AA81" s="234">
        <v>145.03800000000001</v>
      </c>
      <c r="AB81" s="106">
        <f>D81*0.0001450377</f>
        <v>145.0377</v>
      </c>
      <c r="AC81" s="100">
        <f>AA81-AB81</f>
        <v>3.0000000000995897E-4</v>
      </c>
      <c r="AD81" s="54">
        <f t="shared" ref="AD81:AD86" si="170">(100*AC81)/AB81</f>
        <v>2.0684277261012754E-4</v>
      </c>
      <c r="AE81" s="234">
        <v>7500.62</v>
      </c>
      <c r="AF81" s="106">
        <f>D81*0.007500616</f>
        <v>7500.616</v>
      </c>
      <c r="AG81" s="100">
        <f>AE81-AF81</f>
        <v>3.9999999999054126E-3</v>
      </c>
      <c r="AH81" s="162">
        <f t="shared" ref="AH81:AH86" si="171">(100*AG81)/AF81</f>
        <v>5.332895324737878E-5</v>
      </c>
      <c r="AI81" s="234">
        <v>10000</v>
      </c>
      <c r="AJ81" s="106">
        <v>10000</v>
      </c>
      <c r="AK81" s="100">
        <f>AI81-AJ81</f>
        <v>0</v>
      </c>
      <c r="AL81" s="162">
        <f t="shared" ref="AL81:AL86" si="172">(100*AK81)/AJ81</f>
        <v>0</v>
      </c>
      <c r="AM81" s="234">
        <v>4014.63</v>
      </c>
      <c r="AN81" s="106">
        <v>4014.6307597556201</v>
      </c>
      <c r="AO81" s="100">
        <f>AM81-AN81</f>
        <v>-7.5975562003804953E-4</v>
      </c>
      <c r="AP81" s="162">
        <f t="shared" ref="AP81:AP86" si="173">(100*AO81)/AN81</f>
        <v>-1.8924669926165205E-5</v>
      </c>
      <c r="AQ81" s="234">
        <v>7500.62</v>
      </c>
      <c r="AR81" s="106">
        <v>7500.616</v>
      </c>
      <c r="AS81" s="100">
        <f>AQ81-AR81</f>
        <v>3.9999999999054126E-3</v>
      </c>
      <c r="AT81" s="162">
        <f t="shared" ref="AT81:AT86" si="174">(100*AS81)/AR81</f>
        <v>5.332895324737878E-5</v>
      </c>
    </row>
    <row r="82" spans="2:46" x14ac:dyDescent="0.25">
      <c r="B82" s="32">
        <v>852</v>
      </c>
      <c r="C82" s="161">
        <v>852000000</v>
      </c>
      <c r="D82" s="104">
        <f t="shared" ref="D82:D86" si="175">B82*1000000</f>
        <v>852000000</v>
      </c>
      <c r="E82" s="99">
        <f t="shared" ref="E82:E86" si="176">C82-D82</f>
        <v>0</v>
      </c>
      <c r="F82" s="52">
        <f t="shared" si="164"/>
        <v>0</v>
      </c>
      <c r="G82" s="161">
        <v>8687.98</v>
      </c>
      <c r="H82" s="104">
        <f t="shared" ref="H82:H86" si="177">D82*0.00001019716</f>
        <v>8687.9803200000006</v>
      </c>
      <c r="I82" s="99">
        <f t="shared" ref="I82:I86" si="178">G82-H82</f>
        <v>-3.2000000101106707E-4</v>
      </c>
      <c r="J82" s="52">
        <f t="shared" si="165"/>
        <v>-3.6832496072121286E-6</v>
      </c>
      <c r="K82" s="161">
        <v>8408.59</v>
      </c>
      <c r="L82" s="104">
        <f t="shared" ref="L82:L86" si="179">D82*0.000009869233</f>
        <v>8408.5865160000012</v>
      </c>
      <c r="M82" s="99">
        <f t="shared" ref="M82:M86" si="180">K82-L82</f>
        <v>3.4839999989344506E-3</v>
      </c>
      <c r="N82" s="52">
        <f t="shared" si="166"/>
        <v>4.1433836618140706E-5</v>
      </c>
      <c r="O82" s="161">
        <v>8520</v>
      </c>
      <c r="P82" s="104">
        <f t="shared" ref="P82:P86" si="181">D82/100000</f>
        <v>8520</v>
      </c>
      <c r="Q82" s="99">
        <f t="shared" ref="Q82:Q86" si="182">O82-P82</f>
        <v>0</v>
      </c>
      <c r="R82" s="52">
        <f t="shared" si="167"/>
        <v>0</v>
      </c>
      <c r="S82" s="161">
        <v>852000</v>
      </c>
      <c r="T82" s="104">
        <f t="shared" ref="T82:T86" si="183">D82/1000</f>
        <v>852000</v>
      </c>
      <c r="U82" s="99">
        <f t="shared" ref="U82:U86" si="184">S82-T82</f>
        <v>0</v>
      </c>
      <c r="V82" s="52">
        <f t="shared" si="168"/>
        <v>0</v>
      </c>
      <c r="W82" s="161">
        <v>86879821</v>
      </c>
      <c r="X82" s="104">
        <f t="shared" ref="X82:X86" si="185">D82/9.80665</f>
        <v>86879821.345719486</v>
      </c>
      <c r="Y82" s="99">
        <f t="shared" ref="Y82:Y86" si="186">W82-X82</f>
        <v>-0.34571948647499084</v>
      </c>
      <c r="Z82" s="52">
        <f t="shared" si="169"/>
        <v>-3.9792840399530151E-7</v>
      </c>
      <c r="AA82" s="161">
        <v>123572</v>
      </c>
      <c r="AB82" s="104">
        <f t="shared" ref="AB82:AB86" si="187">D82*0.0001450377</f>
        <v>123572.12040000001</v>
      </c>
      <c r="AC82" s="99">
        <f t="shared" ref="AC82:AC86" si="188">AA82-AB82</f>
        <v>-0.12040000001434237</v>
      </c>
      <c r="AD82" s="52">
        <f t="shared" si="170"/>
        <v>-9.7432980533643373E-5</v>
      </c>
      <c r="AE82" s="161">
        <v>6390525</v>
      </c>
      <c r="AF82" s="104">
        <f t="shared" ref="AF82:AF86" si="189">D82*0.007500616</f>
        <v>6390524.8319999995</v>
      </c>
      <c r="AG82" s="99">
        <f t="shared" ref="AG82:AG86" si="190">AE82-AF82</f>
        <v>0.16800000052899122</v>
      </c>
      <c r="AH82" s="153">
        <f t="shared" si="171"/>
        <v>2.6288920698304115E-6</v>
      </c>
      <c r="AI82" s="161">
        <v>8520000</v>
      </c>
      <c r="AJ82" s="104">
        <v>8520000</v>
      </c>
      <c r="AK82" s="99">
        <f t="shared" ref="AK82:AK86" si="191">AI82-AJ82</f>
        <v>0</v>
      </c>
      <c r="AL82" s="153">
        <f t="shared" si="172"/>
        <v>0</v>
      </c>
      <c r="AM82" s="161">
        <v>3420465</v>
      </c>
      <c r="AN82" s="104">
        <v>3420465.4073117902</v>
      </c>
      <c r="AO82" s="99">
        <f t="shared" ref="AO82:AO86" si="192">AM82-AN82</f>
        <v>-0.4073117901571095</v>
      </c>
      <c r="AP82" s="153">
        <f t="shared" si="173"/>
        <v>-1.1908080967181121E-5</v>
      </c>
      <c r="AQ82" s="161">
        <v>6390525</v>
      </c>
      <c r="AR82" s="104">
        <v>6390524.8319999995</v>
      </c>
      <c r="AS82" s="99">
        <f t="shared" ref="AS82:AS86" si="193">AQ82-AR82</f>
        <v>0.16800000052899122</v>
      </c>
      <c r="AT82" s="153">
        <f t="shared" si="174"/>
        <v>2.6288920698304115E-6</v>
      </c>
    </row>
    <row r="83" spans="2:46" x14ac:dyDescent="0.25">
      <c r="B83" s="32">
        <v>4123</v>
      </c>
      <c r="C83" s="161">
        <v>4123000000</v>
      </c>
      <c r="D83" s="104">
        <f t="shared" si="175"/>
        <v>4123000000</v>
      </c>
      <c r="E83" s="99">
        <f t="shared" si="176"/>
        <v>0</v>
      </c>
      <c r="F83" s="52">
        <f t="shared" si="164"/>
        <v>0</v>
      </c>
      <c r="G83" s="161">
        <v>42042.9</v>
      </c>
      <c r="H83" s="104">
        <f t="shared" si="177"/>
        <v>42042.890680000004</v>
      </c>
      <c r="I83" s="99">
        <f t="shared" si="178"/>
        <v>9.3199999973876402E-3</v>
      </c>
      <c r="J83" s="52">
        <f t="shared" si="165"/>
        <v>2.2167838240059947E-5</v>
      </c>
      <c r="K83" s="161">
        <v>40690.800000000003</v>
      </c>
      <c r="L83" s="104">
        <f t="shared" si="179"/>
        <v>40690.847658999999</v>
      </c>
      <c r="M83" s="99">
        <f t="shared" si="180"/>
        <v>-4.7658999996201601E-2</v>
      </c>
      <c r="N83" s="52">
        <f t="shared" si="166"/>
        <v>-1.1712461828172406E-4</v>
      </c>
      <c r="O83" s="161">
        <v>41230</v>
      </c>
      <c r="P83" s="104">
        <f t="shared" si="181"/>
        <v>41230</v>
      </c>
      <c r="Q83" s="99">
        <f t="shared" si="182"/>
        <v>0</v>
      </c>
      <c r="R83" s="52">
        <f t="shared" si="167"/>
        <v>0</v>
      </c>
      <c r="S83" s="161">
        <v>4123000</v>
      </c>
      <c r="T83" s="104">
        <f t="shared" si="183"/>
        <v>4123000</v>
      </c>
      <c r="U83" s="99">
        <f t="shared" si="184"/>
        <v>0</v>
      </c>
      <c r="V83" s="52">
        <f t="shared" si="168"/>
        <v>0</v>
      </c>
      <c r="W83" s="161">
        <v>420428995</v>
      </c>
      <c r="X83" s="104">
        <f t="shared" si="185"/>
        <v>420428994.61079985</v>
      </c>
      <c r="Y83" s="99">
        <f t="shared" si="186"/>
        <v>0.38920015096664429</v>
      </c>
      <c r="Z83" s="52">
        <f t="shared" si="169"/>
        <v>9.2572147962091726E-8</v>
      </c>
      <c r="AA83" s="161">
        <v>597990</v>
      </c>
      <c r="AB83" s="104">
        <f t="shared" si="187"/>
        <v>597990.43709999998</v>
      </c>
      <c r="AC83" s="99">
        <f t="shared" si="188"/>
        <v>-0.43709999998100102</v>
      </c>
      <c r="AD83" s="52">
        <f t="shared" si="170"/>
        <v>-7.3094814375418882E-5</v>
      </c>
      <c r="AE83" s="161">
        <v>30925040</v>
      </c>
      <c r="AF83" s="104">
        <f t="shared" si="189"/>
        <v>30925039.767999999</v>
      </c>
      <c r="AG83" s="99">
        <f t="shared" si="190"/>
        <v>0.23200000077486038</v>
      </c>
      <c r="AH83" s="153">
        <f t="shared" si="171"/>
        <v>7.502011396438842E-7</v>
      </c>
      <c r="AI83" s="161">
        <v>41230000</v>
      </c>
      <c r="AJ83" s="104">
        <v>41230000</v>
      </c>
      <c r="AK83" s="99">
        <f t="shared" si="191"/>
        <v>0</v>
      </c>
      <c r="AL83" s="153">
        <f t="shared" si="172"/>
        <v>0</v>
      </c>
      <c r="AM83" s="161">
        <v>16552323</v>
      </c>
      <c r="AN83" s="104">
        <v>16552322.6224724</v>
      </c>
      <c r="AO83" s="99">
        <f t="shared" si="192"/>
        <v>0.37752760015428066</v>
      </c>
      <c r="AP83" s="153">
        <f t="shared" si="173"/>
        <v>2.2808134469402325E-6</v>
      </c>
      <c r="AQ83" s="161">
        <v>30925040</v>
      </c>
      <c r="AR83" s="104">
        <v>30925039.767999999</v>
      </c>
      <c r="AS83" s="99">
        <f t="shared" si="193"/>
        <v>0.23200000077486038</v>
      </c>
      <c r="AT83" s="153">
        <f t="shared" si="174"/>
        <v>7.502011396438842E-7</v>
      </c>
    </row>
    <row r="84" spans="2:46" x14ac:dyDescent="0.25">
      <c r="B84" s="32">
        <v>774411225588</v>
      </c>
      <c r="C84" s="161">
        <v>7.74411225588E+17</v>
      </c>
      <c r="D84" s="104">
        <f t="shared" si="175"/>
        <v>7.74411225588E+17</v>
      </c>
      <c r="E84" s="99">
        <f t="shared" si="176"/>
        <v>0</v>
      </c>
      <c r="F84" s="52">
        <f t="shared" si="164"/>
        <v>0</v>
      </c>
      <c r="G84" s="161">
        <v>7896795173117</v>
      </c>
      <c r="H84" s="104">
        <f t="shared" si="177"/>
        <v>7896795173116.9307</v>
      </c>
      <c r="I84" s="99">
        <f t="shared" si="178"/>
        <v>6.93359375E-2</v>
      </c>
      <c r="J84" s="52">
        <f t="shared" si="165"/>
        <v>8.7802628762666175E-13</v>
      </c>
      <c r="K84" s="161">
        <v>7642844823144</v>
      </c>
      <c r="L84" s="104">
        <f t="shared" si="179"/>
        <v>7642844823143.5342</v>
      </c>
      <c r="M84" s="99">
        <f t="shared" si="180"/>
        <v>0.4658203125</v>
      </c>
      <c r="N84" s="52">
        <f t="shared" si="166"/>
        <v>6.0948550347304597E-12</v>
      </c>
      <c r="O84" s="161">
        <v>7744112255880</v>
      </c>
      <c r="P84" s="104">
        <f t="shared" si="181"/>
        <v>7744112255880</v>
      </c>
      <c r="Q84" s="99">
        <f t="shared" si="182"/>
        <v>0</v>
      </c>
      <c r="R84" s="52">
        <f t="shared" si="167"/>
        <v>0</v>
      </c>
      <c r="S84" s="161">
        <v>774411225588000</v>
      </c>
      <c r="T84" s="104">
        <f t="shared" si="183"/>
        <v>774411225588000</v>
      </c>
      <c r="U84" s="99">
        <f t="shared" si="184"/>
        <v>0</v>
      </c>
      <c r="V84" s="52">
        <f t="shared" si="168"/>
        <v>0</v>
      </c>
      <c r="W84" s="161">
        <v>7.89679682244192E+16</v>
      </c>
      <c r="X84" s="104">
        <f t="shared" si="185"/>
        <v>7.8967968224419152E+16</v>
      </c>
      <c r="Y84" s="99">
        <f t="shared" si="186"/>
        <v>0</v>
      </c>
      <c r="Z84" s="52">
        <f t="shared" si="169"/>
        <v>0</v>
      </c>
      <c r="AA84" s="161">
        <v>112318823013465</v>
      </c>
      <c r="AB84" s="104">
        <f t="shared" si="187"/>
        <v>112318823013464.67</v>
      </c>
      <c r="AC84" s="99">
        <f t="shared" si="188"/>
        <v>0.328125</v>
      </c>
      <c r="AD84" s="52">
        <f t="shared" si="170"/>
        <v>2.9213714246334714E-13</v>
      </c>
      <c r="AE84" s="161">
        <v>5808561229224960</v>
      </c>
      <c r="AF84" s="104">
        <f t="shared" si="189"/>
        <v>5808561229224962</v>
      </c>
      <c r="AG84" s="99">
        <f t="shared" si="190"/>
        <v>0</v>
      </c>
      <c r="AH84" s="153">
        <f t="shared" si="171"/>
        <v>0</v>
      </c>
      <c r="AI84" s="161">
        <v>7744112255880000</v>
      </c>
      <c r="AJ84" s="104">
        <v>7744112255880000</v>
      </c>
      <c r="AK84" s="99">
        <f t="shared" si="191"/>
        <v>0</v>
      </c>
      <c r="AL84" s="153">
        <f t="shared" si="172"/>
        <v>0</v>
      </c>
      <c r="AM84" s="161">
        <v>3108975126945640</v>
      </c>
      <c r="AN84" s="104">
        <v>3108975126945640</v>
      </c>
      <c r="AO84" s="99">
        <f t="shared" si="192"/>
        <v>0</v>
      </c>
      <c r="AP84" s="153">
        <f t="shared" si="173"/>
        <v>0</v>
      </c>
      <c r="AQ84" s="161">
        <v>5808561229224960</v>
      </c>
      <c r="AR84" s="104">
        <v>5808561229224962</v>
      </c>
      <c r="AS84" s="99">
        <f t="shared" si="193"/>
        <v>0</v>
      </c>
      <c r="AT84" s="153">
        <f t="shared" si="174"/>
        <v>0</v>
      </c>
    </row>
    <row r="85" spans="2:46" x14ac:dyDescent="0.25">
      <c r="B85" s="105">
        <v>0.98699999999999999</v>
      </c>
      <c r="C85" s="159">
        <v>987000</v>
      </c>
      <c r="D85" s="104">
        <f t="shared" si="175"/>
        <v>987000</v>
      </c>
      <c r="E85" s="99">
        <f t="shared" si="176"/>
        <v>0</v>
      </c>
      <c r="F85" s="52">
        <f t="shared" si="164"/>
        <v>0</v>
      </c>
      <c r="G85" s="161">
        <v>10.0646</v>
      </c>
      <c r="H85" s="104">
        <f t="shared" si="177"/>
        <v>10.06459692</v>
      </c>
      <c r="I85" s="99">
        <f t="shared" si="178"/>
        <v>3.0800000008213146E-6</v>
      </c>
      <c r="J85" s="52">
        <f t="shared" si="165"/>
        <v>3.0602318456498255E-5</v>
      </c>
      <c r="K85" s="161">
        <v>9.7409300000000005</v>
      </c>
      <c r="L85" s="104">
        <f t="shared" si="179"/>
        <v>9.7409329710000012</v>
      </c>
      <c r="M85" s="99">
        <f t="shared" si="180"/>
        <v>-2.9710000006843984E-6</v>
      </c>
      <c r="N85" s="52">
        <f t="shared" si="166"/>
        <v>-3.0500158552876238E-5</v>
      </c>
      <c r="O85" s="161">
        <v>9.8699999999999992</v>
      </c>
      <c r="P85" s="104">
        <f t="shared" si="181"/>
        <v>9.8699999999999992</v>
      </c>
      <c r="Q85" s="99">
        <f t="shared" si="182"/>
        <v>0</v>
      </c>
      <c r="R85" s="52">
        <f t="shared" si="167"/>
        <v>0</v>
      </c>
      <c r="S85" s="161">
        <v>987</v>
      </c>
      <c r="T85" s="104">
        <f t="shared" si="183"/>
        <v>987</v>
      </c>
      <c r="U85" s="99">
        <f t="shared" si="184"/>
        <v>0</v>
      </c>
      <c r="V85" s="52">
        <f t="shared" si="168"/>
        <v>0</v>
      </c>
      <c r="W85" s="161">
        <v>100646</v>
      </c>
      <c r="X85" s="104">
        <f t="shared" si="185"/>
        <v>100645.99022092152</v>
      </c>
      <c r="Y85" s="99">
        <f t="shared" si="186"/>
        <v>9.7790784784592688E-3</v>
      </c>
      <c r="Z85" s="52">
        <f t="shared" si="169"/>
        <v>9.7163120527641928E-6</v>
      </c>
      <c r="AA85" s="161">
        <v>143.15199999999999</v>
      </c>
      <c r="AB85" s="104">
        <f t="shared" si="187"/>
        <v>143.1522099</v>
      </c>
      <c r="AC85" s="99">
        <f t="shared" si="188"/>
        <v>-2.0990000001575027E-4</v>
      </c>
      <c r="AD85" s="52">
        <f t="shared" si="170"/>
        <v>-1.4662714614212201E-4</v>
      </c>
      <c r="AE85" s="161">
        <v>7403.11</v>
      </c>
      <c r="AF85" s="104">
        <f t="shared" si="189"/>
        <v>7403.1079920000002</v>
      </c>
      <c r="AG85" s="99">
        <f t="shared" si="190"/>
        <v>2.0079999994777609E-3</v>
      </c>
      <c r="AH85" s="153">
        <f t="shared" si="171"/>
        <v>2.7123743185263002E-5</v>
      </c>
      <c r="AI85" s="161">
        <v>9870</v>
      </c>
      <c r="AJ85" s="104">
        <v>9870</v>
      </c>
      <c r="AK85" s="99">
        <f t="shared" si="191"/>
        <v>0</v>
      </c>
      <c r="AL85" s="153">
        <f t="shared" si="172"/>
        <v>0</v>
      </c>
      <c r="AM85" s="161">
        <v>3962.44</v>
      </c>
      <c r="AN85" s="104">
        <v>3962.4405598787998</v>
      </c>
      <c r="AO85" s="99">
        <f t="shared" si="192"/>
        <v>-5.5987879977692501E-4</v>
      </c>
      <c r="AP85" s="153">
        <f t="shared" si="173"/>
        <v>-1.4129645386883738E-5</v>
      </c>
      <c r="AQ85" s="161">
        <v>7403.11</v>
      </c>
      <c r="AR85" s="104">
        <v>7403.1079920000002</v>
      </c>
      <c r="AS85" s="99">
        <f t="shared" si="193"/>
        <v>2.0079999994777609E-3</v>
      </c>
      <c r="AT85" s="153">
        <f t="shared" si="174"/>
        <v>2.7123743185263002E-5</v>
      </c>
    </row>
    <row r="86" spans="2:46" ht="15.75" thickBot="1" x14ac:dyDescent="0.3">
      <c r="B86" s="34">
        <v>-852</v>
      </c>
      <c r="C86" s="235">
        <v>-852000000</v>
      </c>
      <c r="D86" s="160">
        <f t="shared" si="175"/>
        <v>-852000000</v>
      </c>
      <c r="E86" s="101">
        <f t="shared" si="176"/>
        <v>0</v>
      </c>
      <c r="F86" s="57">
        <f t="shared" si="164"/>
        <v>0</v>
      </c>
      <c r="G86" s="235">
        <v>-8687.98</v>
      </c>
      <c r="H86" s="160">
        <f t="shared" si="177"/>
        <v>-8687.9803200000006</v>
      </c>
      <c r="I86" s="101">
        <f t="shared" si="178"/>
        <v>3.2000000101106707E-4</v>
      </c>
      <c r="J86" s="57">
        <f t="shared" si="165"/>
        <v>-3.6832496072121286E-6</v>
      </c>
      <c r="K86" s="235">
        <v>-8408.59</v>
      </c>
      <c r="L86" s="160">
        <f t="shared" si="179"/>
        <v>-8408.5865160000012</v>
      </c>
      <c r="M86" s="101">
        <f t="shared" si="180"/>
        <v>-3.4839999989344506E-3</v>
      </c>
      <c r="N86" s="57">
        <f t="shared" si="166"/>
        <v>4.1433836618140706E-5</v>
      </c>
      <c r="O86" s="235">
        <v>-8520</v>
      </c>
      <c r="P86" s="160">
        <f t="shared" si="181"/>
        <v>-8520</v>
      </c>
      <c r="Q86" s="101">
        <f t="shared" si="182"/>
        <v>0</v>
      </c>
      <c r="R86" s="57">
        <f t="shared" si="167"/>
        <v>0</v>
      </c>
      <c r="S86" s="235">
        <v>-852000</v>
      </c>
      <c r="T86" s="160">
        <f t="shared" si="183"/>
        <v>-852000</v>
      </c>
      <c r="U86" s="101">
        <f t="shared" si="184"/>
        <v>0</v>
      </c>
      <c r="V86" s="57">
        <f t="shared" si="168"/>
        <v>0</v>
      </c>
      <c r="W86" s="235">
        <v>-86879821</v>
      </c>
      <c r="X86" s="160">
        <f t="shared" si="185"/>
        <v>-86879821.345719486</v>
      </c>
      <c r="Y86" s="101">
        <f t="shared" si="186"/>
        <v>0.34571948647499084</v>
      </c>
      <c r="Z86" s="57">
        <f t="shared" si="169"/>
        <v>-3.9792840399530151E-7</v>
      </c>
      <c r="AA86" s="235">
        <v>-123572</v>
      </c>
      <c r="AB86" s="160">
        <f t="shared" si="187"/>
        <v>-123572.12040000001</v>
      </c>
      <c r="AC86" s="101">
        <f t="shared" si="188"/>
        <v>0.12040000001434237</v>
      </c>
      <c r="AD86" s="57">
        <f t="shared" si="170"/>
        <v>-9.7432980533643373E-5</v>
      </c>
      <c r="AE86" s="235">
        <v>-6390525</v>
      </c>
      <c r="AF86" s="160">
        <f t="shared" si="189"/>
        <v>-6390524.8319999995</v>
      </c>
      <c r="AG86" s="101">
        <f t="shared" si="190"/>
        <v>-0.16800000052899122</v>
      </c>
      <c r="AH86" s="163">
        <f t="shared" si="171"/>
        <v>2.6288920698304115E-6</v>
      </c>
      <c r="AI86" s="235">
        <v>-8520000</v>
      </c>
      <c r="AJ86" s="160">
        <v>-8520000</v>
      </c>
      <c r="AK86" s="101">
        <f t="shared" si="191"/>
        <v>0</v>
      </c>
      <c r="AL86" s="163">
        <f t="shared" si="172"/>
        <v>0</v>
      </c>
      <c r="AM86" s="235">
        <v>-3420465</v>
      </c>
      <c r="AN86" s="160">
        <v>-3420465.4073117902</v>
      </c>
      <c r="AO86" s="101">
        <f t="shared" si="192"/>
        <v>0.4073117901571095</v>
      </c>
      <c r="AP86" s="163">
        <f t="shared" si="173"/>
        <v>-1.1908080967181121E-5</v>
      </c>
      <c r="AQ86" s="235">
        <v>-6390525</v>
      </c>
      <c r="AR86" s="160">
        <v>-6390524.8319999995</v>
      </c>
      <c r="AS86" s="101">
        <f t="shared" si="193"/>
        <v>-0.16800000052899122</v>
      </c>
      <c r="AT86" s="163">
        <f t="shared" si="174"/>
        <v>2.6288920698304115E-6</v>
      </c>
    </row>
    <row r="87" spans="2:46" ht="15.75" thickBot="1" x14ac:dyDescent="0.3">
      <c r="C87" s="165"/>
      <c r="D87" s="165"/>
      <c r="E87" s="164"/>
      <c r="F87" s="164"/>
      <c r="G87" s="165"/>
      <c r="H87" s="165"/>
      <c r="I87" s="164"/>
      <c r="J87" s="164"/>
      <c r="K87" s="165"/>
      <c r="L87" s="165"/>
      <c r="M87" s="164"/>
      <c r="N87" s="164"/>
      <c r="O87" s="165"/>
      <c r="P87" s="165"/>
      <c r="Q87" s="164"/>
      <c r="R87" s="164"/>
      <c r="S87" s="165"/>
      <c r="T87" s="165"/>
      <c r="U87" s="164"/>
      <c r="V87" s="164"/>
      <c r="W87" s="165"/>
      <c r="X87" s="165"/>
      <c r="Y87" s="164"/>
      <c r="Z87" s="164"/>
      <c r="AA87" s="165"/>
      <c r="AB87" s="165"/>
      <c r="AC87" s="164"/>
      <c r="AD87" s="164"/>
      <c r="AE87" s="165"/>
      <c r="AF87" s="165"/>
      <c r="AG87" s="164"/>
      <c r="AH87" s="164"/>
      <c r="AQ87" s="165"/>
      <c r="AR87" s="165"/>
      <c r="AS87" s="164"/>
      <c r="AT87" s="164"/>
    </row>
    <row r="88" spans="2:46" x14ac:dyDescent="0.25">
      <c r="B88" s="341" t="s">
        <v>10</v>
      </c>
      <c r="C88" s="166" t="s">
        <v>14</v>
      </c>
      <c r="D88" s="168" t="s">
        <v>14</v>
      </c>
      <c r="E88" s="343" t="s">
        <v>354</v>
      </c>
      <c r="F88" s="352" t="s">
        <v>355</v>
      </c>
      <c r="G88" s="166" t="s">
        <v>14</v>
      </c>
      <c r="H88" s="168" t="s">
        <v>14</v>
      </c>
      <c r="I88" s="343" t="s">
        <v>354</v>
      </c>
      <c r="J88" s="352" t="s">
        <v>355</v>
      </c>
      <c r="K88" s="166" t="s">
        <v>14</v>
      </c>
      <c r="L88" s="168" t="s">
        <v>14</v>
      </c>
      <c r="M88" s="343" t="s">
        <v>354</v>
      </c>
      <c r="N88" s="352" t="s">
        <v>355</v>
      </c>
      <c r="O88" s="166" t="s">
        <v>14</v>
      </c>
      <c r="P88" s="168" t="s">
        <v>14</v>
      </c>
      <c r="Q88" s="343" t="s">
        <v>354</v>
      </c>
      <c r="R88" s="352" t="s">
        <v>355</v>
      </c>
      <c r="S88" s="166" t="s">
        <v>14</v>
      </c>
      <c r="T88" s="168" t="s">
        <v>14</v>
      </c>
      <c r="U88" s="343" t="s">
        <v>354</v>
      </c>
      <c r="V88" s="352" t="s">
        <v>355</v>
      </c>
      <c r="W88" s="166" t="s">
        <v>14</v>
      </c>
      <c r="X88" s="168" t="s">
        <v>14</v>
      </c>
      <c r="Y88" s="343" t="s">
        <v>354</v>
      </c>
      <c r="Z88" s="352" t="s">
        <v>355</v>
      </c>
      <c r="AA88" s="166" t="s">
        <v>14</v>
      </c>
      <c r="AB88" s="168" t="s">
        <v>14</v>
      </c>
      <c r="AC88" s="343" t="s">
        <v>354</v>
      </c>
      <c r="AD88" s="352" t="s">
        <v>355</v>
      </c>
      <c r="AE88" s="166" t="s">
        <v>14</v>
      </c>
      <c r="AF88" s="168" t="s">
        <v>14</v>
      </c>
      <c r="AG88" s="343" t="s">
        <v>354</v>
      </c>
      <c r="AH88" s="357" t="s">
        <v>355</v>
      </c>
      <c r="AI88" s="166" t="s">
        <v>14</v>
      </c>
      <c r="AJ88" s="168" t="s">
        <v>14</v>
      </c>
      <c r="AK88" s="343" t="s">
        <v>354</v>
      </c>
      <c r="AL88" s="357" t="s">
        <v>355</v>
      </c>
      <c r="AM88" s="166" t="s">
        <v>14</v>
      </c>
      <c r="AN88" s="168" t="s">
        <v>14</v>
      </c>
      <c r="AO88" s="343" t="s">
        <v>354</v>
      </c>
      <c r="AP88" s="357" t="s">
        <v>355</v>
      </c>
      <c r="AQ88" s="166" t="s">
        <v>14</v>
      </c>
      <c r="AR88" s="168" t="s">
        <v>14</v>
      </c>
      <c r="AS88" s="343" t="s">
        <v>354</v>
      </c>
      <c r="AT88" s="357" t="s">
        <v>355</v>
      </c>
    </row>
    <row r="89" spans="2:46" ht="15.75" thickBot="1" x14ac:dyDescent="0.3">
      <c r="B89" s="342"/>
      <c r="C89" s="167" t="s">
        <v>290</v>
      </c>
      <c r="D89" s="169" t="s">
        <v>291</v>
      </c>
      <c r="E89" s="344"/>
      <c r="F89" s="353"/>
      <c r="G89" s="167" t="s">
        <v>290</v>
      </c>
      <c r="H89" s="169" t="s">
        <v>291</v>
      </c>
      <c r="I89" s="344"/>
      <c r="J89" s="353"/>
      <c r="K89" s="167" t="s">
        <v>290</v>
      </c>
      <c r="L89" s="169" t="s">
        <v>291</v>
      </c>
      <c r="M89" s="344"/>
      <c r="N89" s="353"/>
      <c r="O89" s="167" t="s">
        <v>290</v>
      </c>
      <c r="P89" s="169" t="s">
        <v>291</v>
      </c>
      <c r="Q89" s="344"/>
      <c r="R89" s="353"/>
      <c r="S89" s="167" t="s">
        <v>290</v>
      </c>
      <c r="T89" s="169" t="s">
        <v>291</v>
      </c>
      <c r="U89" s="344"/>
      <c r="V89" s="353"/>
      <c r="W89" s="167" t="s">
        <v>290</v>
      </c>
      <c r="X89" s="169" t="s">
        <v>291</v>
      </c>
      <c r="Y89" s="344"/>
      <c r="Z89" s="353"/>
      <c r="AA89" s="167" t="s">
        <v>290</v>
      </c>
      <c r="AB89" s="169" t="s">
        <v>291</v>
      </c>
      <c r="AC89" s="344"/>
      <c r="AD89" s="353"/>
      <c r="AE89" s="167" t="s">
        <v>290</v>
      </c>
      <c r="AF89" s="169" t="s">
        <v>291</v>
      </c>
      <c r="AG89" s="344"/>
      <c r="AH89" s="358"/>
      <c r="AI89" s="167" t="s">
        <v>290</v>
      </c>
      <c r="AJ89" s="169" t="s">
        <v>291</v>
      </c>
      <c r="AK89" s="344"/>
      <c r="AL89" s="358"/>
      <c r="AM89" s="167" t="s">
        <v>290</v>
      </c>
      <c r="AN89" s="169" t="s">
        <v>291</v>
      </c>
      <c r="AO89" s="344"/>
      <c r="AP89" s="358"/>
      <c r="AQ89" s="167" t="s">
        <v>290</v>
      </c>
      <c r="AR89" s="169" t="s">
        <v>291</v>
      </c>
      <c r="AS89" s="344"/>
      <c r="AT89" s="358"/>
    </row>
    <row r="90" spans="2:46" ht="15.75" thickBot="1" x14ac:dyDescent="0.3">
      <c r="B90" s="346" t="s">
        <v>25</v>
      </c>
      <c r="C90" s="363" t="s">
        <v>18</v>
      </c>
      <c r="D90" s="177" t="s">
        <v>18</v>
      </c>
      <c r="E90" s="344"/>
      <c r="F90" s="354"/>
      <c r="G90" s="363" t="s">
        <v>19</v>
      </c>
      <c r="H90" s="177" t="s">
        <v>19</v>
      </c>
      <c r="I90" s="344"/>
      <c r="J90" s="354"/>
      <c r="K90" s="363" t="s">
        <v>20</v>
      </c>
      <c r="L90" s="177" t="s">
        <v>20</v>
      </c>
      <c r="M90" s="344"/>
      <c r="N90" s="354"/>
      <c r="O90" s="363" t="s">
        <v>21</v>
      </c>
      <c r="P90" s="240" t="s">
        <v>21</v>
      </c>
      <c r="Q90" s="344"/>
      <c r="R90" s="354"/>
      <c r="S90" s="363" t="s">
        <v>22</v>
      </c>
      <c r="T90" s="177" t="s">
        <v>22</v>
      </c>
      <c r="U90" s="344"/>
      <c r="V90" s="354"/>
      <c r="W90" s="363" t="s">
        <v>23</v>
      </c>
      <c r="X90" s="177" t="s">
        <v>23</v>
      </c>
      <c r="Y90" s="344"/>
      <c r="Z90" s="354"/>
      <c r="AA90" s="363" t="s">
        <v>24</v>
      </c>
      <c r="AB90" s="177" t="s">
        <v>24</v>
      </c>
      <c r="AC90" s="344"/>
      <c r="AD90" s="354"/>
      <c r="AE90" s="363" t="s">
        <v>26</v>
      </c>
      <c r="AF90" s="225" t="s">
        <v>26</v>
      </c>
      <c r="AG90" s="344"/>
      <c r="AH90" s="358"/>
      <c r="AI90" s="346" t="s">
        <v>681</v>
      </c>
      <c r="AJ90" s="17" t="s">
        <v>681</v>
      </c>
      <c r="AK90" s="344"/>
      <c r="AL90" s="358"/>
      <c r="AM90" s="346" t="s">
        <v>700</v>
      </c>
      <c r="AN90" s="17" t="s">
        <v>700</v>
      </c>
      <c r="AO90" s="344"/>
      <c r="AP90" s="358"/>
      <c r="AQ90" s="346" t="s">
        <v>721</v>
      </c>
      <c r="AR90" s="17" t="s">
        <v>721</v>
      </c>
      <c r="AS90" s="344"/>
      <c r="AT90" s="358"/>
    </row>
    <row r="91" spans="2:46" ht="35.25" thickBot="1" x14ac:dyDescent="0.3">
      <c r="B91" s="347"/>
      <c r="C91" s="364"/>
      <c r="D91" s="236" t="s">
        <v>324</v>
      </c>
      <c r="E91" s="345"/>
      <c r="F91" s="345"/>
      <c r="G91" s="364"/>
      <c r="H91" s="237" t="s">
        <v>325</v>
      </c>
      <c r="I91" s="345"/>
      <c r="J91" s="345"/>
      <c r="K91" s="364"/>
      <c r="L91" s="237" t="s">
        <v>326</v>
      </c>
      <c r="M91" s="345"/>
      <c r="N91" s="345"/>
      <c r="O91" s="364"/>
      <c r="P91" s="237" t="s">
        <v>327</v>
      </c>
      <c r="Q91" s="345"/>
      <c r="R91" s="345"/>
      <c r="S91" s="364"/>
      <c r="T91" s="237" t="s">
        <v>328</v>
      </c>
      <c r="U91" s="345"/>
      <c r="V91" s="345"/>
      <c r="W91" s="364"/>
      <c r="X91" s="237" t="s">
        <v>329</v>
      </c>
      <c r="Y91" s="345"/>
      <c r="Z91" s="345"/>
      <c r="AA91" s="364"/>
      <c r="AB91" s="237" t="s">
        <v>330</v>
      </c>
      <c r="AC91" s="345"/>
      <c r="AD91" s="345"/>
      <c r="AE91" s="364"/>
      <c r="AF91" s="237" t="s">
        <v>331</v>
      </c>
      <c r="AG91" s="345"/>
      <c r="AH91" s="359"/>
      <c r="AI91" s="347"/>
      <c r="AJ91" s="237" t="s">
        <v>689</v>
      </c>
      <c r="AK91" s="345"/>
      <c r="AL91" s="359"/>
      <c r="AM91" s="347"/>
      <c r="AN91" s="237" t="s">
        <v>708</v>
      </c>
      <c r="AO91" s="345"/>
      <c r="AP91" s="359"/>
      <c r="AQ91" s="347"/>
      <c r="AR91" s="237" t="s">
        <v>729</v>
      </c>
      <c r="AS91" s="345"/>
      <c r="AT91" s="359"/>
    </row>
    <row r="92" spans="2:46" x14ac:dyDescent="0.25">
      <c r="B92" s="95">
        <v>1</v>
      </c>
      <c r="C92" s="234">
        <v>6894.76</v>
      </c>
      <c r="D92" s="106">
        <f>B92/0.0001450377</f>
        <v>6894.7590867753688</v>
      </c>
      <c r="E92" s="100">
        <f>C92-D92</f>
        <v>9.132246314038639E-4</v>
      </c>
      <c r="F92" s="54">
        <f t="shared" ref="F92:F97" si="194">(100*E92)/D92</f>
        <v>1.3245200012216421E-5</v>
      </c>
      <c r="G92" s="234">
        <v>7.0306999999999994E-2</v>
      </c>
      <c r="H92" s="106">
        <f>D92*0.00001019716</f>
        <v>7.0306961569302315E-2</v>
      </c>
      <c r="I92" s="100">
        <f>G92-H92</f>
        <v>3.8430697679725512E-8</v>
      </c>
      <c r="J92" s="54">
        <f t="shared" ref="J92:J97" si="195">(100*I92)/H92</f>
        <v>5.4661297860019117E-5</v>
      </c>
      <c r="K92" s="234">
        <v>6.8045999999999995E-2</v>
      </c>
      <c r="L92" s="106">
        <f>D92*0.000009869233</f>
        <v>6.8045983906253341E-2</v>
      </c>
      <c r="M92" s="100">
        <f>K92-L92</f>
        <v>1.6093746654788355E-8</v>
      </c>
      <c r="N92" s="54">
        <f t="shared" ref="N92:N97" si="196">(100*M92)/L92</f>
        <v>2.3651280694185625E-5</v>
      </c>
      <c r="O92" s="234">
        <v>6.8947599999999998E-2</v>
      </c>
      <c r="P92" s="106">
        <f>D92/100000</f>
        <v>6.8947590867753691E-2</v>
      </c>
      <c r="Q92" s="100">
        <f>O92-P92</f>
        <v>9.1322463063869819E-9</v>
      </c>
      <c r="R92" s="54">
        <f t="shared" ref="R92:R97" si="197">(100*Q92)/P92</f>
        <v>1.3245200001118632E-5</v>
      </c>
      <c r="S92" s="234">
        <v>6.8947599999999998</v>
      </c>
      <c r="T92" s="106">
        <f>D92/1000</f>
        <v>6.8947590867753688</v>
      </c>
      <c r="U92" s="100">
        <f>S92-T92</f>
        <v>9.1322463102727625E-7</v>
      </c>
      <c r="V92" s="54">
        <f t="shared" ref="V92:V97" si="198">(100*U92)/T92</f>
        <v>1.3245200006754479E-5</v>
      </c>
      <c r="W92" s="234">
        <v>703.07</v>
      </c>
      <c r="X92" s="106">
        <f>D92/9.80665</f>
        <v>703.06976253617381</v>
      </c>
      <c r="Y92" s="100">
        <f>W92-X92</f>
        <v>2.3746382623812679E-4</v>
      </c>
      <c r="Z92" s="54">
        <f t="shared" ref="Z92:Z97" si="199">(100*Y92)/X92</f>
        <v>3.3775286449743876E-5</v>
      </c>
      <c r="AA92" s="234">
        <v>6.8947599999999998E-3</v>
      </c>
      <c r="AB92" s="106">
        <f>D92/1000000</f>
        <v>6.8947590867753684E-3</v>
      </c>
      <c r="AC92" s="100">
        <f>AA92-AB92</f>
        <v>9.1322463133258758E-10</v>
      </c>
      <c r="AD92" s="54">
        <f t="shared" ref="AD92:AD97" si="200">(100*AC92)/AB92</f>
        <v>1.3245200011182646E-5</v>
      </c>
      <c r="AE92" s="234">
        <v>51.7149</v>
      </c>
      <c r="AF92" s="106">
        <f>D92*0.007500616</f>
        <v>51.714940322412716</v>
      </c>
      <c r="AG92" s="100">
        <f>AE92-AF92</f>
        <v>-4.0322412715454448E-5</v>
      </c>
      <c r="AH92" s="162">
        <f t="shared" ref="AH92:AH97" si="201">(100*AG92)/AF92</f>
        <v>-7.7970529336527411E-5</v>
      </c>
      <c r="AI92" s="234">
        <v>68.947599999999994</v>
      </c>
      <c r="AJ92" s="106">
        <v>68.947590867753604</v>
      </c>
      <c r="AK92" s="100">
        <f>AI92-AJ92</f>
        <v>9.1322463902088202E-6</v>
      </c>
      <c r="AL92" s="162">
        <f t="shared" ref="AL92:AL97" si="202">(100*AK92)/AJ92</f>
        <v>1.3245200122691916E-5</v>
      </c>
      <c r="AM92" s="234">
        <v>27.6799</v>
      </c>
      <c r="AN92" s="106">
        <v>27.679911910872899</v>
      </c>
      <c r="AO92" s="100">
        <f>AM92-AN92</f>
        <v>-1.1910872899534297E-5</v>
      </c>
      <c r="AP92" s="162">
        <f t="shared" ref="AP92:AP97" si="203">(100*AO92)/AN92</f>
        <v>-4.3030747127687238E-5</v>
      </c>
      <c r="AQ92" s="234">
        <v>51.7149</v>
      </c>
      <c r="AR92" s="106">
        <v>51.714940322412716</v>
      </c>
      <c r="AS92" s="100">
        <f>AQ92-AR92</f>
        <v>-4.0322412715454448E-5</v>
      </c>
      <c r="AT92" s="162">
        <f t="shared" ref="AT92:AT97" si="204">(100*AS92)/AR92</f>
        <v>-7.7970529336527411E-5</v>
      </c>
    </row>
    <row r="93" spans="2:46" x14ac:dyDescent="0.25">
      <c r="B93" s="32">
        <v>852</v>
      </c>
      <c r="C93" s="161">
        <v>5874335</v>
      </c>
      <c r="D93" s="104">
        <f t="shared" ref="D93:D97" si="205">B93/0.0001450377</f>
        <v>5874334.7419326147</v>
      </c>
      <c r="E93" s="99">
        <f t="shared" ref="E93:E97" si="206">C93-D93</f>
        <v>0.25806738529354334</v>
      </c>
      <c r="F93" s="52">
        <f t="shared" si="194"/>
        <v>4.3931338037546185E-6</v>
      </c>
      <c r="G93" s="161">
        <v>59.901499999999999</v>
      </c>
      <c r="H93" s="104">
        <f t="shared" ref="H93:H97" si="207">D93*0.00001019716</f>
        <v>59.901531257045583</v>
      </c>
      <c r="I93" s="99">
        <f t="shared" ref="I93:I97" si="208">G93-H93</f>
        <v>-3.1257045584709431E-5</v>
      </c>
      <c r="J93" s="52">
        <f t="shared" si="195"/>
        <v>-5.2180712126675383E-5</v>
      </c>
      <c r="K93" s="161">
        <v>57.975200000000001</v>
      </c>
      <c r="L93" s="104">
        <f t="shared" ref="L93:L97" si="209">D93*0.000009869233</f>
        <v>57.97517828812785</v>
      </c>
      <c r="M93" s="99">
        <f t="shared" ref="M93:M97" si="210">K93-L93</f>
        <v>2.1711872150831368E-5</v>
      </c>
      <c r="N93" s="52">
        <f t="shared" si="196"/>
        <v>3.7450289575526022E-5</v>
      </c>
      <c r="O93" s="161">
        <v>58.743299999999998</v>
      </c>
      <c r="P93" s="104">
        <f t="shared" ref="P93:P97" si="211">D93/100000</f>
        <v>58.743347419326149</v>
      </c>
      <c r="Q93" s="99">
        <f t="shared" ref="Q93:Q97" si="212">O93-P93</f>
        <v>-4.7419326151043606E-5</v>
      </c>
      <c r="R93" s="52">
        <f t="shared" si="197"/>
        <v>-8.0722887329779549E-5</v>
      </c>
      <c r="S93" s="161">
        <v>5874.33</v>
      </c>
      <c r="T93" s="104">
        <f t="shared" ref="T93:T97" si="213">D93/1000</f>
        <v>5874.3347419326146</v>
      </c>
      <c r="U93" s="99">
        <f t="shared" ref="U93:U97" si="214">S93-T93</f>
        <v>-4.7419326147064567E-3</v>
      </c>
      <c r="V93" s="52">
        <f t="shared" si="198"/>
        <v>-8.0722887323005942E-5</v>
      </c>
      <c r="W93" s="161">
        <v>599015</v>
      </c>
      <c r="X93" s="104">
        <f t="shared" ref="X93:X97" si="215">D93/9.80665</f>
        <v>599015.43768082012</v>
      </c>
      <c r="Y93" s="99">
        <f t="shared" ref="Y93:Y97" si="216">W93-X93</f>
        <v>-0.43768082011956722</v>
      </c>
      <c r="Z93" s="52">
        <f t="shared" si="199"/>
        <v>-7.3066701221276609E-5</v>
      </c>
      <c r="AA93" s="161">
        <v>5.8743299999999996</v>
      </c>
      <c r="AB93" s="104">
        <f t="shared" ref="AB93:AB97" si="217">D93/1000000</f>
        <v>5.8743347419326151</v>
      </c>
      <c r="AC93" s="99">
        <f t="shared" ref="AC93:AC97" si="218">AA93-AB93</f>
        <v>-4.741932615459632E-6</v>
      </c>
      <c r="AD93" s="52">
        <f t="shared" si="200"/>
        <v>-8.0722887335827392E-5</v>
      </c>
      <c r="AE93" s="161">
        <v>44061.1</v>
      </c>
      <c r="AF93" s="104">
        <f t="shared" ref="AF93:AF97" si="219">D93*0.007500616</f>
        <v>44061.129154695642</v>
      </c>
      <c r="AG93" s="99">
        <f t="shared" ref="AG93:AG97" si="220">AE93-AF93</f>
        <v>-2.9154695643228479E-2</v>
      </c>
      <c r="AH93" s="153">
        <f t="shared" si="201"/>
        <v>-6.6168743748868341E-5</v>
      </c>
      <c r="AI93" s="161">
        <v>58743.3</v>
      </c>
      <c r="AJ93" s="104">
        <v>58743.347419326099</v>
      </c>
      <c r="AK93" s="99">
        <f t="shared" ref="AK93:AK97" si="221">AI93-AJ93</f>
        <v>-4.7419326096132863E-2</v>
      </c>
      <c r="AL93" s="153">
        <f t="shared" si="202"/>
        <v>-8.0722887236303934E-5</v>
      </c>
      <c r="AM93" s="161">
        <v>23583.3</v>
      </c>
      <c r="AN93" s="104">
        <v>23583.284948063701</v>
      </c>
      <c r="AO93" s="99">
        <f t="shared" ref="AO93:AO97" si="222">AM93-AN93</f>
        <v>1.5051936297822976E-2</v>
      </c>
      <c r="AP93" s="153">
        <f t="shared" si="203"/>
        <v>6.3824595814243474E-5</v>
      </c>
      <c r="AQ93" s="161">
        <v>44061.1</v>
      </c>
      <c r="AR93" s="104">
        <v>44061.129154695642</v>
      </c>
      <c r="AS93" s="99">
        <f t="shared" ref="AS93:AS97" si="223">AQ93-AR93</f>
        <v>-2.9154695643228479E-2</v>
      </c>
      <c r="AT93" s="153">
        <f t="shared" si="204"/>
        <v>-6.6168743748868341E-5</v>
      </c>
    </row>
    <row r="94" spans="2:46" x14ac:dyDescent="0.25">
      <c r="B94" s="32">
        <v>4123</v>
      </c>
      <c r="C94" s="161">
        <v>28427092</v>
      </c>
      <c r="D94" s="104">
        <f t="shared" si="205"/>
        <v>28427091.714774847</v>
      </c>
      <c r="E94" s="99">
        <f t="shared" si="206"/>
        <v>0.28522515296936035</v>
      </c>
      <c r="F94" s="52">
        <f t="shared" si="194"/>
        <v>1.0033567831390782E-6</v>
      </c>
      <c r="G94" s="161">
        <v>289.87599999999998</v>
      </c>
      <c r="H94" s="104">
        <f t="shared" si="207"/>
        <v>289.87560255023351</v>
      </c>
      <c r="I94" s="99">
        <f t="shared" si="208"/>
        <v>3.9744976646716168E-4</v>
      </c>
      <c r="J94" s="52">
        <f t="shared" si="195"/>
        <v>1.3711045806219109E-4</v>
      </c>
      <c r="K94" s="161">
        <v>280.55399999999997</v>
      </c>
      <c r="L94" s="104">
        <f t="shared" si="209"/>
        <v>280.55359164548253</v>
      </c>
      <c r="M94" s="99">
        <f t="shared" si="210"/>
        <v>4.0835451744669626E-4</v>
      </c>
      <c r="N94" s="52">
        <f t="shared" si="196"/>
        <v>1.4555312411138459E-4</v>
      </c>
      <c r="O94" s="161">
        <v>284.27100000000002</v>
      </c>
      <c r="P94" s="104">
        <f t="shared" si="211"/>
        <v>284.27091714774849</v>
      </c>
      <c r="Q94" s="99">
        <f t="shared" si="212"/>
        <v>8.285225152349085E-5</v>
      </c>
      <c r="R94" s="52">
        <f t="shared" si="197"/>
        <v>2.9145525104992986E-5</v>
      </c>
      <c r="S94" s="161">
        <v>28427.1</v>
      </c>
      <c r="T94" s="104">
        <f t="shared" si="213"/>
        <v>28427.091714774848</v>
      </c>
      <c r="U94" s="99">
        <f t="shared" si="214"/>
        <v>8.2852251507574692E-3</v>
      </c>
      <c r="V94" s="52">
        <f t="shared" si="198"/>
        <v>2.9145525099394047E-5</v>
      </c>
      <c r="W94" s="161">
        <v>2898757</v>
      </c>
      <c r="X94" s="104">
        <f t="shared" si="215"/>
        <v>2898756.630936645</v>
      </c>
      <c r="Y94" s="99">
        <f t="shared" si="216"/>
        <v>0.3690633550286293</v>
      </c>
      <c r="Z94" s="52">
        <f t="shared" si="199"/>
        <v>1.2731781312368321E-5</v>
      </c>
      <c r="AA94" s="161">
        <v>28.427099999999999</v>
      </c>
      <c r="AB94" s="104">
        <f t="shared" si="217"/>
        <v>28.427091714774846</v>
      </c>
      <c r="AC94" s="99">
        <f t="shared" si="218"/>
        <v>8.2852251530596277E-6</v>
      </c>
      <c r="AD94" s="52">
        <f t="shared" si="200"/>
        <v>2.9145525107492515E-5</v>
      </c>
      <c r="AE94" s="161">
        <v>213221</v>
      </c>
      <c r="AF94" s="104">
        <f t="shared" si="219"/>
        <v>213220.69894930764</v>
      </c>
      <c r="AG94" s="99">
        <f t="shared" si="220"/>
        <v>0.3010506923601497</v>
      </c>
      <c r="AH94" s="153">
        <f t="shared" si="201"/>
        <v>1.411920577334395E-4</v>
      </c>
      <c r="AI94" s="161">
        <v>284271</v>
      </c>
      <c r="AJ94" s="104">
        <v>284270.917147748</v>
      </c>
      <c r="AK94" s="99">
        <f t="shared" si="221"/>
        <v>8.285225200233981E-2</v>
      </c>
      <c r="AL94" s="153">
        <f t="shared" si="202"/>
        <v>2.9145525273441137E-5</v>
      </c>
      <c r="AM94" s="161">
        <v>114124</v>
      </c>
      <c r="AN94" s="104">
        <v>114124.276808529</v>
      </c>
      <c r="AO94" s="99">
        <f t="shared" si="222"/>
        <v>-0.27680852900084574</v>
      </c>
      <c r="AP94" s="153">
        <f t="shared" si="203"/>
        <v>-2.4255008376987029E-4</v>
      </c>
      <c r="AQ94" s="161">
        <v>213221</v>
      </c>
      <c r="AR94" s="104">
        <v>213220.69894930764</v>
      </c>
      <c r="AS94" s="99">
        <f t="shared" si="223"/>
        <v>0.3010506923601497</v>
      </c>
      <c r="AT94" s="153">
        <f t="shared" si="204"/>
        <v>1.411920577334395E-4</v>
      </c>
    </row>
    <row r="95" spans="2:46" x14ac:dyDescent="0.25">
      <c r="B95" s="32">
        <v>774411225588</v>
      </c>
      <c r="C95" s="161">
        <v>5339378834523710</v>
      </c>
      <c r="D95" s="104">
        <f t="shared" si="205"/>
        <v>5339378834523713</v>
      </c>
      <c r="E95" s="99">
        <f t="shared" si="206"/>
        <v>0</v>
      </c>
      <c r="F95" s="52">
        <f t="shared" si="194"/>
        <v>0</v>
      </c>
      <c r="G95" s="161">
        <v>54446500276</v>
      </c>
      <c r="H95" s="104">
        <f t="shared" si="207"/>
        <v>54446500276.251823</v>
      </c>
      <c r="I95" s="99">
        <f t="shared" si="208"/>
        <v>-0.25182342529296875</v>
      </c>
      <c r="J95" s="52">
        <f t="shared" si="195"/>
        <v>-4.6251535730535781E-10</v>
      </c>
      <c r="K95" s="161">
        <v>52695573793</v>
      </c>
      <c r="L95" s="104">
        <f t="shared" si="209"/>
        <v>52695573793.182968</v>
      </c>
      <c r="M95" s="99">
        <f t="shared" si="210"/>
        <v>-0.1829681396484375</v>
      </c>
      <c r="N95" s="52">
        <f t="shared" si="196"/>
        <v>-3.4721728311858216E-10</v>
      </c>
      <c r="O95" s="161">
        <v>53393788345</v>
      </c>
      <c r="P95" s="104">
        <f t="shared" si="211"/>
        <v>53393788345.237129</v>
      </c>
      <c r="Q95" s="99">
        <f t="shared" si="212"/>
        <v>-0.23712921142578125</v>
      </c>
      <c r="R95" s="52">
        <f t="shared" si="197"/>
        <v>-4.4411385439170439E-10</v>
      </c>
      <c r="S95" s="161">
        <v>5339378834524</v>
      </c>
      <c r="T95" s="104">
        <f t="shared" si="213"/>
        <v>5339378834523.7129</v>
      </c>
      <c r="U95" s="99">
        <f t="shared" si="214"/>
        <v>0.287109375</v>
      </c>
      <c r="V95" s="52">
        <f t="shared" si="198"/>
        <v>5.3772055495217718E-12</v>
      </c>
      <c r="W95" s="161">
        <v>544465116479502</v>
      </c>
      <c r="X95" s="104">
        <f t="shared" si="215"/>
        <v>544465116479502.5</v>
      </c>
      <c r="Y95" s="99">
        <f t="shared" si="216"/>
        <v>-0.5</v>
      </c>
      <c r="Z95" s="52">
        <f t="shared" si="199"/>
        <v>-9.1833247873249838E-14</v>
      </c>
      <c r="AA95" s="161">
        <v>5339378835</v>
      </c>
      <c r="AB95" s="104">
        <f t="shared" si="217"/>
        <v>5339378834.5237131</v>
      </c>
      <c r="AC95" s="99">
        <f t="shared" si="218"/>
        <v>0.47628688812255859</v>
      </c>
      <c r="AD95" s="52">
        <f t="shared" si="200"/>
        <v>8.9202677480562149E-9</v>
      </c>
      <c r="AE95" s="161">
        <v>40048630316290</v>
      </c>
      <c r="AF95" s="104">
        <f t="shared" si="219"/>
        <v>40048630316289.914</v>
      </c>
      <c r="AG95" s="99">
        <f t="shared" si="220"/>
        <v>8.59375E-2</v>
      </c>
      <c r="AH95" s="153">
        <f t="shared" si="201"/>
        <v>2.1458286918003443E-13</v>
      </c>
      <c r="AI95" s="161">
        <v>53393788345237</v>
      </c>
      <c r="AJ95" s="104">
        <v>53393788345237.102</v>
      </c>
      <c r="AK95" s="99">
        <f t="shared" si="221"/>
        <v>-0.1015625</v>
      </c>
      <c r="AL95" s="153">
        <f t="shared" si="202"/>
        <v>-1.9021407386063422E-13</v>
      </c>
      <c r="AM95" s="161">
        <v>21435634507067</v>
      </c>
      <c r="AN95" s="104">
        <v>21435634507067</v>
      </c>
      <c r="AO95" s="99">
        <f t="shared" si="222"/>
        <v>0</v>
      </c>
      <c r="AP95" s="153">
        <f t="shared" si="203"/>
        <v>0</v>
      </c>
      <c r="AQ95" s="161">
        <v>40048630316290</v>
      </c>
      <c r="AR95" s="104">
        <v>40048630316289.914</v>
      </c>
      <c r="AS95" s="99">
        <f t="shared" si="223"/>
        <v>8.59375E-2</v>
      </c>
      <c r="AT95" s="153">
        <f t="shared" si="204"/>
        <v>2.1458286918003443E-13</v>
      </c>
    </row>
    <row r="96" spans="2:46" x14ac:dyDescent="0.25">
      <c r="B96" s="105">
        <v>0.98699999999999999</v>
      </c>
      <c r="C96" s="159">
        <v>6805.13</v>
      </c>
      <c r="D96" s="104">
        <f t="shared" si="205"/>
        <v>6805.1272186472888</v>
      </c>
      <c r="E96" s="99">
        <f t="shared" si="206"/>
        <v>2.7813527112812153E-3</v>
      </c>
      <c r="F96" s="52">
        <f t="shared" si="194"/>
        <v>4.0871428584902894E-5</v>
      </c>
      <c r="G96" s="161">
        <v>6.9392999999999996E-2</v>
      </c>
      <c r="H96" s="104">
        <f t="shared" si="207"/>
        <v>6.9392971068901382E-2</v>
      </c>
      <c r="I96" s="99">
        <f t="shared" si="208"/>
        <v>2.893109861401566E-8</v>
      </c>
      <c r="J96" s="52">
        <f t="shared" si="195"/>
        <v>4.1691684573196203E-5</v>
      </c>
      <c r="K96" s="161">
        <v>6.7161399999999996E-2</v>
      </c>
      <c r="L96" s="104">
        <f t="shared" si="209"/>
        <v>6.7161386115472038E-2</v>
      </c>
      <c r="M96" s="99">
        <f t="shared" si="210"/>
        <v>1.3884527957919168E-8</v>
      </c>
      <c r="N96" s="52">
        <f t="shared" si="196"/>
        <v>2.0673379096207449E-5</v>
      </c>
      <c r="O96" s="161">
        <v>6.8051299999999995E-2</v>
      </c>
      <c r="P96" s="104">
        <f t="shared" si="211"/>
        <v>6.8051272186472889E-2</v>
      </c>
      <c r="Q96" s="99">
        <f t="shared" si="212"/>
        <v>2.7813527106457236E-8</v>
      </c>
      <c r="R96" s="52">
        <f t="shared" si="197"/>
        <v>4.0871428575564471E-5</v>
      </c>
      <c r="S96" s="161">
        <v>6.8051300000000001</v>
      </c>
      <c r="T96" s="104">
        <f t="shared" si="213"/>
        <v>6.8051272186472884</v>
      </c>
      <c r="U96" s="99">
        <f t="shared" si="214"/>
        <v>2.7813527117004355E-6</v>
      </c>
      <c r="V96" s="52">
        <f t="shared" si="198"/>
        <v>4.0871428591063256E-5</v>
      </c>
      <c r="W96" s="161">
        <v>693.93</v>
      </c>
      <c r="X96" s="104">
        <f t="shared" si="215"/>
        <v>693.92985562320359</v>
      </c>
      <c r="Y96" s="99">
        <f t="shared" si="216"/>
        <v>1.4437679635648237E-4</v>
      </c>
      <c r="Z96" s="52">
        <f t="shared" si="199"/>
        <v>2.0805675845553677E-5</v>
      </c>
      <c r="AA96" s="161">
        <v>6.8051300000000004E-3</v>
      </c>
      <c r="AB96" s="104">
        <f t="shared" si="217"/>
        <v>6.8051272186472889E-3</v>
      </c>
      <c r="AC96" s="99">
        <f t="shared" si="218"/>
        <v>2.7813527115130854E-9</v>
      </c>
      <c r="AD96" s="52">
        <f t="shared" si="200"/>
        <v>4.0871428588310182E-5</v>
      </c>
      <c r="AE96" s="161">
        <v>51.0426</v>
      </c>
      <c r="AF96" s="104">
        <f t="shared" si="219"/>
        <v>51.042646098221354</v>
      </c>
      <c r="AG96" s="99">
        <f t="shared" si="220"/>
        <v>-4.6098221353929603E-5</v>
      </c>
      <c r="AH96" s="153">
        <f t="shared" si="201"/>
        <v>-9.0313149645930983E-5</v>
      </c>
      <c r="AI96" s="161">
        <v>68.051299999999998</v>
      </c>
      <c r="AJ96" s="104">
        <v>68.0512721864729</v>
      </c>
      <c r="AK96" s="99">
        <f t="shared" si="221"/>
        <v>2.781352709746443E-5</v>
      </c>
      <c r="AL96" s="153">
        <f t="shared" si="202"/>
        <v>4.0871428562349713E-5</v>
      </c>
      <c r="AM96" s="161">
        <v>27.3201</v>
      </c>
      <c r="AN96" s="104">
        <v>27.3200730560316</v>
      </c>
      <c r="AO96" s="99">
        <f t="shared" si="222"/>
        <v>2.6943968400416907E-5</v>
      </c>
      <c r="AP96" s="153">
        <f t="shared" si="203"/>
        <v>9.8623339495310547E-5</v>
      </c>
      <c r="AQ96" s="161">
        <v>51.0426</v>
      </c>
      <c r="AR96" s="104">
        <v>51.042646098221354</v>
      </c>
      <c r="AS96" s="99">
        <f t="shared" si="223"/>
        <v>-4.6098221353929603E-5</v>
      </c>
      <c r="AT96" s="153">
        <f t="shared" si="204"/>
        <v>-9.0313149645930983E-5</v>
      </c>
    </row>
    <row r="97" spans="2:46" ht="15.75" thickBot="1" x14ac:dyDescent="0.3">
      <c r="B97" s="34">
        <v>-852</v>
      </c>
      <c r="C97" s="235">
        <v>-5874335</v>
      </c>
      <c r="D97" s="160">
        <f t="shared" si="205"/>
        <v>-5874334.7419326147</v>
      </c>
      <c r="E97" s="101">
        <f t="shared" si="206"/>
        <v>-0.25806738529354334</v>
      </c>
      <c r="F97" s="57">
        <f t="shared" si="194"/>
        <v>4.3931338037546185E-6</v>
      </c>
      <c r="G97" s="235">
        <v>-59.901499999999999</v>
      </c>
      <c r="H97" s="160">
        <f t="shared" si="207"/>
        <v>-59.901531257045583</v>
      </c>
      <c r="I97" s="101">
        <f t="shared" si="208"/>
        <v>3.1257045584709431E-5</v>
      </c>
      <c r="J97" s="57">
        <f t="shared" si="195"/>
        <v>-5.2180712126675383E-5</v>
      </c>
      <c r="K97" s="235">
        <v>-57.975200000000001</v>
      </c>
      <c r="L97" s="160">
        <f t="shared" si="209"/>
        <v>-57.97517828812785</v>
      </c>
      <c r="M97" s="101">
        <f t="shared" si="210"/>
        <v>-2.1711872150831368E-5</v>
      </c>
      <c r="N97" s="57">
        <f t="shared" si="196"/>
        <v>3.7450289575526022E-5</v>
      </c>
      <c r="O97" s="235">
        <v>-58.743299999999998</v>
      </c>
      <c r="P97" s="160">
        <f t="shared" si="211"/>
        <v>-58.743347419326149</v>
      </c>
      <c r="Q97" s="101">
        <f t="shared" si="212"/>
        <v>4.7419326151043606E-5</v>
      </c>
      <c r="R97" s="57">
        <f t="shared" si="197"/>
        <v>-8.0722887329779549E-5</v>
      </c>
      <c r="S97" s="235">
        <v>-5874.33</v>
      </c>
      <c r="T97" s="160">
        <f t="shared" si="213"/>
        <v>-5874.3347419326146</v>
      </c>
      <c r="U97" s="101">
        <f t="shared" si="214"/>
        <v>4.7419326147064567E-3</v>
      </c>
      <c r="V97" s="57">
        <f t="shared" si="198"/>
        <v>-8.0722887323005942E-5</v>
      </c>
      <c r="W97" s="235">
        <v>-599015</v>
      </c>
      <c r="X97" s="160">
        <f t="shared" si="215"/>
        <v>-599015.43768082012</v>
      </c>
      <c r="Y97" s="101">
        <f t="shared" si="216"/>
        <v>0.43768082011956722</v>
      </c>
      <c r="Z97" s="57">
        <f t="shared" si="199"/>
        <v>-7.3066701221276609E-5</v>
      </c>
      <c r="AA97" s="235">
        <v>-5.8743299999999996</v>
      </c>
      <c r="AB97" s="160">
        <f t="shared" si="217"/>
        <v>-5.8743347419326151</v>
      </c>
      <c r="AC97" s="101">
        <f t="shared" si="218"/>
        <v>4.741932615459632E-6</v>
      </c>
      <c r="AD97" s="57">
        <f t="shared" si="200"/>
        <v>-8.0722887335827392E-5</v>
      </c>
      <c r="AE97" s="235">
        <v>-44061.1</v>
      </c>
      <c r="AF97" s="160">
        <f t="shared" si="219"/>
        <v>-44061.129154695642</v>
      </c>
      <c r="AG97" s="101">
        <f t="shared" si="220"/>
        <v>2.9154695643228479E-2</v>
      </c>
      <c r="AH97" s="163">
        <f t="shared" si="201"/>
        <v>-6.6168743748868341E-5</v>
      </c>
      <c r="AI97" s="235">
        <v>-58743.3</v>
      </c>
      <c r="AJ97" s="160">
        <v>-58743.347419326099</v>
      </c>
      <c r="AK97" s="101">
        <f t="shared" si="221"/>
        <v>4.7419326096132863E-2</v>
      </c>
      <c r="AL97" s="163">
        <f t="shared" si="202"/>
        <v>-8.0722887236303934E-5</v>
      </c>
      <c r="AM97" s="235">
        <v>-23583.3</v>
      </c>
      <c r="AN97" s="160">
        <v>-23583.284948063701</v>
      </c>
      <c r="AO97" s="101">
        <f t="shared" si="222"/>
        <v>-1.5051936297822976E-2</v>
      </c>
      <c r="AP97" s="163">
        <f t="shared" si="203"/>
        <v>6.3824595814243474E-5</v>
      </c>
      <c r="AQ97" s="235">
        <v>-44061.1</v>
      </c>
      <c r="AR97" s="160">
        <v>-44061.129154695642</v>
      </c>
      <c r="AS97" s="101">
        <f t="shared" si="223"/>
        <v>2.9154695643228479E-2</v>
      </c>
      <c r="AT97" s="163">
        <f t="shared" si="204"/>
        <v>-6.6168743748868341E-5</v>
      </c>
    </row>
    <row r="98" spans="2:46" ht="15.75" thickBot="1" x14ac:dyDescent="0.3">
      <c r="C98" s="165"/>
      <c r="D98" s="165"/>
      <c r="E98" s="164"/>
      <c r="F98" s="164"/>
      <c r="G98" s="165"/>
      <c r="H98" s="165"/>
      <c r="I98" s="164"/>
      <c r="J98" s="164"/>
      <c r="K98" s="165"/>
      <c r="L98" s="165"/>
      <c r="M98" s="164"/>
      <c r="N98" s="164"/>
      <c r="O98" s="165"/>
      <c r="P98" s="165"/>
      <c r="Q98" s="164"/>
      <c r="R98" s="164"/>
      <c r="S98" s="165"/>
      <c r="T98" s="165"/>
      <c r="U98" s="164"/>
      <c r="V98" s="164"/>
      <c r="W98" s="165"/>
      <c r="X98" s="165"/>
      <c r="Y98" s="164"/>
      <c r="Z98" s="164"/>
      <c r="AA98" s="165"/>
      <c r="AB98" s="165"/>
      <c r="AC98" s="164"/>
      <c r="AD98" s="164"/>
      <c r="AE98" s="165"/>
      <c r="AF98" s="165"/>
      <c r="AG98" s="164"/>
      <c r="AH98" s="164"/>
    </row>
    <row r="99" spans="2:46" x14ac:dyDescent="0.25">
      <c r="B99" s="341" t="s">
        <v>10</v>
      </c>
      <c r="C99" s="166" t="s">
        <v>14</v>
      </c>
      <c r="D99" s="168" t="s">
        <v>14</v>
      </c>
      <c r="E99" s="343" t="s">
        <v>354</v>
      </c>
      <c r="F99" s="352" t="s">
        <v>355</v>
      </c>
      <c r="G99" s="166" t="s">
        <v>14</v>
      </c>
      <c r="H99" s="238" t="s">
        <v>14</v>
      </c>
      <c r="I99" s="343" t="s">
        <v>354</v>
      </c>
      <c r="J99" s="352" t="s">
        <v>355</v>
      </c>
      <c r="K99" s="166" t="s">
        <v>14</v>
      </c>
      <c r="L99" s="238" t="s">
        <v>14</v>
      </c>
      <c r="M99" s="343" t="s">
        <v>354</v>
      </c>
      <c r="N99" s="352" t="s">
        <v>355</v>
      </c>
      <c r="O99" s="166" t="s">
        <v>14</v>
      </c>
      <c r="P99" s="238" t="s">
        <v>14</v>
      </c>
      <c r="Q99" s="343" t="s">
        <v>354</v>
      </c>
      <c r="R99" s="352" t="s">
        <v>355</v>
      </c>
      <c r="S99" s="166" t="s">
        <v>14</v>
      </c>
      <c r="T99" s="238" t="s">
        <v>14</v>
      </c>
      <c r="U99" s="343" t="s">
        <v>354</v>
      </c>
      <c r="V99" s="352" t="s">
        <v>355</v>
      </c>
      <c r="W99" s="166" t="s">
        <v>14</v>
      </c>
      <c r="X99" s="238" t="s">
        <v>14</v>
      </c>
      <c r="Y99" s="343" t="s">
        <v>354</v>
      </c>
      <c r="Z99" s="352" t="s">
        <v>355</v>
      </c>
      <c r="AA99" s="166" t="s">
        <v>14</v>
      </c>
      <c r="AB99" s="238" t="s">
        <v>14</v>
      </c>
      <c r="AC99" s="343" t="s">
        <v>354</v>
      </c>
      <c r="AD99" s="352" t="s">
        <v>355</v>
      </c>
      <c r="AE99" s="166" t="s">
        <v>14</v>
      </c>
      <c r="AF99" s="238" t="s">
        <v>14</v>
      </c>
      <c r="AG99" s="343" t="s">
        <v>354</v>
      </c>
      <c r="AH99" s="357" t="s">
        <v>355</v>
      </c>
      <c r="AI99" s="166" t="s">
        <v>14</v>
      </c>
      <c r="AJ99" s="238" t="s">
        <v>14</v>
      </c>
      <c r="AK99" s="343" t="s">
        <v>354</v>
      </c>
      <c r="AL99" s="357" t="s">
        <v>355</v>
      </c>
      <c r="AM99" s="166" t="s">
        <v>14</v>
      </c>
      <c r="AN99" s="238" t="s">
        <v>14</v>
      </c>
      <c r="AO99" s="343" t="s">
        <v>354</v>
      </c>
      <c r="AP99" s="357" t="s">
        <v>355</v>
      </c>
      <c r="AQ99" s="166" t="s">
        <v>14</v>
      </c>
      <c r="AR99" s="238" t="s">
        <v>14</v>
      </c>
      <c r="AS99" s="343" t="s">
        <v>354</v>
      </c>
      <c r="AT99" s="357" t="s">
        <v>355</v>
      </c>
    </row>
    <row r="100" spans="2:46" ht="15.75" thickBot="1" x14ac:dyDescent="0.3">
      <c r="B100" s="342"/>
      <c r="C100" s="167" t="s">
        <v>290</v>
      </c>
      <c r="D100" s="169" t="s">
        <v>291</v>
      </c>
      <c r="E100" s="344"/>
      <c r="F100" s="353"/>
      <c r="G100" s="167" t="s">
        <v>290</v>
      </c>
      <c r="H100" s="239" t="s">
        <v>291</v>
      </c>
      <c r="I100" s="344"/>
      <c r="J100" s="353"/>
      <c r="K100" s="167" t="s">
        <v>290</v>
      </c>
      <c r="L100" s="239" t="s">
        <v>291</v>
      </c>
      <c r="M100" s="344"/>
      <c r="N100" s="353"/>
      <c r="O100" s="167" t="s">
        <v>290</v>
      </c>
      <c r="P100" s="239" t="s">
        <v>291</v>
      </c>
      <c r="Q100" s="344"/>
      <c r="R100" s="353"/>
      <c r="S100" s="167" t="s">
        <v>290</v>
      </c>
      <c r="T100" s="239" t="s">
        <v>291</v>
      </c>
      <c r="U100" s="344"/>
      <c r="V100" s="353"/>
      <c r="W100" s="167" t="s">
        <v>290</v>
      </c>
      <c r="X100" s="239" t="s">
        <v>291</v>
      </c>
      <c r="Y100" s="344"/>
      <c r="Z100" s="353"/>
      <c r="AA100" s="167" t="s">
        <v>290</v>
      </c>
      <c r="AB100" s="239" t="s">
        <v>291</v>
      </c>
      <c r="AC100" s="344"/>
      <c r="AD100" s="353"/>
      <c r="AE100" s="167" t="s">
        <v>290</v>
      </c>
      <c r="AF100" s="239" t="s">
        <v>291</v>
      </c>
      <c r="AG100" s="344"/>
      <c r="AH100" s="358"/>
      <c r="AI100" s="167" t="s">
        <v>290</v>
      </c>
      <c r="AJ100" s="239" t="s">
        <v>291</v>
      </c>
      <c r="AK100" s="344"/>
      <c r="AL100" s="358"/>
      <c r="AM100" s="167" t="s">
        <v>290</v>
      </c>
      <c r="AN100" s="239" t="s">
        <v>291</v>
      </c>
      <c r="AO100" s="344"/>
      <c r="AP100" s="358"/>
      <c r="AQ100" s="167" t="s">
        <v>290</v>
      </c>
      <c r="AR100" s="239" t="s">
        <v>291</v>
      </c>
      <c r="AS100" s="344"/>
      <c r="AT100" s="358"/>
    </row>
    <row r="101" spans="2:46" ht="15.75" thickBot="1" x14ac:dyDescent="0.3">
      <c r="B101" s="346" t="s">
        <v>26</v>
      </c>
      <c r="C101" s="363" t="s">
        <v>18</v>
      </c>
      <c r="D101" s="177" t="s">
        <v>18</v>
      </c>
      <c r="E101" s="344"/>
      <c r="F101" s="354"/>
      <c r="G101" s="363" t="s">
        <v>19</v>
      </c>
      <c r="H101" s="177" t="s">
        <v>19</v>
      </c>
      <c r="I101" s="344"/>
      <c r="J101" s="354"/>
      <c r="K101" s="363" t="s">
        <v>20</v>
      </c>
      <c r="L101" s="177" t="s">
        <v>20</v>
      </c>
      <c r="M101" s="344"/>
      <c r="N101" s="354"/>
      <c r="O101" s="363" t="s">
        <v>21</v>
      </c>
      <c r="P101" s="240" t="s">
        <v>21</v>
      </c>
      <c r="Q101" s="344"/>
      <c r="R101" s="354"/>
      <c r="S101" s="363" t="s">
        <v>22</v>
      </c>
      <c r="T101" s="177" t="s">
        <v>22</v>
      </c>
      <c r="U101" s="344"/>
      <c r="V101" s="354"/>
      <c r="W101" s="363" t="s">
        <v>23</v>
      </c>
      <c r="X101" s="177" t="s">
        <v>23</v>
      </c>
      <c r="Y101" s="344"/>
      <c r="Z101" s="354"/>
      <c r="AA101" s="363" t="s">
        <v>24</v>
      </c>
      <c r="AB101" s="177" t="s">
        <v>24</v>
      </c>
      <c r="AC101" s="344"/>
      <c r="AD101" s="354"/>
      <c r="AE101" s="363" t="s">
        <v>25</v>
      </c>
      <c r="AF101" s="225" t="s">
        <v>25</v>
      </c>
      <c r="AG101" s="344"/>
      <c r="AH101" s="358"/>
      <c r="AI101" s="346" t="s">
        <v>681</v>
      </c>
      <c r="AJ101" s="17" t="s">
        <v>681</v>
      </c>
      <c r="AK101" s="344"/>
      <c r="AL101" s="358"/>
      <c r="AM101" s="346" t="s">
        <v>700</v>
      </c>
      <c r="AN101" s="17" t="s">
        <v>700</v>
      </c>
      <c r="AO101" s="344"/>
      <c r="AP101" s="358"/>
      <c r="AQ101" s="346" t="s">
        <v>721</v>
      </c>
      <c r="AR101" s="17" t="s">
        <v>721</v>
      </c>
      <c r="AS101" s="344"/>
      <c r="AT101" s="358"/>
    </row>
    <row r="102" spans="2:46" ht="24" thickBot="1" x14ac:dyDescent="0.3">
      <c r="B102" s="347"/>
      <c r="C102" s="364"/>
      <c r="D102" s="236" t="s">
        <v>332</v>
      </c>
      <c r="E102" s="345"/>
      <c r="F102" s="345"/>
      <c r="G102" s="364"/>
      <c r="H102" s="237" t="s">
        <v>333</v>
      </c>
      <c r="I102" s="345"/>
      <c r="J102" s="345"/>
      <c r="K102" s="364"/>
      <c r="L102" s="237" t="s">
        <v>334</v>
      </c>
      <c r="M102" s="345"/>
      <c r="N102" s="345"/>
      <c r="O102" s="364"/>
      <c r="P102" s="237" t="s">
        <v>335</v>
      </c>
      <c r="Q102" s="345"/>
      <c r="R102" s="345"/>
      <c r="S102" s="364"/>
      <c r="T102" s="237" t="s">
        <v>336</v>
      </c>
      <c r="U102" s="345"/>
      <c r="V102" s="345"/>
      <c r="W102" s="364"/>
      <c r="X102" s="237" t="s">
        <v>337</v>
      </c>
      <c r="Y102" s="345"/>
      <c r="Z102" s="345"/>
      <c r="AA102" s="364"/>
      <c r="AB102" s="237" t="s">
        <v>338</v>
      </c>
      <c r="AC102" s="345"/>
      <c r="AD102" s="345"/>
      <c r="AE102" s="364"/>
      <c r="AF102" s="237" t="s">
        <v>339</v>
      </c>
      <c r="AG102" s="345"/>
      <c r="AH102" s="359"/>
      <c r="AI102" s="347"/>
      <c r="AJ102" s="237" t="s">
        <v>690</v>
      </c>
      <c r="AK102" s="345"/>
      <c r="AL102" s="359"/>
      <c r="AM102" s="347"/>
      <c r="AN102" s="237" t="s">
        <v>709</v>
      </c>
      <c r="AO102" s="345"/>
      <c r="AP102" s="359"/>
      <c r="AQ102" s="347"/>
      <c r="AR102" s="237" t="s">
        <v>742</v>
      </c>
      <c r="AS102" s="345"/>
      <c r="AT102" s="359"/>
    </row>
    <row r="103" spans="2:46" x14ac:dyDescent="0.25">
      <c r="B103" s="95">
        <v>1</v>
      </c>
      <c r="C103" s="234">
        <v>133.322</v>
      </c>
      <c r="D103" s="106">
        <f>B103/0.007500616</f>
        <v>133.32238312159961</v>
      </c>
      <c r="E103" s="100">
        <f>C103-D103</f>
        <v>-3.8312159961151337E-4</v>
      </c>
      <c r="F103" s="54">
        <f t="shared" ref="F103:F108" si="224">(100*E103)/D103</f>
        <v>-2.873647999991711E-4</v>
      </c>
      <c r="G103" s="234">
        <v>1.35951E-3</v>
      </c>
      <c r="H103" s="106">
        <f>D103*0.00001019716</f>
        <v>1.3595096722722507E-3</v>
      </c>
      <c r="I103" s="100">
        <f>G103-H103</f>
        <v>3.2772774923549297E-10</v>
      </c>
      <c r="J103" s="54">
        <f t="shared" ref="J103:J108" si="225">(100*I103)/H103</f>
        <v>2.4106319794528341E-5</v>
      </c>
      <c r="K103" s="234">
        <v>1.3157900000000001E-3</v>
      </c>
      <c r="L103" s="106">
        <f>D103*0.000009869233</f>
        <v>1.3157896631423339E-3</v>
      </c>
      <c r="M103" s="100">
        <f>K103-L103</f>
        <v>3.368576661100936E-10</v>
      </c>
      <c r="N103" s="54">
        <f t="shared" ref="N103:N108" si="226">(100*M103)/L103</f>
        <v>2.560117893810011E-5</v>
      </c>
      <c r="O103" s="234">
        <v>1.33322E-3</v>
      </c>
      <c r="P103" s="106">
        <f>D103/100000</f>
        <v>1.3332238312159961E-3</v>
      </c>
      <c r="Q103" s="100">
        <f>O103-P103</f>
        <v>-3.8312159961455955E-9</v>
      </c>
      <c r="R103" s="54">
        <f t="shared" ref="R103:R108" si="227">(100*Q103)/P103</f>
        <v>-2.8736480000145594E-4</v>
      </c>
      <c r="S103" s="234">
        <v>0.133322</v>
      </c>
      <c r="T103" s="106">
        <f>D103/1000</f>
        <v>0.13332238312159961</v>
      </c>
      <c r="U103" s="100">
        <f>S103-T103</f>
        <v>-3.8312159961195746E-7</v>
      </c>
      <c r="V103" s="54">
        <f t="shared" ref="V103:V108" si="228">(100*U103)/T103</f>
        <v>-2.8736479999950422E-4</v>
      </c>
      <c r="W103" s="234">
        <v>13.5951</v>
      </c>
      <c r="X103" s="106">
        <f>D103/9.80665</f>
        <v>13.595099562195003</v>
      </c>
      <c r="Y103" s="100">
        <f>W103-X103</f>
        <v>4.3780499758838687E-7</v>
      </c>
      <c r="Z103" s="54">
        <f t="shared" ref="Z103:Z108" si="229">(100*Y103)/X103</f>
        <v>3.2203147581634988E-6</v>
      </c>
      <c r="AA103" s="234">
        <v>1.3332200000000001E-4</v>
      </c>
      <c r="AB103" s="106">
        <f>D103/1000000</f>
        <v>1.3332238312159961E-4</v>
      </c>
      <c r="AC103" s="100">
        <f>AA103-AB103</f>
        <v>-3.8312159960371753E-10</v>
      </c>
      <c r="AD103" s="54">
        <f t="shared" ref="AD103:AD108" si="230">(100*AC103)/AB103</f>
        <v>-2.8736479999332372E-4</v>
      </c>
      <c r="AE103" s="234">
        <v>1.9336800000000001E-2</v>
      </c>
      <c r="AF103" s="106">
        <f>D103*0.0001450377</f>
        <v>1.9336771806475628E-2</v>
      </c>
      <c r="AG103" s="100">
        <f>AE103-AF103</f>
        <v>2.8193524372749357E-8</v>
      </c>
      <c r="AH103" s="162">
        <f t="shared" ref="AH103:AH108" si="231">(100*AG103)/AF103</f>
        <v>1.4580264304152215E-4</v>
      </c>
      <c r="AI103" s="234">
        <v>1.3332200000000001</v>
      </c>
      <c r="AJ103" s="106">
        <v>1.3332238312159901</v>
      </c>
      <c r="AK103" s="100">
        <f>AI103-AJ103</f>
        <v>-3.831215990013348E-6</v>
      </c>
      <c r="AL103" s="162">
        <f t="shared" ref="AL103:AL108" si="232">(100*AK103)/AJ103</f>
        <v>-2.873647995415009E-4</v>
      </c>
      <c r="AM103" s="234">
        <v>0.53524000000000005</v>
      </c>
      <c r="AN103" s="106">
        <v>0.53524014024389699</v>
      </c>
      <c r="AO103" s="100">
        <f>AM103-AN103</f>
        <v>-1.4024389694000661E-7</v>
      </c>
      <c r="AP103" s="162">
        <f t="shared" ref="AP103:AP108" si="233">(100*AO103)/AN103</f>
        <v>-2.6202051452288425E-5</v>
      </c>
      <c r="AQ103" s="234">
        <v>1</v>
      </c>
      <c r="AR103" s="106">
        <v>1</v>
      </c>
      <c r="AS103" s="100">
        <f>AQ103-AR103</f>
        <v>0</v>
      </c>
      <c r="AT103" s="162">
        <f t="shared" ref="AT103:AT108" si="234">(100*AS103)/AR103</f>
        <v>0</v>
      </c>
    </row>
    <row r="104" spans="2:46" x14ac:dyDescent="0.25">
      <c r="B104" s="32">
        <v>852</v>
      </c>
      <c r="C104" s="161">
        <v>113591</v>
      </c>
      <c r="D104" s="104">
        <f t="shared" ref="D104:D108" si="235">B104/0.007500616</f>
        <v>113590.67041960287</v>
      </c>
      <c r="E104" s="99">
        <f t="shared" ref="E104:E108" si="236">C104-D104</f>
        <v>0.32958039712684695</v>
      </c>
      <c r="F104" s="52">
        <f t="shared" si="224"/>
        <v>2.9014741783755659E-4</v>
      </c>
      <c r="G104" s="161">
        <v>1.1583000000000001</v>
      </c>
      <c r="H104" s="104">
        <f t="shared" ref="H104:H108" si="237">D104*0.00001019716</f>
        <v>1.1583022407759576</v>
      </c>
      <c r="I104" s="99">
        <f t="shared" ref="I104:I108" si="238">G104-H104</f>
        <v>-2.2407759574516461E-6</v>
      </c>
      <c r="J104" s="52">
        <f t="shared" si="225"/>
        <v>-1.934534768706421E-4</v>
      </c>
      <c r="K104" s="161">
        <v>1.1210500000000001</v>
      </c>
      <c r="L104" s="104">
        <f t="shared" ref="L104:L108" si="239">D104*0.000009869233</f>
        <v>1.1210527929972687</v>
      </c>
      <c r="M104" s="99">
        <f t="shared" ref="M104:M108" si="240">K104-L104</f>
        <v>-2.7929972685747373E-6</v>
      </c>
      <c r="N104" s="52">
        <f t="shared" si="226"/>
        <v>-2.4914056554886459E-4</v>
      </c>
      <c r="O104" s="161">
        <v>1.13591</v>
      </c>
      <c r="P104" s="104">
        <f t="shared" ref="P104:P108" si="241">D104/100000</f>
        <v>1.1359067041960287</v>
      </c>
      <c r="Q104" s="99">
        <f t="shared" ref="Q104:Q108" si="242">O104-P104</f>
        <v>3.295803971292699E-6</v>
      </c>
      <c r="R104" s="52">
        <f t="shared" si="227"/>
        <v>2.9014741783968965E-4</v>
      </c>
      <c r="S104" s="161">
        <v>113.59099999999999</v>
      </c>
      <c r="T104" s="104">
        <f t="shared" ref="T104:T108" si="243">D104/1000</f>
        <v>113.59067041960287</v>
      </c>
      <c r="U104" s="99">
        <f t="shared" ref="U104:U108" si="244">S104-T104</f>
        <v>3.2958039712127629E-4</v>
      </c>
      <c r="V104" s="52">
        <f t="shared" si="228"/>
        <v>2.9014741783265247E-4</v>
      </c>
      <c r="W104" s="161">
        <v>11583</v>
      </c>
      <c r="X104" s="104">
        <f t="shared" ref="X104:X108" si="245">D104/9.80665</f>
        <v>11583.024826990142</v>
      </c>
      <c r="Y104" s="99">
        <f t="shared" ref="Y104:Y108" si="246">W104-X104</f>
        <v>-2.4826990142173599E-2</v>
      </c>
      <c r="Z104" s="52">
        <f t="shared" si="229"/>
        <v>-2.1433943648573628E-4</v>
      </c>
      <c r="AA104" s="161">
        <v>0.113591</v>
      </c>
      <c r="AB104" s="104">
        <f t="shared" ref="AB104:AB108" si="247">D104/1000000</f>
        <v>0.11359067041960287</v>
      </c>
      <c r="AC104" s="99">
        <f t="shared" ref="AC104:AC108" si="248">AA104-AB104</f>
        <v>3.2958039712649434E-7</v>
      </c>
      <c r="AD104" s="52">
        <f t="shared" si="230"/>
        <v>2.9014741783724618E-4</v>
      </c>
      <c r="AE104" s="161">
        <v>16.474900000000002</v>
      </c>
      <c r="AF104" s="104">
        <f t="shared" ref="AF104:AF108" si="249">D104*0.0001450377</f>
        <v>16.474929579117237</v>
      </c>
      <c r="AG104" s="99">
        <f t="shared" ref="AG104:AG108" si="250">AE104-AF104</f>
        <v>-2.9579117235556396E-5</v>
      </c>
      <c r="AH104" s="153">
        <f t="shared" si="231"/>
        <v>-1.7954017401718879E-4</v>
      </c>
      <c r="AI104" s="161">
        <v>1135.9100000000001</v>
      </c>
      <c r="AJ104" s="104">
        <v>1135.90670419602</v>
      </c>
      <c r="AK104" s="99">
        <f t="shared" ref="AK104:AK108" si="251">AI104-AJ104</f>
        <v>3.295803980108758E-3</v>
      </c>
      <c r="AL104" s="153">
        <f t="shared" si="232"/>
        <v>2.9014741861581718E-4</v>
      </c>
      <c r="AM104" s="161">
        <v>456.02499999999998</v>
      </c>
      <c r="AN104" s="104">
        <v>456.02459958780003</v>
      </c>
      <c r="AO104" s="99">
        <f t="shared" ref="AO104:AO108" si="252">AM104-AN104</f>
        <v>4.0041219995146093E-4</v>
      </c>
      <c r="AP104" s="153">
        <f t="shared" si="233"/>
        <v>8.7804956204861088E-5</v>
      </c>
      <c r="AQ104" s="161">
        <v>852</v>
      </c>
      <c r="AR104" s="104">
        <v>852</v>
      </c>
      <c r="AS104" s="99">
        <f t="shared" ref="AS104:AS108" si="253">AQ104-AR104</f>
        <v>0</v>
      </c>
      <c r="AT104" s="153">
        <f t="shared" si="234"/>
        <v>0</v>
      </c>
    </row>
    <row r="105" spans="2:46" x14ac:dyDescent="0.25">
      <c r="B105" s="32">
        <v>4123</v>
      </c>
      <c r="C105" s="161">
        <v>549688</v>
      </c>
      <c r="D105" s="104">
        <f t="shared" si="235"/>
        <v>549688.18561035523</v>
      </c>
      <c r="E105" s="99">
        <f t="shared" si="236"/>
        <v>-0.18561035522725433</v>
      </c>
      <c r="F105" s="52">
        <f t="shared" si="224"/>
        <v>-3.3766480722367873E-5</v>
      </c>
      <c r="G105" s="161">
        <v>5.6052600000000004</v>
      </c>
      <c r="H105" s="104">
        <f t="shared" si="237"/>
        <v>5.6052583787784904</v>
      </c>
      <c r="I105" s="99">
        <f t="shared" si="238"/>
        <v>1.6212215099287164E-6</v>
      </c>
      <c r="J105" s="52">
        <f t="shared" si="225"/>
        <v>2.8923225306912905E-5</v>
      </c>
      <c r="K105" s="161">
        <v>5.4249999999999998</v>
      </c>
      <c r="L105" s="104">
        <f t="shared" si="239"/>
        <v>5.4250007811358429</v>
      </c>
      <c r="M105" s="99">
        <f t="shared" si="240"/>
        <v>-7.8113584311978457E-7</v>
      </c>
      <c r="N105" s="52">
        <f t="shared" si="226"/>
        <v>-1.4398815311437368E-5</v>
      </c>
      <c r="O105" s="161">
        <v>5.49688</v>
      </c>
      <c r="P105" s="104">
        <f t="shared" si="241"/>
        <v>5.4968818561035526</v>
      </c>
      <c r="Q105" s="99">
        <f t="shared" si="242"/>
        <v>-1.8561035526332148E-6</v>
      </c>
      <c r="R105" s="52">
        <f t="shared" si="227"/>
        <v>-3.3766480728929254E-5</v>
      </c>
      <c r="S105" s="161">
        <v>549.68799999999999</v>
      </c>
      <c r="T105" s="104">
        <f t="shared" si="243"/>
        <v>549.68818561035528</v>
      </c>
      <c r="U105" s="99">
        <f t="shared" si="244"/>
        <v>-1.8561035528819048E-4</v>
      </c>
      <c r="V105" s="52">
        <f t="shared" si="228"/>
        <v>-3.3766480733453454E-5</v>
      </c>
      <c r="W105" s="161">
        <v>56052.6</v>
      </c>
      <c r="X105" s="104">
        <f t="shared" si="245"/>
        <v>56052.595494929999</v>
      </c>
      <c r="Y105" s="99">
        <f t="shared" si="246"/>
        <v>4.5050699991406873E-3</v>
      </c>
      <c r="Z105" s="52">
        <f t="shared" si="229"/>
        <v>8.0372192569533638E-6</v>
      </c>
      <c r="AA105" s="161">
        <v>0.54968799999999995</v>
      </c>
      <c r="AB105" s="104">
        <f t="shared" si="247"/>
        <v>0.54968818561035526</v>
      </c>
      <c r="AC105" s="99">
        <f t="shared" si="248"/>
        <v>-1.856103553077304E-7</v>
      </c>
      <c r="AD105" s="52">
        <f t="shared" si="230"/>
        <v>-3.3766480737008187E-5</v>
      </c>
      <c r="AE105" s="161">
        <v>79.725499999999997</v>
      </c>
      <c r="AF105" s="104">
        <f t="shared" si="249"/>
        <v>79.725510158099027</v>
      </c>
      <c r="AG105" s="99">
        <f t="shared" si="250"/>
        <v>-1.0158099030377343E-5</v>
      </c>
      <c r="AH105" s="153">
        <f t="shared" si="231"/>
        <v>-1.2741340896073801E-5</v>
      </c>
      <c r="AI105" s="161">
        <v>5496.88</v>
      </c>
      <c r="AJ105" s="104">
        <v>5496.8818561035496</v>
      </c>
      <c r="AK105" s="99">
        <f t="shared" si="251"/>
        <v>-1.8561035494712996E-3</v>
      </c>
      <c r="AL105" s="153">
        <f t="shared" si="232"/>
        <v>-3.3766480671407294E-5</v>
      </c>
      <c r="AM105" s="161">
        <v>2206.8000000000002</v>
      </c>
      <c r="AN105" s="104">
        <v>2206.7950982255902</v>
      </c>
      <c r="AO105" s="99">
        <f t="shared" si="252"/>
        <v>4.9017744099728588E-3</v>
      </c>
      <c r="AP105" s="153">
        <f t="shared" si="233"/>
        <v>2.2212186414199538E-4</v>
      </c>
      <c r="AQ105" s="161">
        <v>4123</v>
      </c>
      <c r="AR105" s="104">
        <v>4123</v>
      </c>
      <c r="AS105" s="99">
        <f t="shared" si="253"/>
        <v>0</v>
      </c>
      <c r="AT105" s="153">
        <f t="shared" si="234"/>
        <v>0</v>
      </c>
    </row>
    <row r="106" spans="2:46" x14ac:dyDescent="0.25">
      <c r="B106" s="32">
        <v>774411225588</v>
      </c>
      <c r="C106" s="161">
        <v>103246350111511</v>
      </c>
      <c r="D106" s="104">
        <f t="shared" si="235"/>
        <v>103246350111510.84</v>
      </c>
      <c r="E106" s="99">
        <f t="shared" si="236"/>
        <v>0.15625</v>
      </c>
      <c r="F106" s="52">
        <f t="shared" si="224"/>
        <v>1.5133706889516458E-13</v>
      </c>
      <c r="G106" s="161">
        <v>1052819552</v>
      </c>
      <c r="H106" s="104">
        <f t="shared" si="237"/>
        <v>1052819551.503094</v>
      </c>
      <c r="I106" s="99">
        <f t="shared" si="238"/>
        <v>0.49690604209899902</v>
      </c>
      <c r="J106" s="52">
        <f t="shared" si="225"/>
        <v>4.7197645730417342E-8</v>
      </c>
      <c r="K106" s="161">
        <v>1018962286</v>
      </c>
      <c r="L106" s="104">
        <f t="shared" si="239"/>
        <v>1018962285.6500765</v>
      </c>
      <c r="M106" s="99">
        <f t="shared" si="240"/>
        <v>0.34992349147796631</v>
      </c>
      <c r="N106" s="52">
        <f t="shared" si="226"/>
        <v>3.4341162220221183E-8</v>
      </c>
      <c r="O106" s="161">
        <v>1032463501</v>
      </c>
      <c r="P106" s="104">
        <f t="shared" si="241"/>
        <v>1032463501.1151085</v>
      </c>
      <c r="Q106" s="99">
        <f t="shared" si="242"/>
        <v>-0.11510848999023438</v>
      </c>
      <c r="R106" s="52">
        <f t="shared" si="227"/>
        <v>-1.1148916147245095E-8</v>
      </c>
      <c r="S106" s="161">
        <v>103246350112</v>
      </c>
      <c r="T106" s="104">
        <f t="shared" si="243"/>
        <v>103246350111.51085</v>
      </c>
      <c r="U106" s="99">
        <f t="shared" si="244"/>
        <v>0.4891510009765625</v>
      </c>
      <c r="V106" s="52">
        <f t="shared" si="228"/>
        <v>4.7377074390354399E-10</v>
      </c>
      <c r="W106" s="161">
        <v>10528197713950</v>
      </c>
      <c r="X106" s="104">
        <f t="shared" si="245"/>
        <v>10528197713950.314</v>
      </c>
      <c r="Y106" s="99">
        <f t="shared" si="246"/>
        <v>-0.314453125</v>
      </c>
      <c r="Z106" s="52">
        <f t="shared" si="229"/>
        <v>-2.986770704195041E-12</v>
      </c>
      <c r="AA106" s="161">
        <v>103246350</v>
      </c>
      <c r="AB106" s="104">
        <f t="shared" si="247"/>
        <v>103246350.11151084</v>
      </c>
      <c r="AC106" s="99">
        <f t="shared" si="248"/>
        <v>-0.11151084303855896</v>
      </c>
      <c r="AD106" s="52">
        <f t="shared" si="230"/>
        <v>-1.080046344670994E-7</v>
      </c>
      <c r="AE106" s="161">
        <v>14974613154</v>
      </c>
      <c r="AF106" s="104">
        <f t="shared" si="249"/>
        <v>14974613153.568277</v>
      </c>
      <c r="AG106" s="99">
        <f t="shared" si="250"/>
        <v>0.43172264099121094</v>
      </c>
      <c r="AH106" s="153">
        <f t="shared" si="231"/>
        <v>2.8830303431800934E-9</v>
      </c>
      <c r="AI106" s="161">
        <v>1032463501115</v>
      </c>
      <c r="AJ106" s="104">
        <v>1032463501115.1</v>
      </c>
      <c r="AK106" s="99">
        <f t="shared" si="251"/>
        <v>-9.99755859375E-2</v>
      </c>
      <c r="AL106" s="153">
        <f t="shared" si="232"/>
        <v>-9.6832077675891259E-12</v>
      </c>
      <c r="AM106" s="161">
        <v>414495972990</v>
      </c>
      <c r="AN106" s="104">
        <v>414495972990.16901</v>
      </c>
      <c r="AO106" s="99">
        <f t="shared" si="252"/>
        <v>-0.16900634765625</v>
      </c>
      <c r="AP106" s="153">
        <f t="shared" si="233"/>
        <v>-4.0773942008903061E-11</v>
      </c>
      <c r="AQ106" s="161">
        <v>774411225588</v>
      </c>
      <c r="AR106" s="104">
        <v>774411225588</v>
      </c>
      <c r="AS106" s="99">
        <f t="shared" si="253"/>
        <v>0</v>
      </c>
      <c r="AT106" s="153">
        <f t="shared" si="234"/>
        <v>0</v>
      </c>
    </row>
    <row r="107" spans="2:46" x14ac:dyDescent="0.25">
      <c r="B107" s="105">
        <v>0.98699999999999999</v>
      </c>
      <c r="C107" s="159">
        <v>131.589</v>
      </c>
      <c r="D107" s="104">
        <f t="shared" si="235"/>
        <v>131.58919214101883</v>
      </c>
      <c r="E107" s="99">
        <f t="shared" si="236"/>
        <v>-1.9214101882880641E-4</v>
      </c>
      <c r="F107" s="52">
        <f t="shared" si="224"/>
        <v>-1.4601580547959943E-4</v>
      </c>
      <c r="G107" s="161">
        <v>1.34184E-3</v>
      </c>
      <c r="H107" s="104">
        <f t="shared" si="237"/>
        <v>1.3418360465327116E-3</v>
      </c>
      <c r="I107" s="99">
        <f t="shared" si="238"/>
        <v>3.9534672883513589E-9</v>
      </c>
      <c r="J107" s="52">
        <f t="shared" si="225"/>
        <v>2.9463117335139948E-4</v>
      </c>
      <c r="K107" s="161">
        <v>1.29868E-3</v>
      </c>
      <c r="L107" s="104">
        <f t="shared" si="239"/>
        <v>1.2986843975214836E-3</v>
      </c>
      <c r="M107" s="99">
        <f t="shared" si="240"/>
        <v>-4.3975214836754206E-9</v>
      </c>
      <c r="N107" s="52">
        <f t="shared" si="226"/>
        <v>-3.386135609288918E-4</v>
      </c>
      <c r="O107" s="161">
        <v>1.3158899999999999E-3</v>
      </c>
      <c r="P107" s="104">
        <f t="shared" si="241"/>
        <v>1.3158919214101882E-3</v>
      </c>
      <c r="Q107" s="99">
        <f t="shared" si="242"/>
        <v>-1.9214101882897988E-9</v>
      </c>
      <c r="R107" s="52">
        <f t="shared" si="227"/>
        <v>-1.4601580547973127E-4</v>
      </c>
      <c r="S107" s="161">
        <v>0.13158900000000001</v>
      </c>
      <c r="T107" s="104">
        <f t="shared" si="243"/>
        <v>0.13158919214101883</v>
      </c>
      <c r="U107" s="99">
        <f t="shared" si="244"/>
        <v>-1.9214101881770418E-7</v>
      </c>
      <c r="V107" s="52">
        <f t="shared" si="228"/>
        <v>-1.4601580547116241E-4</v>
      </c>
      <c r="W107" s="161">
        <v>13.4184</v>
      </c>
      <c r="X107" s="104">
        <f t="shared" si="245"/>
        <v>13.418363267886468</v>
      </c>
      <c r="Y107" s="99">
        <f t="shared" si="246"/>
        <v>3.6732113532167432E-5</v>
      </c>
      <c r="Z107" s="52">
        <f t="shared" si="229"/>
        <v>2.7374511182057991E-4</v>
      </c>
      <c r="AA107" s="161">
        <v>1.3158899999999999E-4</v>
      </c>
      <c r="AB107" s="104">
        <f t="shared" si="247"/>
        <v>1.3158919214101882E-4</v>
      </c>
      <c r="AC107" s="99">
        <f t="shared" si="248"/>
        <v>-1.9214101883440089E-10</v>
      </c>
      <c r="AD107" s="52">
        <f t="shared" si="230"/>
        <v>-1.4601580548385091E-4</v>
      </c>
      <c r="AE107" s="161">
        <v>1.9085399999999999E-2</v>
      </c>
      <c r="AF107" s="104">
        <f t="shared" si="249"/>
        <v>1.9085393772991448E-2</v>
      </c>
      <c r="AG107" s="99">
        <f t="shared" si="250"/>
        <v>6.2270085511573203E-9</v>
      </c>
      <c r="AH107" s="153">
        <f t="shared" si="231"/>
        <v>3.2627089727482725E-5</v>
      </c>
      <c r="AI107" s="161">
        <v>1.31589</v>
      </c>
      <c r="AJ107" s="104">
        <v>1.3158919214101801</v>
      </c>
      <c r="AK107" s="99">
        <f t="shared" si="251"/>
        <v>-1.9214101800724137E-6</v>
      </c>
      <c r="AL107" s="153">
        <f t="shared" si="232"/>
        <v>-1.4601580485525952E-4</v>
      </c>
      <c r="AM107" s="161">
        <v>0.52828200000000003</v>
      </c>
      <c r="AN107" s="104">
        <v>0.52828201842072697</v>
      </c>
      <c r="AO107" s="99">
        <f t="shared" si="252"/>
        <v>-1.8420726943801924E-8</v>
      </c>
      <c r="AP107" s="153">
        <f t="shared" si="233"/>
        <v>-3.486911592953661E-6</v>
      </c>
      <c r="AQ107" s="161">
        <v>0.98699999999999999</v>
      </c>
      <c r="AR107" s="104">
        <v>0.98699999999999999</v>
      </c>
      <c r="AS107" s="99">
        <f t="shared" si="253"/>
        <v>0</v>
      </c>
      <c r="AT107" s="153">
        <f t="shared" si="234"/>
        <v>0</v>
      </c>
    </row>
    <row r="108" spans="2:46" ht="15.75" thickBot="1" x14ac:dyDescent="0.3">
      <c r="B108" s="34">
        <v>-852</v>
      </c>
      <c r="C108" s="235">
        <v>-113591</v>
      </c>
      <c r="D108" s="160">
        <f t="shared" si="235"/>
        <v>-113590.67041960287</v>
      </c>
      <c r="E108" s="101">
        <f t="shared" si="236"/>
        <v>-0.32958039712684695</v>
      </c>
      <c r="F108" s="57">
        <f t="shared" si="224"/>
        <v>2.9014741783755659E-4</v>
      </c>
      <c r="G108" s="235">
        <v>-1.1583000000000001</v>
      </c>
      <c r="H108" s="160">
        <f t="shared" si="237"/>
        <v>-1.1583022407759576</v>
      </c>
      <c r="I108" s="101">
        <f t="shared" si="238"/>
        <v>2.2407759574516461E-6</v>
      </c>
      <c r="J108" s="57">
        <f t="shared" si="225"/>
        <v>-1.934534768706421E-4</v>
      </c>
      <c r="K108" s="235">
        <v>-1.1210500000000001</v>
      </c>
      <c r="L108" s="160">
        <f t="shared" si="239"/>
        <v>-1.1210527929972687</v>
      </c>
      <c r="M108" s="101">
        <f t="shared" si="240"/>
        <v>2.7929972685747373E-6</v>
      </c>
      <c r="N108" s="57">
        <f t="shared" si="226"/>
        <v>-2.4914056554886459E-4</v>
      </c>
      <c r="O108" s="235">
        <v>-1.13591</v>
      </c>
      <c r="P108" s="160">
        <f t="shared" si="241"/>
        <v>-1.1359067041960287</v>
      </c>
      <c r="Q108" s="101">
        <f t="shared" si="242"/>
        <v>-3.295803971292699E-6</v>
      </c>
      <c r="R108" s="57">
        <f t="shared" si="227"/>
        <v>2.9014741783968965E-4</v>
      </c>
      <c r="S108" s="235">
        <v>-113.59099999999999</v>
      </c>
      <c r="T108" s="160">
        <f t="shared" si="243"/>
        <v>-113.59067041960287</v>
      </c>
      <c r="U108" s="101">
        <f t="shared" si="244"/>
        <v>-3.2958039712127629E-4</v>
      </c>
      <c r="V108" s="57">
        <f t="shared" si="228"/>
        <v>2.9014741783265247E-4</v>
      </c>
      <c r="W108" s="235">
        <v>-11583</v>
      </c>
      <c r="X108" s="160">
        <f t="shared" si="245"/>
        <v>-11583.024826990142</v>
      </c>
      <c r="Y108" s="101">
        <f t="shared" si="246"/>
        <v>2.4826990142173599E-2</v>
      </c>
      <c r="Z108" s="57">
        <f t="shared" si="229"/>
        <v>-2.1433943648573628E-4</v>
      </c>
      <c r="AA108" s="235">
        <v>-0.113591</v>
      </c>
      <c r="AB108" s="160">
        <f t="shared" si="247"/>
        <v>-0.11359067041960287</v>
      </c>
      <c r="AC108" s="101">
        <f t="shared" si="248"/>
        <v>-3.2958039712649434E-7</v>
      </c>
      <c r="AD108" s="57">
        <f t="shared" si="230"/>
        <v>2.9014741783724618E-4</v>
      </c>
      <c r="AE108" s="235">
        <v>-16.474900000000002</v>
      </c>
      <c r="AF108" s="160">
        <f t="shared" si="249"/>
        <v>-16.474929579117237</v>
      </c>
      <c r="AG108" s="101">
        <f t="shared" si="250"/>
        <v>2.9579117235556396E-5</v>
      </c>
      <c r="AH108" s="163">
        <f t="shared" si="231"/>
        <v>-1.7954017401718879E-4</v>
      </c>
      <c r="AI108" s="235">
        <v>-1135.9100000000001</v>
      </c>
      <c r="AJ108" s="160">
        <v>-1135.90670419602</v>
      </c>
      <c r="AK108" s="101">
        <f t="shared" si="251"/>
        <v>-3.295803980108758E-3</v>
      </c>
      <c r="AL108" s="163">
        <f t="shared" si="232"/>
        <v>2.9014741861581718E-4</v>
      </c>
      <c r="AM108" s="235">
        <v>-456.02499999999998</v>
      </c>
      <c r="AN108" s="160">
        <v>-456.0245994878</v>
      </c>
      <c r="AO108" s="101">
        <f t="shared" si="252"/>
        <v>-4.0051219997394583E-4</v>
      </c>
      <c r="AP108" s="163">
        <f t="shared" si="233"/>
        <v>8.7826884870639688E-5</v>
      </c>
      <c r="AQ108" s="235">
        <v>-852</v>
      </c>
      <c r="AR108" s="160">
        <v>-852</v>
      </c>
      <c r="AS108" s="101">
        <f t="shared" si="253"/>
        <v>0</v>
      </c>
      <c r="AT108" s="163">
        <f t="shared" si="234"/>
        <v>0</v>
      </c>
    </row>
    <row r="109" spans="2:46" ht="15.75" thickBot="1" x14ac:dyDescent="0.3"/>
    <row r="110" spans="2:46" x14ac:dyDescent="0.25">
      <c r="B110" s="341" t="s">
        <v>10</v>
      </c>
      <c r="C110" s="166" t="s">
        <v>14</v>
      </c>
      <c r="D110" s="168" t="s">
        <v>14</v>
      </c>
      <c r="E110" s="343" t="s">
        <v>354</v>
      </c>
      <c r="F110" s="352" t="s">
        <v>355</v>
      </c>
      <c r="G110" s="166" t="s">
        <v>14</v>
      </c>
      <c r="H110" s="238" t="s">
        <v>14</v>
      </c>
      <c r="I110" s="343" t="s">
        <v>354</v>
      </c>
      <c r="J110" s="352" t="s">
        <v>355</v>
      </c>
      <c r="K110" s="166" t="s">
        <v>14</v>
      </c>
      <c r="L110" s="238" t="s">
        <v>14</v>
      </c>
      <c r="M110" s="343" t="s">
        <v>354</v>
      </c>
      <c r="N110" s="352" t="s">
        <v>355</v>
      </c>
      <c r="O110" s="166" t="s">
        <v>14</v>
      </c>
      <c r="P110" s="238" t="s">
        <v>14</v>
      </c>
      <c r="Q110" s="343" t="s">
        <v>354</v>
      </c>
      <c r="R110" s="352" t="s">
        <v>355</v>
      </c>
      <c r="S110" s="166" t="s">
        <v>14</v>
      </c>
      <c r="T110" s="238" t="s">
        <v>14</v>
      </c>
      <c r="U110" s="343" t="s">
        <v>354</v>
      </c>
      <c r="V110" s="352" t="s">
        <v>355</v>
      </c>
      <c r="W110" s="166" t="s">
        <v>14</v>
      </c>
      <c r="X110" s="238" t="s">
        <v>14</v>
      </c>
      <c r="Y110" s="343" t="s">
        <v>354</v>
      </c>
      <c r="Z110" s="352" t="s">
        <v>355</v>
      </c>
      <c r="AA110" s="166" t="s">
        <v>14</v>
      </c>
      <c r="AB110" s="238" t="s">
        <v>14</v>
      </c>
      <c r="AC110" s="343" t="s">
        <v>354</v>
      </c>
      <c r="AD110" s="352" t="s">
        <v>355</v>
      </c>
      <c r="AE110" s="166" t="s">
        <v>14</v>
      </c>
      <c r="AF110" s="238" t="s">
        <v>14</v>
      </c>
      <c r="AG110" s="343" t="s">
        <v>354</v>
      </c>
      <c r="AH110" s="357" t="s">
        <v>355</v>
      </c>
      <c r="AI110" s="166" t="s">
        <v>14</v>
      </c>
      <c r="AJ110" s="238" t="s">
        <v>14</v>
      </c>
      <c r="AK110" s="343" t="s">
        <v>354</v>
      </c>
      <c r="AL110" s="357" t="s">
        <v>355</v>
      </c>
      <c r="AM110" s="166" t="s">
        <v>14</v>
      </c>
      <c r="AN110" s="238" t="s">
        <v>14</v>
      </c>
      <c r="AO110" s="343" t="s">
        <v>354</v>
      </c>
      <c r="AP110" s="357" t="s">
        <v>355</v>
      </c>
      <c r="AQ110" s="166" t="s">
        <v>14</v>
      </c>
      <c r="AR110" s="238" t="s">
        <v>14</v>
      </c>
      <c r="AS110" s="343" t="s">
        <v>354</v>
      </c>
      <c r="AT110" s="357" t="s">
        <v>355</v>
      </c>
    </row>
    <row r="111" spans="2:46" ht="15.75" thickBot="1" x14ac:dyDescent="0.3">
      <c r="B111" s="342"/>
      <c r="C111" s="167" t="s">
        <v>290</v>
      </c>
      <c r="D111" s="169" t="s">
        <v>291</v>
      </c>
      <c r="E111" s="344"/>
      <c r="F111" s="353"/>
      <c r="G111" s="167" t="s">
        <v>290</v>
      </c>
      <c r="H111" s="239" t="s">
        <v>291</v>
      </c>
      <c r="I111" s="344"/>
      <c r="J111" s="353"/>
      <c r="K111" s="167" t="s">
        <v>290</v>
      </c>
      <c r="L111" s="239" t="s">
        <v>291</v>
      </c>
      <c r="M111" s="344"/>
      <c r="N111" s="353"/>
      <c r="O111" s="167" t="s">
        <v>290</v>
      </c>
      <c r="P111" s="239" t="s">
        <v>291</v>
      </c>
      <c r="Q111" s="344"/>
      <c r="R111" s="353"/>
      <c r="S111" s="167" t="s">
        <v>290</v>
      </c>
      <c r="T111" s="239" t="s">
        <v>291</v>
      </c>
      <c r="U111" s="344"/>
      <c r="V111" s="353"/>
      <c r="W111" s="167" t="s">
        <v>290</v>
      </c>
      <c r="X111" s="239" t="s">
        <v>291</v>
      </c>
      <c r="Y111" s="344"/>
      <c r="Z111" s="353"/>
      <c r="AA111" s="167" t="s">
        <v>290</v>
      </c>
      <c r="AB111" s="239" t="s">
        <v>291</v>
      </c>
      <c r="AC111" s="344"/>
      <c r="AD111" s="353"/>
      <c r="AE111" s="167" t="s">
        <v>290</v>
      </c>
      <c r="AF111" s="239" t="s">
        <v>291</v>
      </c>
      <c r="AG111" s="344"/>
      <c r="AH111" s="358"/>
      <c r="AI111" s="167" t="s">
        <v>290</v>
      </c>
      <c r="AJ111" s="239" t="s">
        <v>291</v>
      </c>
      <c r="AK111" s="344"/>
      <c r="AL111" s="358"/>
      <c r="AM111" s="167" t="s">
        <v>290</v>
      </c>
      <c r="AN111" s="239" t="s">
        <v>291</v>
      </c>
      <c r="AO111" s="344"/>
      <c r="AP111" s="358"/>
      <c r="AQ111" s="167" t="s">
        <v>290</v>
      </c>
      <c r="AR111" s="239" t="s">
        <v>291</v>
      </c>
      <c r="AS111" s="344"/>
      <c r="AT111" s="358"/>
    </row>
    <row r="112" spans="2:46" ht="15.75" thickBot="1" x14ac:dyDescent="0.3">
      <c r="B112" s="346" t="s">
        <v>681</v>
      </c>
      <c r="C112" s="363" t="s">
        <v>18</v>
      </c>
      <c r="D112" s="177" t="s">
        <v>18</v>
      </c>
      <c r="E112" s="344"/>
      <c r="F112" s="354"/>
      <c r="G112" s="363" t="s">
        <v>19</v>
      </c>
      <c r="H112" s="177" t="s">
        <v>19</v>
      </c>
      <c r="I112" s="344"/>
      <c r="J112" s="354"/>
      <c r="K112" s="363" t="s">
        <v>20</v>
      </c>
      <c r="L112" s="177" t="s">
        <v>20</v>
      </c>
      <c r="M112" s="344"/>
      <c r="N112" s="354"/>
      <c r="O112" s="363" t="s">
        <v>21</v>
      </c>
      <c r="P112" s="240" t="s">
        <v>21</v>
      </c>
      <c r="Q112" s="344"/>
      <c r="R112" s="354"/>
      <c r="S112" s="363" t="s">
        <v>22</v>
      </c>
      <c r="T112" s="177" t="s">
        <v>22</v>
      </c>
      <c r="U112" s="344"/>
      <c r="V112" s="354"/>
      <c r="W112" s="363" t="s">
        <v>23</v>
      </c>
      <c r="X112" s="177" t="s">
        <v>23</v>
      </c>
      <c r="Y112" s="344"/>
      <c r="Z112" s="354"/>
      <c r="AA112" s="363" t="s">
        <v>24</v>
      </c>
      <c r="AB112" s="177" t="s">
        <v>24</v>
      </c>
      <c r="AC112" s="344"/>
      <c r="AD112" s="354"/>
      <c r="AE112" s="363" t="s">
        <v>25</v>
      </c>
      <c r="AF112" s="225" t="s">
        <v>25</v>
      </c>
      <c r="AG112" s="344"/>
      <c r="AH112" s="358"/>
      <c r="AI112" s="346" t="s">
        <v>26</v>
      </c>
      <c r="AJ112" s="225" t="s">
        <v>26</v>
      </c>
      <c r="AK112" s="344"/>
      <c r="AL112" s="358"/>
      <c r="AM112" s="346" t="s">
        <v>700</v>
      </c>
      <c r="AN112" s="17" t="s">
        <v>700</v>
      </c>
      <c r="AO112" s="344"/>
      <c r="AP112" s="358"/>
      <c r="AQ112" s="346" t="s">
        <v>721</v>
      </c>
      <c r="AR112" s="17" t="s">
        <v>721</v>
      </c>
      <c r="AS112" s="344"/>
      <c r="AT112" s="358"/>
    </row>
    <row r="113" spans="2:46" ht="24" thickBot="1" x14ac:dyDescent="0.3">
      <c r="B113" s="347"/>
      <c r="C113" s="364"/>
      <c r="D113" s="236" t="s">
        <v>692</v>
      </c>
      <c r="E113" s="345"/>
      <c r="F113" s="345"/>
      <c r="G113" s="364"/>
      <c r="H113" s="237" t="s">
        <v>691</v>
      </c>
      <c r="I113" s="345"/>
      <c r="J113" s="345"/>
      <c r="K113" s="364"/>
      <c r="L113" s="237" t="s">
        <v>693</v>
      </c>
      <c r="M113" s="345"/>
      <c r="N113" s="345"/>
      <c r="O113" s="364"/>
      <c r="P113" s="237" t="s">
        <v>694</v>
      </c>
      <c r="Q113" s="345"/>
      <c r="R113" s="345"/>
      <c r="S113" s="364"/>
      <c r="T113" s="237" t="s">
        <v>695</v>
      </c>
      <c r="U113" s="345"/>
      <c r="V113" s="345"/>
      <c r="W113" s="364"/>
      <c r="X113" s="237" t="s">
        <v>696</v>
      </c>
      <c r="Y113" s="345"/>
      <c r="Z113" s="345"/>
      <c r="AA113" s="364"/>
      <c r="AB113" s="237" t="s">
        <v>697</v>
      </c>
      <c r="AC113" s="345"/>
      <c r="AD113" s="345"/>
      <c r="AE113" s="364"/>
      <c r="AF113" s="237" t="s">
        <v>698</v>
      </c>
      <c r="AG113" s="345"/>
      <c r="AH113" s="359"/>
      <c r="AI113" s="347"/>
      <c r="AJ113" s="237" t="s">
        <v>699</v>
      </c>
      <c r="AK113" s="345"/>
      <c r="AL113" s="359"/>
      <c r="AM113" s="347"/>
      <c r="AN113" s="237" t="s">
        <v>710</v>
      </c>
      <c r="AO113" s="345"/>
      <c r="AP113" s="359"/>
      <c r="AQ113" s="347"/>
      <c r="AR113" s="237" t="s">
        <v>730</v>
      </c>
      <c r="AS113" s="345"/>
      <c r="AT113" s="359"/>
    </row>
    <row r="114" spans="2:46" x14ac:dyDescent="0.25">
      <c r="B114" s="95">
        <v>1</v>
      </c>
      <c r="C114" s="234">
        <v>100</v>
      </c>
      <c r="D114" s="106">
        <v>100</v>
      </c>
      <c r="E114" s="100">
        <f>C114-D114</f>
        <v>0</v>
      </c>
      <c r="F114" s="307">
        <f t="shared" ref="F114:F119" si="254">(100*E114)/D114</f>
        <v>0</v>
      </c>
      <c r="G114" s="234">
        <v>1.01972E-3</v>
      </c>
      <c r="H114" s="106">
        <v>1.0197159999999999E-3</v>
      </c>
      <c r="I114" s="100">
        <f>G114-H114</f>
        <v>4.000000000062981E-9</v>
      </c>
      <c r="J114" s="307">
        <f t="shared" ref="J114:J119" si="255">(100*I114)/H114</f>
        <v>3.9226608193487024E-4</v>
      </c>
      <c r="K114" s="234">
        <v>9.8692300000000001E-4</v>
      </c>
      <c r="L114" s="106">
        <v>9.869232999999999E-4</v>
      </c>
      <c r="M114" s="100">
        <f>K114-L114</f>
        <v>-2.9999999988546133E-10</v>
      </c>
      <c r="N114" s="307">
        <f t="shared" ref="N114:N119" si="256">(100*M114)/L114</f>
        <v>-3.0397498963238721E-5</v>
      </c>
      <c r="O114" s="234">
        <v>1E-3</v>
      </c>
      <c r="P114" s="106">
        <v>1E-3</v>
      </c>
      <c r="Q114" s="100">
        <f>O114-P114</f>
        <v>0</v>
      </c>
      <c r="R114" s="307">
        <f t="shared" ref="R114:R119" si="257">(100*Q114)/P114</f>
        <v>0</v>
      </c>
      <c r="S114" s="234">
        <v>0.1</v>
      </c>
      <c r="T114" s="106">
        <v>0.1</v>
      </c>
      <c r="U114" s="100">
        <f>S114-T114</f>
        <v>0</v>
      </c>
      <c r="V114" s="307">
        <f t="shared" ref="V114:V119" si="258">(100*U114)/T114</f>
        <v>0</v>
      </c>
      <c r="W114" s="234">
        <v>10.1972</v>
      </c>
      <c r="X114" s="106">
        <v>10.197162129779199</v>
      </c>
      <c r="Y114" s="100">
        <f>W114-X114</f>
        <v>3.7870220801039522E-5</v>
      </c>
      <c r="Z114" s="307">
        <f t="shared" ref="Z114:Z119" si="259">(100*Y114)/X114</f>
        <v>3.7138000081851728E-4</v>
      </c>
      <c r="AA114" s="234">
        <v>1E-4</v>
      </c>
      <c r="AB114" s="106">
        <v>1E-4</v>
      </c>
      <c r="AC114" s="100">
        <f>AA114-AB114</f>
        <v>0</v>
      </c>
      <c r="AD114" s="307">
        <f t="shared" ref="AD114:AD119" si="260">(100*AC114)/AB114</f>
        <v>0</v>
      </c>
      <c r="AE114" s="234">
        <v>1.4503800000000001E-2</v>
      </c>
      <c r="AF114" s="106">
        <v>1.4503769999999999E-2</v>
      </c>
      <c r="AG114" s="100">
        <f>AE114-AF114</f>
        <v>3.0000000001556559E-8</v>
      </c>
      <c r="AH114" s="162">
        <f t="shared" ref="AH114:AH119" si="261">(100*AG114)/AF114</f>
        <v>2.0684277261399321E-4</v>
      </c>
      <c r="AI114" s="234">
        <v>0.75006200000000001</v>
      </c>
      <c r="AJ114" s="106">
        <v>0.75006159999999999</v>
      </c>
      <c r="AK114" s="100">
        <f>AI114-AJ114</f>
        <v>4.0000000001150227E-7</v>
      </c>
      <c r="AL114" s="162">
        <f t="shared" ref="AL114:AL119" si="262">(100*AK114)/AJ114</f>
        <v>5.3328953250173358E-5</v>
      </c>
      <c r="AM114" s="234">
        <v>0.40146300000000001</v>
      </c>
      <c r="AN114" s="106">
        <v>0.40146307597556202</v>
      </c>
      <c r="AO114" s="100">
        <f>AM114-AN114</f>
        <v>-7.5975562008334663E-8</v>
      </c>
      <c r="AP114" s="162">
        <f t="shared" ref="AP114:AP119" si="263">(100*AO114)/AN114</f>
        <v>-1.8924669927293504E-5</v>
      </c>
      <c r="AQ114" s="234">
        <v>0.75006200000000001</v>
      </c>
      <c r="AR114" s="106">
        <v>0.75006159999999999</v>
      </c>
      <c r="AS114" s="100">
        <f>AQ114-AR114</f>
        <v>4.0000000001150227E-7</v>
      </c>
      <c r="AT114" s="162">
        <f t="shared" ref="AT114:AT119" si="264">(100*AS114)/AR114</f>
        <v>5.3328953250173358E-5</v>
      </c>
    </row>
    <row r="115" spans="2:46" x14ac:dyDescent="0.25">
      <c r="B115" s="32">
        <v>852</v>
      </c>
      <c r="C115" s="161">
        <v>85200</v>
      </c>
      <c r="D115" s="104">
        <v>85200</v>
      </c>
      <c r="E115" s="99">
        <f t="shared" ref="E115:E119" si="265">C115-D115</f>
        <v>0</v>
      </c>
      <c r="F115" s="308">
        <f t="shared" si="254"/>
        <v>0</v>
      </c>
      <c r="G115" s="161">
        <v>0.86879799999999996</v>
      </c>
      <c r="H115" s="104">
        <v>0.86879803200000005</v>
      </c>
      <c r="I115" s="99">
        <f t="shared" ref="I115:I119" si="266">G115-H115</f>
        <v>-3.2000000094178915E-8</v>
      </c>
      <c r="J115" s="308">
        <f t="shared" si="255"/>
        <v>-3.6832496064147293E-6</v>
      </c>
      <c r="K115" s="161">
        <v>0.84085900000000002</v>
      </c>
      <c r="L115" s="104">
        <v>0.84085865159999995</v>
      </c>
      <c r="M115" s="99">
        <f t="shared" ref="M115:M119" si="267">K115-L115</f>
        <v>3.4840000007196892E-7</v>
      </c>
      <c r="N115" s="308">
        <f t="shared" si="256"/>
        <v>4.1433836639371858E-5</v>
      </c>
      <c r="O115" s="161">
        <v>0.85199999999999998</v>
      </c>
      <c r="P115" s="104">
        <v>0.85199999999999998</v>
      </c>
      <c r="Q115" s="99">
        <f t="shared" ref="Q115:Q119" si="268">O115-P115</f>
        <v>0</v>
      </c>
      <c r="R115" s="308">
        <f t="shared" si="257"/>
        <v>0</v>
      </c>
      <c r="S115" s="161">
        <v>85.2</v>
      </c>
      <c r="T115" s="104">
        <v>85.2</v>
      </c>
      <c r="U115" s="99">
        <f t="shared" ref="U115:U119" si="269">S115-T115</f>
        <v>0</v>
      </c>
      <c r="V115" s="308">
        <f t="shared" si="258"/>
        <v>0</v>
      </c>
      <c r="W115" s="161">
        <v>8687.98</v>
      </c>
      <c r="X115" s="104">
        <v>8687.9821345719392</v>
      </c>
      <c r="Y115" s="99">
        <f t="shared" ref="Y115:Y119" si="270">W115-X115</f>
        <v>-2.1345719396776985E-3</v>
      </c>
      <c r="Z115" s="308">
        <f t="shared" si="259"/>
        <v>-2.4569248723286766E-5</v>
      </c>
      <c r="AA115" s="161">
        <v>8.5199999999999998E-2</v>
      </c>
      <c r="AB115" s="104">
        <v>8.5199999999999998E-2</v>
      </c>
      <c r="AC115" s="99">
        <f t="shared" ref="AC115:AC119" si="271">AA115-AB115</f>
        <v>0</v>
      </c>
      <c r="AD115" s="308">
        <f t="shared" si="260"/>
        <v>0</v>
      </c>
      <c r="AE115" s="161">
        <v>12.357200000000001</v>
      </c>
      <c r="AF115" s="104">
        <v>12.35721204</v>
      </c>
      <c r="AG115" s="99">
        <f t="shared" ref="AG115:AG119" si="272">AE115-AF115</f>
        <v>-1.203999999965788E-5</v>
      </c>
      <c r="AH115" s="153">
        <f t="shared" si="261"/>
        <v>-9.7432980519268316E-5</v>
      </c>
      <c r="AI115" s="161">
        <v>639.05200000000002</v>
      </c>
      <c r="AJ115" s="104">
        <v>639.05248319999998</v>
      </c>
      <c r="AK115" s="99">
        <f t="shared" ref="AK115:AK119" si="273">AI115-AJ115</f>
        <v>-4.8319999996238039E-4</v>
      </c>
      <c r="AL115" s="153">
        <f t="shared" si="262"/>
        <v>-7.5611943097818541E-5</v>
      </c>
      <c r="AM115" s="161">
        <v>342.04700000000003</v>
      </c>
      <c r="AN115" s="104">
        <v>342.04654073117899</v>
      </c>
      <c r="AO115" s="99">
        <f t="shared" ref="AO115:AO119" si="274">AM115-AN115</f>
        <v>4.5926882103231037E-4</v>
      </c>
      <c r="AP115" s="153">
        <f t="shared" si="263"/>
        <v>1.3427085684028555E-4</v>
      </c>
      <c r="AQ115" s="161">
        <v>639.05200000000002</v>
      </c>
      <c r="AR115" s="104">
        <v>639.05248319999998</v>
      </c>
      <c r="AS115" s="99">
        <f t="shared" ref="AS115:AS119" si="275">AQ115-AR115</f>
        <v>-4.8319999996238039E-4</v>
      </c>
      <c r="AT115" s="153">
        <f t="shared" si="264"/>
        <v>-7.5611943097818541E-5</v>
      </c>
    </row>
    <row r="116" spans="2:46" x14ac:dyDescent="0.25">
      <c r="B116" s="32">
        <v>4123</v>
      </c>
      <c r="C116" s="161">
        <v>412300</v>
      </c>
      <c r="D116" s="104">
        <v>412300</v>
      </c>
      <c r="E116" s="99">
        <f t="shared" si="265"/>
        <v>0</v>
      </c>
      <c r="F116" s="308">
        <f t="shared" si="254"/>
        <v>0</v>
      </c>
      <c r="G116" s="161">
        <v>4.2042900000000003</v>
      </c>
      <c r="H116" s="104">
        <v>4.2042890679999996</v>
      </c>
      <c r="I116" s="99">
        <f t="shared" si="266"/>
        <v>9.3200000073068168E-7</v>
      </c>
      <c r="J116" s="308">
        <f t="shared" si="255"/>
        <v>2.2167838263652946E-5</v>
      </c>
      <c r="K116" s="161">
        <v>4.0690799999999996</v>
      </c>
      <c r="L116" s="104">
        <v>4.0690847658999996</v>
      </c>
      <c r="M116" s="99">
        <f t="shared" si="267"/>
        <v>-4.7658999999811158E-6</v>
      </c>
      <c r="N116" s="308">
        <f t="shared" si="256"/>
        <v>-1.1712461829059476E-4</v>
      </c>
      <c r="O116" s="161">
        <v>4.1230000000000002</v>
      </c>
      <c r="P116" s="104">
        <v>4.1230000000000002</v>
      </c>
      <c r="Q116" s="99">
        <f t="shared" si="268"/>
        <v>0</v>
      </c>
      <c r="R116" s="308">
        <f t="shared" si="257"/>
        <v>0</v>
      </c>
      <c r="S116" s="161">
        <v>412.3</v>
      </c>
      <c r="T116" s="104">
        <v>412.3</v>
      </c>
      <c r="U116" s="99">
        <f t="shared" si="269"/>
        <v>0</v>
      </c>
      <c r="V116" s="308">
        <f t="shared" si="258"/>
        <v>0</v>
      </c>
      <c r="W116" s="161">
        <v>42042.9</v>
      </c>
      <c r="X116" s="104">
        <v>42042.899461079898</v>
      </c>
      <c r="Y116" s="99">
        <f t="shared" si="270"/>
        <v>5.3892010328127071E-4</v>
      </c>
      <c r="Z116" s="308">
        <f t="shared" si="259"/>
        <v>1.2818338178130692E-6</v>
      </c>
      <c r="AA116" s="161">
        <v>0.4123</v>
      </c>
      <c r="AB116" s="104">
        <v>0.4123</v>
      </c>
      <c r="AC116" s="99">
        <f t="shared" si="271"/>
        <v>0</v>
      </c>
      <c r="AD116" s="308">
        <f t="shared" si="260"/>
        <v>0</v>
      </c>
      <c r="AE116" s="161">
        <v>59.798999999999999</v>
      </c>
      <c r="AF116" s="104">
        <v>59.799043709999999</v>
      </c>
      <c r="AG116" s="99">
        <f t="shared" si="272"/>
        <v>-4.3709999999919091E-5</v>
      </c>
      <c r="AH116" s="153">
        <f t="shared" si="261"/>
        <v>-7.309481437846072E-5</v>
      </c>
      <c r="AI116" s="161">
        <v>3092.5</v>
      </c>
      <c r="AJ116" s="104">
        <v>3092.5039768000001</v>
      </c>
      <c r="AK116" s="99">
        <f t="shared" si="273"/>
        <v>-3.9768000001458859E-3</v>
      </c>
      <c r="AL116" s="153">
        <f t="shared" si="262"/>
        <v>-1.2859482251210942E-4</v>
      </c>
      <c r="AM116" s="161">
        <v>1655.23</v>
      </c>
      <c r="AN116" s="104">
        <v>1655.23226224724</v>
      </c>
      <c r="AO116" s="99">
        <f t="shared" si="274"/>
        <v>-2.2622472399689286E-3</v>
      </c>
      <c r="AP116" s="153">
        <f t="shared" si="263"/>
        <v>-1.3667249555041717E-4</v>
      </c>
      <c r="AQ116" s="161">
        <v>3092.5</v>
      </c>
      <c r="AR116" s="104">
        <v>3092.5039768000001</v>
      </c>
      <c r="AS116" s="99">
        <f t="shared" si="275"/>
        <v>-3.9768000001458859E-3</v>
      </c>
      <c r="AT116" s="153">
        <f t="shared" si="264"/>
        <v>-1.2859482251210942E-4</v>
      </c>
    </row>
    <row r="117" spans="2:46" x14ac:dyDescent="0.25">
      <c r="B117" s="32">
        <v>774411225588</v>
      </c>
      <c r="C117" s="161">
        <v>77441122558800</v>
      </c>
      <c r="D117" s="104">
        <v>77441122558800</v>
      </c>
      <c r="E117" s="99">
        <f t="shared" si="265"/>
        <v>0</v>
      </c>
      <c r="F117" s="308">
        <f t="shared" si="254"/>
        <v>0</v>
      </c>
      <c r="G117" s="161">
        <v>789679517</v>
      </c>
      <c r="H117" s="104">
        <v>789679517.31169295</v>
      </c>
      <c r="I117" s="99">
        <f t="shared" si="266"/>
        <v>-0.31169295310974121</v>
      </c>
      <c r="J117" s="308">
        <f t="shared" si="255"/>
        <v>-3.9470816486520754E-8</v>
      </c>
      <c r="K117" s="161">
        <v>764284482</v>
      </c>
      <c r="L117" s="104">
        <v>764284482.31435299</v>
      </c>
      <c r="M117" s="99">
        <f t="shared" si="267"/>
        <v>-0.31435298919677734</v>
      </c>
      <c r="N117" s="308">
        <f t="shared" si="256"/>
        <v>-4.1130363950982695E-8</v>
      </c>
      <c r="O117" s="161">
        <v>774411226</v>
      </c>
      <c r="P117" s="104">
        <v>774411225.58800006</v>
      </c>
      <c r="Q117" s="99">
        <f t="shared" si="268"/>
        <v>0.41199994087219238</v>
      </c>
      <c r="R117" s="308">
        <f t="shared" si="257"/>
        <v>5.3201700499546137E-8</v>
      </c>
      <c r="S117" s="161">
        <v>77441122559</v>
      </c>
      <c r="T117" s="104">
        <v>77441122558.800003</v>
      </c>
      <c r="U117" s="99">
        <f t="shared" si="269"/>
        <v>0.1999969482421875</v>
      </c>
      <c r="V117" s="308">
        <f t="shared" si="258"/>
        <v>2.5825677835484951E-10</v>
      </c>
      <c r="W117" s="161">
        <v>7896796822442</v>
      </c>
      <c r="X117" s="104">
        <v>7896796822441.9102</v>
      </c>
      <c r="Y117" s="99">
        <f t="shared" si="270"/>
        <v>8.984375E-2</v>
      </c>
      <c r="Z117" s="308">
        <f t="shared" si="259"/>
        <v>1.1377239660601752E-12</v>
      </c>
      <c r="AA117" s="161">
        <v>77441123</v>
      </c>
      <c r="AB117" s="104">
        <v>77441122.558799997</v>
      </c>
      <c r="AC117" s="99">
        <f t="shared" si="271"/>
        <v>0.44120000302791595</v>
      </c>
      <c r="AD117" s="308">
        <f t="shared" si="260"/>
        <v>5.6972315024607084E-7</v>
      </c>
      <c r="AE117" s="161">
        <v>11231882301</v>
      </c>
      <c r="AF117" s="104">
        <v>11231882301.346399</v>
      </c>
      <c r="AG117" s="99">
        <f t="shared" si="272"/>
        <v>-0.34639930725097656</v>
      </c>
      <c r="AH117" s="153">
        <f t="shared" si="261"/>
        <v>-3.0840717339911284E-9</v>
      </c>
      <c r="AI117" s="161">
        <v>580856122922</v>
      </c>
      <c r="AJ117" s="104">
        <v>580856122922.49597</v>
      </c>
      <c r="AK117" s="99">
        <f t="shared" si="273"/>
        <v>-0.4959716796875</v>
      </c>
      <c r="AL117" s="153">
        <f t="shared" si="262"/>
        <v>-8.5386322036529147E-11</v>
      </c>
      <c r="AM117" s="161">
        <v>310897512695</v>
      </c>
      <c r="AN117" s="104">
        <v>310897512694.56299</v>
      </c>
      <c r="AO117" s="99">
        <f t="shared" si="274"/>
        <v>0.43701171875</v>
      </c>
      <c r="AP117" s="153">
        <f t="shared" si="263"/>
        <v>1.4056455935024999E-10</v>
      </c>
      <c r="AQ117" s="161">
        <v>580856122922</v>
      </c>
      <c r="AR117" s="104">
        <v>580856122922.49597</v>
      </c>
      <c r="AS117" s="99">
        <f t="shared" si="275"/>
        <v>-0.4959716796875</v>
      </c>
      <c r="AT117" s="153">
        <f t="shared" si="264"/>
        <v>-8.5386322036529147E-11</v>
      </c>
    </row>
    <row r="118" spans="2:46" x14ac:dyDescent="0.25">
      <c r="B118" s="105">
        <v>0.98699999999999999</v>
      </c>
      <c r="C118" s="159">
        <v>98.7</v>
      </c>
      <c r="D118" s="104">
        <v>98.7</v>
      </c>
      <c r="E118" s="99">
        <f t="shared" si="265"/>
        <v>0</v>
      </c>
      <c r="F118" s="308">
        <f t="shared" si="254"/>
        <v>0</v>
      </c>
      <c r="G118" s="161">
        <v>1.00646E-3</v>
      </c>
      <c r="H118" s="104">
        <v>1.006459692E-3</v>
      </c>
      <c r="I118" s="99">
        <f t="shared" si="266"/>
        <v>3.0800000007033534E-10</v>
      </c>
      <c r="J118" s="308">
        <f t="shared" si="255"/>
        <v>3.0602318455326212E-5</v>
      </c>
      <c r="K118" s="161">
        <v>9.7409299999999999E-4</v>
      </c>
      <c r="L118" s="104">
        <v>9.7409329709999997E-4</v>
      </c>
      <c r="M118" s="99">
        <f t="shared" si="267"/>
        <v>-2.9709999998378533E-10</v>
      </c>
      <c r="N118" s="308">
        <f t="shared" si="256"/>
        <v>-3.0500158544185649E-5</v>
      </c>
      <c r="O118" s="161">
        <v>9.8700000000000003E-4</v>
      </c>
      <c r="P118" s="104">
        <v>9.8700000000000003E-4</v>
      </c>
      <c r="Q118" s="99">
        <f t="shared" si="268"/>
        <v>0</v>
      </c>
      <c r="R118" s="308">
        <f t="shared" si="257"/>
        <v>0</v>
      </c>
      <c r="S118" s="161">
        <v>9.8699999999999996E-2</v>
      </c>
      <c r="T118" s="104">
        <v>9.8699999999999996E-2</v>
      </c>
      <c r="U118" s="99">
        <f t="shared" si="269"/>
        <v>0</v>
      </c>
      <c r="V118" s="308">
        <f t="shared" si="258"/>
        <v>0</v>
      </c>
      <c r="W118" s="161">
        <v>10.0646</v>
      </c>
      <c r="X118" s="104">
        <v>10.0645990220921</v>
      </c>
      <c r="Y118" s="99">
        <f t="shared" si="270"/>
        <v>9.7790790043461584E-7</v>
      </c>
      <c r="Z118" s="308">
        <f t="shared" si="259"/>
        <v>9.7163125752757601E-6</v>
      </c>
      <c r="AA118" s="161">
        <v>9.87E-5</v>
      </c>
      <c r="AB118" s="104">
        <v>9.87E-5</v>
      </c>
      <c r="AC118" s="99">
        <f t="shared" si="271"/>
        <v>0</v>
      </c>
      <c r="AD118" s="308">
        <f t="shared" si="260"/>
        <v>0</v>
      </c>
      <c r="AE118" s="161">
        <v>1.43152E-2</v>
      </c>
      <c r="AF118" s="104">
        <v>1.431522099E-2</v>
      </c>
      <c r="AG118" s="99">
        <f t="shared" si="272"/>
        <v>-2.0990000000262188E-8</v>
      </c>
      <c r="AH118" s="153">
        <f t="shared" si="261"/>
        <v>-1.4662714613295109E-4</v>
      </c>
      <c r="AI118" s="161">
        <v>0.74031100000000005</v>
      </c>
      <c r="AJ118" s="104">
        <v>0.74031079992000004</v>
      </c>
      <c r="AK118" s="99">
        <f t="shared" si="273"/>
        <v>2.0008000001237036E-7</v>
      </c>
      <c r="AL118" s="153">
        <f t="shared" si="262"/>
        <v>2.7026486718009725E-5</v>
      </c>
      <c r="AM118" s="161">
        <v>0.39624399999999999</v>
      </c>
      <c r="AN118" s="104">
        <v>0.39624405598787998</v>
      </c>
      <c r="AO118" s="99">
        <f t="shared" si="274"/>
        <v>-5.5987879998831147E-8</v>
      </c>
      <c r="AP118" s="153">
        <f t="shared" si="263"/>
        <v>-1.4129645392218492E-5</v>
      </c>
      <c r="AQ118" s="161">
        <v>0.74031100000000005</v>
      </c>
      <c r="AR118" s="104">
        <v>0.74031079992000004</v>
      </c>
      <c r="AS118" s="99">
        <f t="shared" si="275"/>
        <v>2.0008000001237036E-7</v>
      </c>
      <c r="AT118" s="153">
        <f t="shared" si="264"/>
        <v>2.7026486718009725E-5</v>
      </c>
    </row>
    <row r="119" spans="2:46" ht="15.75" thickBot="1" x14ac:dyDescent="0.3">
      <c r="B119" s="34">
        <v>-852</v>
      </c>
      <c r="C119" s="235">
        <v>-85200</v>
      </c>
      <c r="D119" s="160">
        <v>-85200</v>
      </c>
      <c r="E119" s="101">
        <f t="shared" si="265"/>
        <v>0</v>
      </c>
      <c r="F119" s="306">
        <f t="shared" si="254"/>
        <v>0</v>
      </c>
      <c r="G119" s="235">
        <v>-0.86879799999999996</v>
      </c>
      <c r="H119" s="160">
        <v>-0.86879803200000005</v>
      </c>
      <c r="I119" s="101">
        <f t="shared" si="266"/>
        <v>3.2000000094178915E-8</v>
      </c>
      <c r="J119" s="306">
        <f t="shared" si="255"/>
        <v>-3.6832496064147293E-6</v>
      </c>
      <c r="K119" s="235">
        <v>-0.84085900000000002</v>
      </c>
      <c r="L119" s="160">
        <v>-0.84085865159999995</v>
      </c>
      <c r="M119" s="101">
        <f t="shared" si="267"/>
        <v>-3.4840000007196892E-7</v>
      </c>
      <c r="N119" s="306">
        <f t="shared" si="256"/>
        <v>4.1433836639371858E-5</v>
      </c>
      <c r="O119" s="235">
        <v>-0.85199999999999998</v>
      </c>
      <c r="P119" s="160">
        <v>-0.85199999999999998</v>
      </c>
      <c r="Q119" s="101">
        <f t="shared" si="268"/>
        <v>0</v>
      </c>
      <c r="R119" s="306">
        <f t="shared" si="257"/>
        <v>0</v>
      </c>
      <c r="S119" s="235">
        <v>-85.2</v>
      </c>
      <c r="T119" s="160">
        <v>-85.2</v>
      </c>
      <c r="U119" s="101">
        <f t="shared" si="269"/>
        <v>0</v>
      </c>
      <c r="V119" s="306">
        <f t="shared" si="258"/>
        <v>0</v>
      </c>
      <c r="W119" s="235">
        <v>-8687.98</v>
      </c>
      <c r="X119" s="160">
        <v>-8687.9821345719392</v>
      </c>
      <c r="Y119" s="101">
        <f t="shared" si="270"/>
        <v>2.1345719396776985E-3</v>
      </c>
      <c r="Z119" s="306">
        <f t="shared" si="259"/>
        <v>-2.4569248723286766E-5</v>
      </c>
      <c r="AA119" s="235">
        <v>-8.5199999999999998E-2</v>
      </c>
      <c r="AB119" s="160">
        <v>-8.5199999999999998E-2</v>
      </c>
      <c r="AC119" s="101">
        <f t="shared" si="271"/>
        <v>0</v>
      </c>
      <c r="AD119" s="306">
        <f t="shared" si="260"/>
        <v>0</v>
      </c>
      <c r="AE119" s="235">
        <v>-12.357200000000001</v>
      </c>
      <c r="AF119" s="160">
        <v>-12.35721204</v>
      </c>
      <c r="AG119" s="101">
        <f t="shared" si="272"/>
        <v>1.203999999965788E-5</v>
      </c>
      <c r="AH119" s="163">
        <f t="shared" si="261"/>
        <v>-9.7432980519268316E-5</v>
      </c>
      <c r="AI119" s="235">
        <v>-639.05200000000002</v>
      </c>
      <c r="AJ119" s="160">
        <v>-639.05248319999998</v>
      </c>
      <c r="AK119" s="101">
        <f t="shared" si="273"/>
        <v>4.8319999996238039E-4</v>
      </c>
      <c r="AL119" s="163">
        <f t="shared" si="262"/>
        <v>-7.5611943097818541E-5</v>
      </c>
      <c r="AM119" s="235">
        <v>-342.04700000000003</v>
      </c>
      <c r="AN119" s="160">
        <v>-342.04654073117899</v>
      </c>
      <c r="AO119" s="101">
        <f t="shared" si="274"/>
        <v>-4.5926882103231037E-4</v>
      </c>
      <c r="AP119" s="163">
        <f t="shared" si="263"/>
        <v>1.3427085684028555E-4</v>
      </c>
      <c r="AQ119" s="235">
        <v>-639.05200000000002</v>
      </c>
      <c r="AR119" s="160">
        <v>-639.05248319999998</v>
      </c>
      <c r="AS119" s="101">
        <f t="shared" si="275"/>
        <v>4.8319999996238039E-4</v>
      </c>
      <c r="AT119" s="163">
        <f t="shared" si="264"/>
        <v>-7.5611943097818541E-5</v>
      </c>
    </row>
    <row r="120" spans="2:46" ht="15.75" thickBot="1" x14ac:dyDescent="0.3"/>
    <row r="121" spans="2:46" x14ac:dyDescent="0.25">
      <c r="B121" s="341" t="s">
        <v>10</v>
      </c>
      <c r="C121" s="166" t="s">
        <v>14</v>
      </c>
      <c r="D121" s="168" t="s">
        <v>14</v>
      </c>
      <c r="E121" s="343" t="s">
        <v>354</v>
      </c>
      <c r="F121" s="352" t="s">
        <v>355</v>
      </c>
      <c r="G121" s="166" t="s">
        <v>14</v>
      </c>
      <c r="H121" s="238" t="s">
        <v>14</v>
      </c>
      <c r="I121" s="343" t="s">
        <v>354</v>
      </c>
      <c r="J121" s="352" t="s">
        <v>355</v>
      </c>
      <c r="K121" s="166" t="s">
        <v>14</v>
      </c>
      <c r="L121" s="238" t="s">
        <v>14</v>
      </c>
      <c r="M121" s="343" t="s">
        <v>354</v>
      </c>
      <c r="N121" s="352" t="s">
        <v>355</v>
      </c>
      <c r="O121" s="166" t="s">
        <v>14</v>
      </c>
      <c r="P121" s="238" t="s">
        <v>14</v>
      </c>
      <c r="Q121" s="343" t="s">
        <v>354</v>
      </c>
      <c r="R121" s="352" t="s">
        <v>355</v>
      </c>
      <c r="S121" s="166" t="s">
        <v>14</v>
      </c>
      <c r="T121" s="238" t="s">
        <v>14</v>
      </c>
      <c r="U121" s="343" t="s">
        <v>354</v>
      </c>
      <c r="V121" s="352" t="s">
        <v>355</v>
      </c>
      <c r="W121" s="166" t="s">
        <v>14</v>
      </c>
      <c r="X121" s="238" t="s">
        <v>14</v>
      </c>
      <c r="Y121" s="343" t="s">
        <v>354</v>
      </c>
      <c r="Z121" s="352" t="s">
        <v>355</v>
      </c>
      <c r="AA121" s="166" t="s">
        <v>14</v>
      </c>
      <c r="AB121" s="238" t="s">
        <v>14</v>
      </c>
      <c r="AC121" s="343" t="s">
        <v>354</v>
      </c>
      <c r="AD121" s="352" t="s">
        <v>355</v>
      </c>
      <c r="AE121" s="166" t="s">
        <v>14</v>
      </c>
      <c r="AF121" s="238" t="s">
        <v>14</v>
      </c>
      <c r="AG121" s="343" t="s">
        <v>354</v>
      </c>
      <c r="AH121" s="357" t="s">
        <v>355</v>
      </c>
      <c r="AI121" s="166" t="s">
        <v>14</v>
      </c>
      <c r="AJ121" s="238" t="s">
        <v>14</v>
      </c>
      <c r="AK121" s="343" t="s">
        <v>354</v>
      </c>
      <c r="AL121" s="357" t="s">
        <v>355</v>
      </c>
      <c r="AM121" s="166" t="s">
        <v>14</v>
      </c>
      <c r="AN121" s="238" t="s">
        <v>14</v>
      </c>
      <c r="AO121" s="343" t="s">
        <v>354</v>
      </c>
      <c r="AP121" s="357" t="s">
        <v>355</v>
      </c>
      <c r="AQ121" s="166" t="s">
        <v>14</v>
      </c>
      <c r="AR121" s="238" t="s">
        <v>14</v>
      </c>
      <c r="AS121" s="343" t="s">
        <v>354</v>
      </c>
      <c r="AT121" s="357" t="s">
        <v>355</v>
      </c>
    </row>
    <row r="122" spans="2:46" ht="15.75" thickBot="1" x14ac:dyDescent="0.3">
      <c r="B122" s="342"/>
      <c r="C122" s="167" t="s">
        <v>290</v>
      </c>
      <c r="D122" s="169" t="s">
        <v>291</v>
      </c>
      <c r="E122" s="344"/>
      <c r="F122" s="353"/>
      <c r="G122" s="167" t="s">
        <v>290</v>
      </c>
      <c r="H122" s="239" t="s">
        <v>291</v>
      </c>
      <c r="I122" s="344"/>
      <c r="J122" s="353"/>
      <c r="K122" s="167" t="s">
        <v>290</v>
      </c>
      <c r="L122" s="239" t="s">
        <v>291</v>
      </c>
      <c r="M122" s="344"/>
      <c r="N122" s="353"/>
      <c r="O122" s="167" t="s">
        <v>290</v>
      </c>
      <c r="P122" s="239" t="s">
        <v>291</v>
      </c>
      <c r="Q122" s="344"/>
      <c r="R122" s="353"/>
      <c r="S122" s="167" t="s">
        <v>290</v>
      </c>
      <c r="T122" s="239" t="s">
        <v>291</v>
      </c>
      <c r="U122" s="344"/>
      <c r="V122" s="353"/>
      <c r="W122" s="167" t="s">
        <v>290</v>
      </c>
      <c r="X122" s="239" t="s">
        <v>291</v>
      </c>
      <c r="Y122" s="344"/>
      <c r="Z122" s="353"/>
      <c r="AA122" s="167" t="s">
        <v>290</v>
      </c>
      <c r="AB122" s="239" t="s">
        <v>291</v>
      </c>
      <c r="AC122" s="344"/>
      <c r="AD122" s="353"/>
      <c r="AE122" s="167" t="s">
        <v>290</v>
      </c>
      <c r="AF122" s="239" t="s">
        <v>291</v>
      </c>
      <c r="AG122" s="344"/>
      <c r="AH122" s="358"/>
      <c r="AI122" s="167" t="s">
        <v>290</v>
      </c>
      <c r="AJ122" s="239" t="s">
        <v>291</v>
      </c>
      <c r="AK122" s="344"/>
      <c r="AL122" s="358"/>
      <c r="AM122" s="167" t="s">
        <v>290</v>
      </c>
      <c r="AN122" s="239" t="s">
        <v>291</v>
      </c>
      <c r="AO122" s="344"/>
      <c r="AP122" s="358"/>
      <c r="AQ122" s="167" t="s">
        <v>290</v>
      </c>
      <c r="AR122" s="239" t="s">
        <v>291</v>
      </c>
      <c r="AS122" s="344"/>
      <c r="AT122" s="358"/>
    </row>
    <row r="123" spans="2:46" ht="15.75" thickBot="1" x14ac:dyDescent="0.3">
      <c r="B123" s="346" t="s">
        <v>700</v>
      </c>
      <c r="C123" s="363" t="s">
        <v>18</v>
      </c>
      <c r="D123" s="177" t="s">
        <v>18</v>
      </c>
      <c r="E123" s="344"/>
      <c r="F123" s="354"/>
      <c r="G123" s="363" t="s">
        <v>19</v>
      </c>
      <c r="H123" s="177" t="s">
        <v>19</v>
      </c>
      <c r="I123" s="344"/>
      <c r="J123" s="354"/>
      <c r="K123" s="363" t="s">
        <v>20</v>
      </c>
      <c r="L123" s="177" t="s">
        <v>20</v>
      </c>
      <c r="M123" s="344"/>
      <c r="N123" s="354"/>
      <c r="O123" s="363" t="s">
        <v>21</v>
      </c>
      <c r="P123" s="240" t="s">
        <v>21</v>
      </c>
      <c r="Q123" s="344"/>
      <c r="R123" s="354"/>
      <c r="S123" s="363" t="s">
        <v>22</v>
      </c>
      <c r="T123" s="177" t="s">
        <v>22</v>
      </c>
      <c r="U123" s="344"/>
      <c r="V123" s="354"/>
      <c r="W123" s="363" t="s">
        <v>23</v>
      </c>
      <c r="X123" s="177" t="s">
        <v>23</v>
      </c>
      <c r="Y123" s="344"/>
      <c r="Z123" s="354"/>
      <c r="AA123" s="363" t="s">
        <v>24</v>
      </c>
      <c r="AB123" s="177" t="s">
        <v>24</v>
      </c>
      <c r="AC123" s="344"/>
      <c r="AD123" s="354"/>
      <c r="AE123" s="363" t="s">
        <v>25</v>
      </c>
      <c r="AF123" s="225" t="s">
        <v>25</v>
      </c>
      <c r="AG123" s="344"/>
      <c r="AH123" s="358"/>
      <c r="AI123" s="346" t="s">
        <v>26</v>
      </c>
      <c r="AJ123" s="225" t="s">
        <v>26</v>
      </c>
      <c r="AK123" s="344"/>
      <c r="AL123" s="358"/>
      <c r="AM123" s="346" t="s">
        <v>681</v>
      </c>
      <c r="AN123" s="17" t="s">
        <v>681</v>
      </c>
      <c r="AO123" s="344"/>
      <c r="AP123" s="358"/>
      <c r="AQ123" s="346" t="s">
        <v>721</v>
      </c>
      <c r="AR123" s="17" t="s">
        <v>721</v>
      </c>
      <c r="AS123" s="344"/>
      <c r="AT123" s="358"/>
    </row>
    <row r="124" spans="2:46" ht="24" thickBot="1" x14ac:dyDescent="0.3">
      <c r="B124" s="347"/>
      <c r="C124" s="364"/>
      <c r="D124" s="236" t="s">
        <v>711</v>
      </c>
      <c r="E124" s="345"/>
      <c r="F124" s="345"/>
      <c r="G124" s="364"/>
      <c r="H124" s="237" t="s">
        <v>720</v>
      </c>
      <c r="I124" s="345"/>
      <c r="J124" s="345"/>
      <c r="K124" s="364"/>
      <c r="L124" s="237" t="s">
        <v>719</v>
      </c>
      <c r="M124" s="345"/>
      <c r="N124" s="345"/>
      <c r="O124" s="364"/>
      <c r="P124" s="237" t="s">
        <v>718</v>
      </c>
      <c r="Q124" s="345"/>
      <c r="R124" s="345"/>
      <c r="S124" s="364"/>
      <c r="T124" s="237" t="s">
        <v>717</v>
      </c>
      <c r="U124" s="345"/>
      <c r="V124" s="345"/>
      <c r="W124" s="364"/>
      <c r="X124" s="237" t="s">
        <v>716</v>
      </c>
      <c r="Y124" s="345"/>
      <c r="Z124" s="345"/>
      <c r="AA124" s="364"/>
      <c r="AB124" s="237" t="s">
        <v>715</v>
      </c>
      <c r="AC124" s="345"/>
      <c r="AD124" s="345"/>
      <c r="AE124" s="364"/>
      <c r="AF124" s="237" t="s">
        <v>714</v>
      </c>
      <c r="AG124" s="345"/>
      <c r="AH124" s="359"/>
      <c r="AI124" s="347"/>
      <c r="AJ124" s="237" t="s">
        <v>712</v>
      </c>
      <c r="AK124" s="345"/>
      <c r="AL124" s="359"/>
      <c r="AM124" s="347"/>
      <c r="AN124" s="237" t="s">
        <v>713</v>
      </c>
      <c r="AO124" s="345"/>
      <c r="AP124" s="359"/>
      <c r="AQ124" s="347"/>
      <c r="AR124" s="237" t="s">
        <v>731</v>
      </c>
      <c r="AS124" s="345"/>
      <c r="AT124" s="359"/>
    </row>
    <row r="125" spans="2:46" x14ac:dyDescent="0.25">
      <c r="B125" s="95">
        <v>1</v>
      </c>
      <c r="C125" s="234">
        <v>249.089</v>
      </c>
      <c r="D125" s="106">
        <v>249.08891</v>
      </c>
      <c r="E125" s="100">
        <f>C125-D125</f>
        <v>9.0000000000145519E-5</v>
      </c>
      <c r="F125" s="312">
        <f t="shared" ref="F125:F130" si="276">(100*E125)/D125</f>
        <v>3.6131676837859031E-5</v>
      </c>
      <c r="G125" s="234">
        <v>2.5400000000000002E-3</v>
      </c>
      <c r="H125" s="106">
        <v>2.5399994694956002E-3</v>
      </c>
      <c r="I125" s="100">
        <f>G125-H125</f>
        <v>5.3050439995788734E-10</v>
      </c>
      <c r="J125" s="312">
        <f t="shared" ref="J125:J130" si="277">(100*I125)/H125</f>
        <v>2.088600436059289E-5</v>
      </c>
      <c r="K125" s="234">
        <v>2.4583199999999999E-3</v>
      </c>
      <c r="L125" s="106">
        <v>2.4583164905059999E-3</v>
      </c>
      <c r="M125" s="100">
        <f>K125-L125</f>
        <v>3.5094940000965358E-9</v>
      </c>
      <c r="N125" s="312">
        <f t="shared" ref="N125:N130" si="278">(100*M125)/L125</f>
        <v>1.4276005606479782E-4</v>
      </c>
      <c r="O125" s="234">
        <v>2.4908899999999999E-3</v>
      </c>
      <c r="P125" s="106">
        <v>2.4908891000000001E-3</v>
      </c>
      <c r="Q125" s="100">
        <f>O125-P125</f>
        <v>8.9999999987322443E-10</v>
      </c>
      <c r="R125" s="312">
        <f t="shared" ref="R125:R130" si="279">(100*Q125)/P125</f>
        <v>3.6131676832711036E-5</v>
      </c>
      <c r="S125" s="234">
        <v>0.249089</v>
      </c>
      <c r="T125" s="106">
        <v>0.24908891</v>
      </c>
      <c r="U125" s="100">
        <f>S125-T125</f>
        <v>9.0000000008139125E-8</v>
      </c>
      <c r="V125" s="312">
        <f t="shared" ref="V125:V130" si="280">(100*U125)/T125</f>
        <v>3.6131676841068168E-5</v>
      </c>
      <c r="W125" s="234">
        <v>25.4</v>
      </c>
      <c r="X125" s="106">
        <v>25.4</v>
      </c>
      <c r="Y125" s="100">
        <f>W125-X125</f>
        <v>0</v>
      </c>
      <c r="Z125" s="312">
        <f t="shared" ref="Z125:Z130" si="281">(100*Y125)/X125</f>
        <v>0</v>
      </c>
      <c r="AA125" s="234">
        <v>2.4908900000000003E-4</v>
      </c>
      <c r="AB125" s="106">
        <v>2.4908891000000001E-4</v>
      </c>
      <c r="AC125" s="100">
        <f>AA125-AB125</f>
        <v>9.0000000019848508E-11</v>
      </c>
      <c r="AD125" s="312">
        <f t="shared" ref="AD125:AD130" si="282">(100*AC125)/AB125</f>
        <v>3.6131676845769051E-5</v>
      </c>
      <c r="AE125" s="234">
        <v>3.6127300000000001E-2</v>
      </c>
      <c r="AF125" s="106">
        <v>3.6127282601907E-2</v>
      </c>
      <c r="AG125" s="100">
        <f>AE125-AF125</f>
        <v>1.7398093000997594E-8</v>
      </c>
      <c r="AH125" s="162">
        <f t="shared" ref="AH125:AH130" si="283">(100*AG125)/AF125</f>
        <v>4.8157768168478926E-5</v>
      </c>
      <c r="AI125" s="234">
        <v>1.86832</v>
      </c>
      <c r="AJ125" s="106">
        <v>1.86312026376856</v>
      </c>
      <c r="AK125" s="100">
        <f>AI125-AJ125</f>
        <v>5.1997362314399886E-3</v>
      </c>
      <c r="AL125" s="162">
        <f t="shared" ref="AL125:AL130" si="284">(100*AK125)/AJ125</f>
        <v>0.27908752497395994</v>
      </c>
      <c r="AM125" s="234">
        <v>2.4908899999999998</v>
      </c>
      <c r="AN125" s="106">
        <v>2.4908891</v>
      </c>
      <c r="AO125" s="100">
        <f>AM125-AN125</f>
        <v>8.9999999985934664E-7</v>
      </c>
      <c r="AP125" s="162">
        <f t="shared" ref="AP125:AP130" si="285">(100*AO125)/AN125</f>
        <v>3.6131676832153891E-5</v>
      </c>
      <c r="AQ125" s="234">
        <v>1.86832</v>
      </c>
      <c r="AR125" s="106">
        <v>1.86312026376856</v>
      </c>
      <c r="AS125" s="100">
        <f>AQ125-AR125</f>
        <v>5.1997362314399886E-3</v>
      </c>
      <c r="AT125" s="162">
        <f t="shared" ref="AT125:AT130" si="286">(100*AS125)/AR125</f>
        <v>0.27908752497395994</v>
      </c>
    </row>
    <row r="126" spans="2:46" x14ac:dyDescent="0.25">
      <c r="B126" s="32">
        <v>852</v>
      </c>
      <c r="C126" s="161">
        <v>212224</v>
      </c>
      <c r="D126" s="104">
        <v>212223.75132000001</v>
      </c>
      <c r="E126" s="99">
        <f t="shared" ref="E126:E130" si="287">C126-D126</f>
        <v>0.24867999998969026</v>
      </c>
      <c r="F126" s="311">
        <f t="shared" si="276"/>
        <v>1.1717821329749278E-4</v>
      </c>
      <c r="G126" s="161">
        <v>2.1640799999999998</v>
      </c>
      <c r="H126" s="104">
        <v>2.1640795480102502</v>
      </c>
      <c r="I126" s="99">
        <f t="shared" ref="I126:I130" si="288">G126-H126</f>
        <v>4.5198974962801231E-7</v>
      </c>
      <c r="J126" s="311">
        <f t="shared" si="277"/>
        <v>2.088600440051252E-5</v>
      </c>
      <c r="K126" s="161">
        <v>2.09449</v>
      </c>
      <c r="L126" s="104">
        <v>2.09448564991113</v>
      </c>
      <c r="M126" s="99">
        <f t="shared" ref="M126:M130" si="289">K126-L126</f>
        <v>4.3500888700087614E-6</v>
      </c>
      <c r="N126" s="311">
        <f t="shared" si="278"/>
        <v>2.076924647439498E-4</v>
      </c>
      <c r="O126" s="161">
        <v>2.1222400000000001</v>
      </c>
      <c r="P126" s="104">
        <v>2.1223751320000002</v>
      </c>
      <c r="Q126" s="99">
        <f t="shared" ref="Q126:Q130" si="290">O126-P126</f>
        <v>-1.3513200000003778E-4</v>
      </c>
      <c r="R126" s="311">
        <f t="shared" si="279"/>
        <v>-6.3670176851675329E-3</v>
      </c>
      <c r="S126" s="161">
        <v>212.22399999999999</v>
      </c>
      <c r="T126" s="104">
        <v>212.22375131999999</v>
      </c>
      <c r="U126" s="99">
        <f t="shared" ref="U126:U130" si="291">S126-T126</f>
        <v>2.4867999999855783E-4</v>
      </c>
      <c r="V126" s="311">
        <f t="shared" si="280"/>
        <v>1.171782133016712E-4</v>
      </c>
      <c r="W126" s="161">
        <v>21640.799999999999</v>
      </c>
      <c r="X126" s="104">
        <v>21640.799999999999</v>
      </c>
      <c r="Y126" s="99">
        <f t="shared" ref="Y126:Y130" si="292">W126-X126</f>
        <v>0</v>
      </c>
      <c r="Z126" s="311">
        <f t="shared" si="281"/>
        <v>0</v>
      </c>
      <c r="AA126" s="161">
        <v>0.212224</v>
      </c>
      <c r="AB126" s="104">
        <v>0.21222375131999999</v>
      </c>
      <c r="AC126" s="99">
        <f t="shared" ref="AC126:AC130" si="293">AA126-AB126</f>
        <v>2.4868000000899393E-7</v>
      </c>
      <c r="AD126" s="311">
        <f t="shared" si="282"/>
        <v>1.171782133065887E-4</v>
      </c>
      <c r="AE126" s="161">
        <v>30.7804</v>
      </c>
      <c r="AF126" s="104">
        <v>30.780444776824702</v>
      </c>
      <c r="AG126" s="99">
        <f t="shared" ref="AG126:AG130" si="294">AE126-AF126</f>
        <v>-4.4776824701386886E-5</v>
      </c>
      <c r="AH126" s="153">
        <f t="shared" si="283"/>
        <v>-1.4547166236889591E-4</v>
      </c>
      <c r="AI126" s="161">
        <v>1591.81</v>
      </c>
      <c r="AJ126" s="104">
        <v>1591.80886473081</v>
      </c>
      <c r="AK126" s="99">
        <f t="shared" ref="AK126:AK130" si="295">AI126-AJ126</f>
        <v>1.1352691899446654E-3</v>
      </c>
      <c r="AL126" s="153">
        <f t="shared" si="284"/>
        <v>7.1319441366262914E-5</v>
      </c>
      <c r="AM126" s="161">
        <v>2122.2399999999998</v>
      </c>
      <c r="AN126" s="104">
        <v>2122.2375132000002</v>
      </c>
      <c r="AO126" s="99">
        <f t="shared" ref="AO126:AO130" si="296">AM126-AN126</f>
        <v>2.4867999995876744E-3</v>
      </c>
      <c r="AP126" s="153">
        <f t="shared" si="285"/>
        <v>1.1717821328292192E-4</v>
      </c>
      <c r="AQ126" s="161">
        <v>1591.81</v>
      </c>
      <c r="AR126" s="104">
        <v>1591.80886473081</v>
      </c>
      <c r="AS126" s="99">
        <f t="shared" ref="AS126:AS130" si="297">AQ126-AR126</f>
        <v>1.1352691899446654E-3</v>
      </c>
      <c r="AT126" s="153">
        <f t="shared" si="286"/>
        <v>7.1319441366262914E-5</v>
      </c>
    </row>
    <row r="127" spans="2:46" x14ac:dyDescent="0.25">
      <c r="B127" s="32">
        <v>4123</v>
      </c>
      <c r="C127" s="161">
        <v>1026994</v>
      </c>
      <c r="D127" s="104">
        <v>1026993.57593</v>
      </c>
      <c r="E127" s="99">
        <f t="shared" si="287"/>
        <v>0.4240699999500066</v>
      </c>
      <c r="F127" s="311">
        <f t="shared" si="276"/>
        <v>4.1292371236693232E-5</v>
      </c>
      <c r="G127" s="161">
        <v>10.4724</v>
      </c>
      <c r="H127" s="104">
        <v>10.4714178127303</v>
      </c>
      <c r="I127" s="99">
        <f t="shared" si="288"/>
        <v>9.8218726970067394E-4</v>
      </c>
      <c r="J127" s="311">
        <f t="shared" si="277"/>
        <v>9.3796970693558832E-3</v>
      </c>
      <c r="K127" s="161">
        <v>10.1356</v>
      </c>
      <c r="L127" s="104">
        <v>10.135638890356301</v>
      </c>
      <c r="M127" s="99">
        <f t="shared" si="289"/>
        <v>-3.8890356300669282E-5</v>
      </c>
      <c r="N127" s="311">
        <f t="shared" si="278"/>
        <v>-3.8369911084413307E-4</v>
      </c>
      <c r="O127" s="161">
        <v>10.2699</v>
      </c>
      <c r="P127" s="104">
        <v>10.269935759299999</v>
      </c>
      <c r="Q127" s="99">
        <f t="shared" si="290"/>
        <v>-3.5759299999327254E-5</v>
      </c>
      <c r="R127" s="311">
        <f t="shared" si="279"/>
        <v>-3.4819399884702506E-4</v>
      </c>
      <c r="S127" s="161">
        <v>1026.99</v>
      </c>
      <c r="T127" s="104">
        <v>1026.9935759299999</v>
      </c>
      <c r="U127" s="99">
        <f t="shared" si="291"/>
        <v>-3.5759299998971983E-3</v>
      </c>
      <c r="V127" s="311">
        <f t="shared" si="280"/>
        <v>-3.4819399884356575E-4</v>
      </c>
      <c r="W127" s="161">
        <v>104724</v>
      </c>
      <c r="X127" s="104">
        <v>104724.2</v>
      </c>
      <c r="Y127" s="99">
        <f t="shared" si="292"/>
        <v>-0.19999999999708962</v>
      </c>
      <c r="Z127" s="311">
        <f t="shared" si="281"/>
        <v>-1.9097782556189459E-4</v>
      </c>
      <c r="AA127" s="161">
        <v>1.0269900000000001</v>
      </c>
      <c r="AB127" s="104">
        <v>1.02699357593</v>
      </c>
      <c r="AC127" s="99">
        <f t="shared" si="293"/>
        <v>-3.5759299998883165E-6</v>
      </c>
      <c r="AD127" s="311">
        <f t="shared" si="282"/>
        <v>-3.4819399884270088E-4</v>
      </c>
      <c r="AE127" s="161">
        <v>148.953</v>
      </c>
      <c r="AF127" s="104">
        <v>148.95127861676599</v>
      </c>
      <c r="AG127" s="99">
        <f t="shared" si="294"/>
        <v>1.721383234013274E-3</v>
      </c>
      <c r="AH127" s="153">
        <f t="shared" si="283"/>
        <v>1.1556686521920964E-3</v>
      </c>
      <c r="AI127" s="161">
        <v>7703.08</v>
      </c>
      <c r="AJ127" s="104">
        <v>7703.0844475177701</v>
      </c>
      <c r="AK127" s="99">
        <f t="shared" si="295"/>
        <v>-4.447517770131526E-3</v>
      </c>
      <c r="AL127" s="153">
        <f t="shared" si="284"/>
        <v>-5.7736842954703521E-5</v>
      </c>
      <c r="AM127" s="161">
        <v>10269.9</v>
      </c>
      <c r="AN127" s="104">
        <v>10269.9357593</v>
      </c>
      <c r="AO127" s="99">
        <f t="shared" si="296"/>
        <v>-3.5759300000790972E-2</v>
      </c>
      <c r="AP127" s="153">
        <f t="shared" si="285"/>
        <v>-3.481939988612775E-4</v>
      </c>
      <c r="AQ127" s="161">
        <v>7703.08</v>
      </c>
      <c r="AR127" s="104">
        <v>7703.0844475177701</v>
      </c>
      <c r="AS127" s="99">
        <f t="shared" si="297"/>
        <v>-4.447517770131526E-3</v>
      </c>
      <c r="AT127" s="153">
        <f t="shared" si="286"/>
        <v>-5.7736842954703521E-5</v>
      </c>
    </row>
    <row r="128" spans="2:46" x14ac:dyDescent="0.25">
      <c r="B128" s="32">
        <v>774411225588</v>
      </c>
      <c r="C128" s="161">
        <v>192897248073479</v>
      </c>
      <c r="D128" s="104">
        <v>192897248073479</v>
      </c>
      <c r="E128" s="99">
        <f t="shared" si="287"/>
        <v>0</v>
      </c>
      <c r="F128" s="311">
        <f t="shared" si="276"/>
        <v>0</v>
      </c>
      <c r="G128" s="161">
        <v>1967004102</v>
      </c>
      <c r="H128" s="104">
        <v>1967004102.1649499</v>
      </c>
      <c r="I128" s="99">
        <f t="shared" si="288"/>
        <v>-0.16494989395141602</v>
      </c>
      <c r="J128" s="311">
        <f t="shared" si="277"/>
        <v>-8.3858439222300915E-9</v>
      </c>
      <c r="K128" s="161">
        <v>1903747886</v>
      </c>
      <c r="L128" s="104">
        <v>1903747886.2959599</v>
      </c>
      <c r="M128" s="99">
        <f t="shared" si="289"/>
        <v>-0.2959599494934082</v>
      </c>
      <c r="N128" s="311">
        <f t="shared" si="278"/>
        <v>-1.5546173504583355E-8</v>
      </c>
      <c r="O128" s="161">
        <v>1928972481</v>
      </c>
      <c r="P128" s="104">
        <v>1928972480.7347901</v>
      </c>
      <c r="Q128" s="99">
        <f t="shared" si="290"/>
        <v>0.26520991325378418</v>
      </c>
      <c r="R128" s="311">
        <f t="shared" si="279"/>
        <v>1.3748766034897481E-8</v>
      </c>
      <c r="S128" s="161">
        <v>192897248073</v>
      </c>
      <c r="T128" s="104">
        <v>192897248073.479</v>
      </c>
      <c r="U128" s="99">
        <f t="shared" si="291"/>
        <v>-0.47900390625</v>
      </c>
      <c r="V128" s="311">
        <f t="shared" si="280"/>
        <v>-2.483207567935528E-10</v>
      </c>
      <c r="W128" s="161">
        <v>19670045129935</v>
      </c>
      <c r="X128" s="104">
        <v>19670045129935.199</v>
      </c>
      <c r="Y128" s="99">
        <f t="shared" si="292"/>
        <v>-0.19921875</v>
      </c>
      <c r="Z128" s="311">
        <f t="shared" si="281"/>
        <v>-1.0128027093177102E-12</v>
      </c>
      <c r="AA128" s="161">
        <v>192897248</v>
      </c>
      <c r="AB128" s="104">
        <v>192897248.073479</v>
      </c>
      <c r="AC128" s="99">
        <f t="shared" si="293"/>
        <v>-7.3478996753692627E-2</v>
      </c>
      <c r="AD128" s="311">
        <f t="shared" si="282"/>
        <v>-3.8092299132076154E-8</v>
      </c>
      <c r="AE128" s="161">
        <v>27977373197</v>
      </c>
      <c r="AF128" s="104">
        <v>27977373196.906799</v>
      </c>
      <c r="AG128" s="99">
        <f t="shared" si="294"/>
        <v>9.320068359375E-2</v>
      </c>
      <c r="AH128" s="153">
        <f t="shared" si="283"/>
        <v>3.3312878567189553E-10</v>
      </c>
      <c r="AI128" s="161">
        <v>1446848185256</v>
      </c>
      <c r="AJ128" s="104">
        <v>1446848185255.8999</v>
      </c>
      <c r="AK128" s="99">
        <f t="shared" si="295"/>
        <v>0.10009765625</v>
      </c>
      <c r="AL128" s="153">
        <f t="shared" si="284"/>
        <v>6.9183247606794359E-12</v>
      </c>
      <c r="AM128" s="161">
        <v>1928972480735</v>
      </c>
      <c r="AN128" s="104">
        <v>1928972480734.79</v>
      </c>
      <c r="AO128" s="99">
        <f t="shared" si="296"/>
        <v>0.2099609375</v>
      </c>
      <c r="AP128" s="153">
        <f t="shared" si="285"/>
        <v>1.0884599941001805E-11</v>
      </c>
      <c r="AQ128" s="161">
        <v>1446848185256</v>
      </c>
      <c r="AR128" s="104">
        <v>1446848185255.8999</v>
      </c>
      <c r="AS128" s="99">
        <f t="shared" si="297"/>
        <v>0.10009765625</v>
      </c>
      <c r="AT128" s="153">
        <f t="shared" si="286"/>
        <v>6.9183247606794359E-12</v>
      </c>
    </row>
    <row r="129" spans="2:46" x14ac:dyDescent="0.25">
      <c r="B129" s="105">
        <v>0.98699999999999999</v>
      </c>
      <c r="C129" s="159">
        <v>245.851</v>
      </c>
      <c r="D129" s="104">
        <v>245.85075416999999</v>
      </c>
      <c r="E129" s="99">
        <f t="shared" si="287"/>
        <v>2.4583000001143773E-4</v>
      </c>
      <c r="F129" s="311">
        <f t="shared" si="276"/>
        <v>9.9991558228636586E-5</v>
      </c>
      <c r="G129" s="161">
        <v>2.5069799999999998E-3</v>
      </c>
      <c r="H129" s="104">
        <v>2.5069794763921999E-3</v>
      </c>
      <c r="I129" s="99">
        <f t="shared" si="288"/>
        <v>5.2360779991336703E-10</v>
      </c>
      <c r="J129" s="311">
        <f t="shared" si="277"/>
        <v>2.0886002651561082E-5</v>
      </c>
      <c r="K129" s="161">
        <v>2.4263599999999998E-3</v>
      </c>
      <c r="L129" s="104">
        <v>2.4263583761294999E-3</v>
      </c>
      <c r="M129" s="99">
        <f t="shared" si="289"/>
        <v>1.6238704998727815E-9</v>
      </c>
      <c r="N129" s="311">
        <f t="shared" si="278"/>
        <v>6.6926242876914248E-5</v>
      </c>
      <c r="O129" s="161">
        <v>2.4585100000000001E-3</v>
      </c>
      <c r="P129" s="104">
        <v>2.4585075416999999E-3</v>
      </c>
      <c r="Q129" s="99">
        <f t="shared" si="290"/>
        <v>2.4583000001951461E-9</v>
      </c>
      <c r="R129" s="311">
        <f t="shared" si="279"/>
        <v>9.9991558231921854E-5</v>
      </c>
      <c r="S129" s="161">
        <v>0.24585099999999999</v>
      </c>
      <c r="T129" s="104">
        <v>0.24585075416999999</v>
      </c>
      <c r="U129" s="99">
        <f t="shared" si="291"/>
        <v>2.4582999999522848E-7</v>
      </c>
      <c r="V129" s="311">
        <f t="shared" si="280"/>
        <v>9.9991558222043458E-5</v>
      </c>
      <c r="W129" s="161">
        <v>25.069800000000001</v>
      </c>
      <c r="X129" s="104">
        <v>25.069800000000001</v>
      </c>
      <c r="Y129" s="99">
        <f t="shared" si="292"/>
        <v>0</v>
      </c>
      <c r="Z129" s="311">
        <f t="shared" si="281"/>
        <v>0</v>
      </c>
      <c r="AA129" s="161">
        <v>2.45851E-4</v>
      </c>
      <c r="AB129" s="104">
        <v>2.4585075416999998E-4</v>
      </c>
      <c r="AC129" s="99">
        <f t="shared" si="293"/>
        <v>2.4583000001951461E-10</v>
      </c>
      <c r="AD129" s="311">
        <f t="shared" si="282"/>
        <v>9.9991558231921868E-5</v>
      </c>
      <c r="AE129" s="161">
        <v>3.5657599999999998E-2</v>
      </c>
      <c r="AF129" s="104">
        <v>3.5657627928082199E-2</v>
      </c>
      <c r="AG129" s="99">
        <f t="shared" si="294"/>
        <v>-2.7928082201034155E-8</v>
      </c>
      <c r="AH129" s="153">
        <f t="shared" si="283"/>
        <v>-7.8322882995364272E-5</v>
      </c>
      <c r="AI129" s="161">
        <v>1.8440300000000001</v>
      </c>
      <c r="AJ129" s="104">
        <v>1.8440321003395601</v>
      </c>
      <c r="AK129" s="99">
        <f t="shared" si="295"/>
        <v>-2.1003395600516228E-6</v>
      </c>
      <c r="AL129" s="153">
        <f t="shared" si="284"/>
        <v>-1.1389929490190905E-4</v>
      </c>
      <c r="AM129" s="161">
        <v>2.45851</v>
      </c>
      <c r="AN129" s="104">
        <v>2.4585075417</v>
      </c>
      <c r="AO129" s="99">
        <f t="shared" si="296"/>
        <v>2.4583000000077959E-6</v>
      </c>
      <c r="AP129" s="153">
        <f t="shared" si="285"/>
        <v>9.9991558224301377E-5</v>
      </c>
      <c r="AQ129" s="161">
        <v>1.8440300000000001</v>
      </c>
      <c r="AR129" s="104">
        <v>1.8440321003395601</v>
      </c>
      <c r="AS129" s="99">
        <f t="shared" si="297"/>
        <v>-2.1003395600516228E-6</v>
      </c>
      <c r="AT129" s="153">
        <f t="shared" si="286"/>
        <v>-1.1389929490190905E-4</v>
      </c>
    </row>
    <row r="130" spans="2:46" ht="15.75" thickBot="1" x14ac:dyDescent="0.3">
      <c r="B130" s="34">
        <v>-852</v>
      </c>
      <c r="C130" s="235">
        <v>-212224</v>
      </c>
      <c r="D130" s="160">
        <v>-212223.75132000001</v>
      </c>
      <c r="E130" s="101">
        <f t="shared" si="287"/>
        <v>-0.24867999998969026</v>
      </c>
      <c r="F130" s="313">
        <f t="shared" si="276"/>
        <v>1.1717821329749278E-4</v>
      </c>
      <c r="G130" s="235">
        <v>-2.1640799999999998</v>
      </c>
      <c r="H130" s="160">
        <v>-2.1640795480102502</v>
      </c>
      <c r="I130" s="101">
        <f t="shared" si="288"/>
        <v>-4.5198974962801231E-7</v>
      </c>
      <c r="J130" s="313">
        <f t="shared" si="277"/>
        <v>2.088600440051252E-5</v>
      </c>
      <c r="K130" s="235">
        <v>-2.09449</v>
      </c>
      <c r="L130" s="160">
        <v>-2.09448564991113</v>
      </c>
      <c r="M130" s="101">
        <f t="shared" si="289"/>
        <v>-4.3500888700087614E-6</v>
      </c>
      <c r="N130" s="313">
        <f t="shared" si="278"/>
        <v>2.076924647439498E-4</v>
      </c>
      <c r="O130" s="235">
        <v>-2.1222400000000001</v>
      </c>
      <c r="P130" s="160">
        <v>-2.1222375132</v>
      </c>
      <c r="Q130" s="101">
        <f t="shared" si="290"/>
        <v>-2.4868000001454504E-6</v>
      </c>
      <c r="R130" s="313">
        <f t="shared" si="279"/>
        <v>1.1717821330920437E-4</v>
      </c>
      <c r="S130" s="235">
        <v>-212.22399999999999</v>
      </c>
      <c r="T130" s="160">
        <v>-212.22375131999999</v>
      </c>
      <c r="U130" s="101">
        <f t="shared" si="291"/>
        <v>-2.4867999999855783E-4</v>
      </c>
      <c r="V130" s="313">
        <f t="shared" si="280"/>
        <v>1.171782133016712E-4</v>
      </c>
      <c r="W130" s="235">
        <v>-21640.799999999999</v>
      </c>
      <c r="X130" s="160">
        <v>-21640.799999999999</v>
      </c>
      <c r="Y130" s="101">
        <f t="shared" si="292"/>
        <v>0</v>
      </c>
      <c r="Z130" s="313">
        <f t="shared" si="281"/>
        <v>0</v>
      </c>
      <c r="AA130" s="235">
        <v>-0.212224</v>
      </c>
      <c r="AB130" s="160">
        <v>-0.21222375131999999</v>
      </c>
      <c r="AC130" s="101">
        <f t="shared" si="293"/>
        <v>-2.4868000000899393E-7</v>
      </c>
      <c r="AD130" s="313">
        <f t="shared" si="282"/>
        <v>1.171782133065887E-4</v>
      </c>
      <c r="AE130" s="235">
        <v>-30.7804</v>
      </c>
      <c r="AF130" s="160">
        <v>-30.780444776824702</v>
      </c>
      <c r="AG130" s="101">
        <f t="shared" si="294"/>
        <v>4.4776824701386886E-5</v>
      </c>
      <c r="AH130" s="163">
        <f t="shared" si="283"/>
        <v>-1.4547166236889591E-4</v>
      </c>
      <c r="AI130" s="235">
        <v>-1591.81</v>
      </c>
      <c r="AJ130" s="160">
        <v>-1591.80886473081</v>
      </c>
      <c r="AK130" s="101">
        <f t="shared" si="295"/>
        <v>-1.1352691899446654E-3</v>
      </c>
      <c r="AL130" s="163">
        <f t="shared" si="284"/>
        <v>7.1319441366262914E-5</v>
      </c>
      <c r="AM130" s="235">
        <v>-2122.2399999999998</v>
      </c>
      <c r="AN130" s="160">
        <v>-2122.2375133199998</v>
      </c>
      <c r="AO130" s="101">
        <f t="shared" si="296"/>
        <v>-2.4866799999472278E-3</v>
      </c>
      <c r="AP130" s="163">
        <f t="shared" si="285"/>
        <v>1.1717255888371792E-4</v>
      </c>
      <c r="AQ130" s="235">
        <v>-1591.81</v>
      </c>
      <c r="AR130" s="160">
        <v>-1591.80886473081</v>
      </c>
      <c r="AS130" s="101">
        <f t="shared" si="297"/>
        <v>-1.1352691899446654E-3</v>
      </c>
      <c r="AT130" s="163">
        <f t="shared" si="286"/>
        <v>7.1319441366262914E-5</v>
      </c>
    </row>
    <row r="131" spans="2:46" ht="15.75" thickBot="1" x14ac:dyDescent="0.3">
      <c r="AJ131" s="320"/>
    </row>
    <row r="132" spans="2:46" x14ac:dyDescent="0.25">
      <c r="B132" s="341" t="s">
        <v>10</v>
      </c>
      <c r="C132" s="166" t="s">
        <v>14</v>
      </c>
      <c r="D132" s="168" t="s">
        <v>14</v>
      </c>
      <c r="E132" s="343" t="s">
        <v>354</v>
      </c>
      <c r="F132" s="352" t="s">
        <v>355</v>
      </c>
      <c r="G132" s="166" t="s">
        <v>14</v>
      </c>
      <c r="H132" s="238" t="s">
        <v>14</v>
      </c>
      <c r="I132" s="343" t="s">
        <v>354</v>
      </c>
      <c r="J132" s="352" t="s">
        <v>355</v>
      </c>
      <c r="K132" s="166" t="s">
        <v>14</v>
      </c>
      <c r="L132" s="238" t="s">
        <v>14</v>
      </c>
      <c r="M132" s="343" t="s">
        <v>354</v>
      </c>
      <c r="N132" s="352" t="s">
        <v>355</v>
      </c>
      <c r="O132" s="166" t="s">
        <v>14</v>
      </c>
      <c r="P132" s="238" t="s">
        <v>14</v>
      </c>
      <c r="Q132" s="343" t="s">
        <v>354</v>
      </c>
      <c r="R132" s="352" t="s">
        <v>355</v>
      </c>
      <c r="S132" s="166" t="s">
        <v>14</v>
      </c>
      <c r="T132" s="238" t="s">
        <v>14</v>
      </c>
      <c r="U132" s="343" t="s">
        <v>354</v>
      </c>
      <c r="V132" s="352" t="s">
        <v>355</v>
      </c>
      <c r="W132" s="166" t="s">
        <v>14</v>
      </c>
      <c r="X132" s="238" t="s">
        <v>14</v>
      </c>
      <c r="Y132" s="343" t="s">
        <v>354</v>
      </c>
      <c r="Z132" s="352" t="s">
        <v>355</v>
      </c>
      <c r="AA132" s="166" t="s">
        <v>14</v>
      </c>
      <c r="AB132" s="238" t="s">
        <v>14</v>
      </c>
      <c r="AC132" s="343" t="s">
        <v>354</v>
      </c>
      <c r="AD132" s="352" t="s">
        <v>355</v>
      </c>
      <c r="AE132" s="166" t="s">
        <v>14</v>
      </c>
      <c r="AF132" s="238" t="s">
        <v>14</v>
      </c>
      <c r="AG132" s="343" t="s">
        <v>354</v>
      </c>
      <c r="AH132" s="357" t="s">
        <v>355</v>
      </c>
      <c r="AI132" s="166" t="s">
        <v>14</v>
      </c>
      <c r="AJ132" s="238" t="s">
        <v>14</v>
      </c>
      <c r="AK132" s="343" t="s">
        <v>354</v>
      </c>
      <c r="AL132" s="357" t="s">
        <v>355</v>
      </c>
      <c r="AM132" s="166" t="s">
        <v>14</v>
      </c>
      <c r="AN132" s="238" t="s">
        <v>14</v>
      </c>
      <c r="AO132" s="343" t="s">
        <v>354</v>
      </c>
      <c r="AP132" s="357" t="s">
        <v>355</v>
      </c>
      <c r="AQ132" s="166" t="s">
        <v>14</v>
      </c>
      <c r="AR132" s="238" t="s">
        <v>14</v>
      </c>
      <c r="AS132" s="343" t="s">
        <v>354</v>
      </c>
      <c r="AT132" s="357" t="s">
        <v>355</v>
      </c>
    </row>
    <row r="133" spans="2:46" ht="15.75" thickBot="1" x14ac:dyDescent="0.3">
      <c r="B133" s="342"/>
      <c r="C133" s="167" t="s">
        <v>290</v>
      </c>
      <c r="D133" s="169" t="s">
        <v>291</v>
      </c>
      <c r="E133" s="344"/>
      <c r="F133" s="353"/>
      <c r="G133" s="167" t="s">
        <v>290</v>
      </c>
      <c r="H133" s="239" t="s">
        <v>291</v>
      </c>
      <c r="I133" s="344"/>
      <c r="J133" s="353"/>
      <c r="K133" s="167" t="s">
        <v>290</v>
      </c>
      <c r="L133" s="239" t="s">
        <v>291</v>
      </c>
      <c r="M133" s="344"/>
      <c r="N133" s="353"/>
      <c r="O133" s="167" t="s">
        <v>290</v>
      </c>
      <c r="P133" s="239" t="s">
        <v>291</v>
      </c>
      <c r="Q133" s="344"/>
      <c r="R133" s="353"/>
      <c r="S133" s="167" t="s">
        <v>290</v>
      </c>
      <c r="T133" s="239" t="s">
        <v>291</v>
      </c>
      <c r="U133" s="344"/>
      <c r="V133" s="353"/>
      <c r="W133" s="167" t="s">
        <v>290</v>
      </c>
      <c r="X133" s="239" t="s">
        <v>291</v>
      </c>
      <c r="Y133" s="344"/>
      <c r="Z133" s="353"/>
      <c r="AA133" s="167" t="s">
        <v>290</v>
      </c>
      <c r="AB133" s="239" t="s">
        <v>291</v>
      </c>
      <c r="AC133" s="344"/>
      <c r="AD133" s="353"/>
      <c r="AE133" s="167" t="s">
        <v>290</v>
      </c>
      <c r="AF133" s="239" t="s">
        <v>291</v>
      </c>
      <c r="AG133" s="344"/>
      <c r="AH133" s="358"/>
      <c r="AI133" s="167" t="s">
        <v>290</v>
      </c>
      <c r="AJ133" s="239" t="s">
        <v>291</v>
      </c>
      <c r="AK133" s="344"/>
      <c r="AL133" s="358"/>
      <c r="AM133" s="167" t="s">
        <v>290</v>
      </c>
      <c r="AN133" s="239" t="s">
        <v>291</v>
      </c>
      <c r="AO133" s="344"/>
      <c r="AP133" s="358"/>
      <c r="AQ133" s="167" t="s">
        <v>290</v>
      </c>
      <c r="AR133" s="239" t="s">
        <v>291</v>
      </c>
      <c r="AS133" s="344"/>
      <c r="AT133" s="358"/>
    </row>
    <row r="134" spans="2:46" ht="15.75" thickBot="1" x14ac:dyDescent="0.3">
      <c r="B134" s="346" t="s">
        <v>721</v>
      </c>
      <c r="C134" s="363" t="s">
        <v>18</v>
      </c>
      <c r="D134" s="177" t="s">
        <v>18</v>
      </c>
      <c r="E134" s="344"/>
      <c r="F134" s="354"/>
      <c r="G134" s="363" t="s">
        <v>19</v>
      </c>
      <c r="H134" s="177" t="s">
        <v>19</v>
      </c>
      <c r="I134" s="344"/>
      <c r="J134" s="354"/>
      <c r="K134" s="363" t="s">
        <v>20</v>
      </c>
      <c r="L134" s="177" t="s">
        <v>20</v>
      </c>
      <c r="M134" s="344"/>
      <c r="N134" s="354"/>
      <c r="O134" s="363" t="s">
        <v>21</v>
      </c>
      <c r="P134" s="240" t="s">
        <v>21</v>
      </c>
      <c r="Q134" s="344"/>
      <c r="R134" s="354"/>
      <c r="S134" s="363" t="s">
        <v>22</v>
      </c>
      <c r="T134" s="177" t="s">
        <v>22</v>
      </c>
      <c r="U134" s="344"/>
      <c r="V134" s="354"/>
      <c r="W134" s="363" t="s">
        <v>23</v>
      </c>
      <c r="X134" s="177" t="s">
        <v>23</v>
      </c>
      <c r="Y134" s="344"/>
      <c r="Z134" s="354"/>
      <c r="AA134" s="363" t="s">
        <v>24</v>
      </c>
      <c r="AB134" s="177" t="s">
        <v>24</v>
      </c>
      <c r="AC134" s="344"/>
      <c r="AD134" s="354"/>
      <c r="AE134" s="363" t="s">
        <v>25</v>
      </c>
      <c r="AF134" s="225" t="s">
        <v>25</v>
      </c>
      <c r="AG134" s="344"/>
      <c r="AH134" s="358"/>
      <c r="AI134" s="346" t="s">
        <v>681</v>
      </c>
      <c r="AJ134" s="17" t="s">
        <v>681</v>
      </c>
      <c r="AK134" s="344"/>
      <c r="AL134" s="358"/>
      <c r="AM134" s="346" t="s">
        <v>700</v>
      </c>
      <c r="AN134" s="17" t="s">
        <v>700</v>
      </c>
      <c r="AO134" s="344"/>
      <c r="AP134" s="358"/>
      <c r="AQ134" s="346" t="s">
        <v>26</v>
      </c>
      <c r="AR134" s="17" t="s">
        <v>26</v>
      </c>
      <c r="AS134" s="344"/>
      <c r="AT134" s="358"/>
    </row>
    <row r="135" spans="2:46" ht="24" thickBot="1" x14ac:dyDescent="0.3">
      <c r="B135" s="347"/>
      <c r="C135" s="364"/>
      <c r="D135" s="236" t="s">
        <v>739</v>
      </c>
      <c r="E135" s="345"/>
      <c r="F135" s="345"/>
      <c r="G135" s="364"/>
      <c r="H135" s="237" t="s">
        <v>738</v>
      </c>
      <c r="I135" s="345"/>
      <c r="J135" s="345"/>
      <c r="K135" s="364"/>
      <c r="L135" s="237" t="s">
        <v>740</v>
      </c>
      <c r="M135" s="345"/>
      <c r="N135" s="345"/>
      <c r="O135" s="364"/>
      <c r="P135" s="237" t="s">
        <v>741</v>
      </c>
      <c r="Q135" s="345"/>
      <c r="R135" s="345"/>
      <c r="S135" s="364"/>
      <c r="T135" s="237" t="s">
        <v>737</v>
      </c>
      <c r="U135" s="345"/>
      <c r="V135" s="345"/>
      <c r="W135" s="364"/>
      <c r="X135" s="237" t="s">
        <v>736</v>
      </c>
      <c r="Y135" s="345"/>
      <c r="Z135" s="345"/>
      <c r="AA135" s="364"/>
      <c r="AB135" s="237" t="s">
        <v>735</v>
      </c>
      <c r="AC135" s="345"/>
      <c r="AD135" s="345"/>
      <c r="AE135" s="364"/>
      <c r="AF135" s="237" t="s">
        <v>734</v>
      </c>
      <c r="AG135" s="345"/>
      <c r="AH135" s="359"/>
      <c r="AI135" s="347"/>
      <c r="AJ135" s="237" t="s">
        <v>733</v>
      </c>
      <c r="AK135" s="345"/>
      <c r="AL135" s="359"/>
      <c r="AM135" s="347"/>
      <c r="AN135" s="237" t="s">
        <v>732</v>
      </c>
      <c r="AO135" s="345"/>
      <c r="AP135" s="359"/>
      <c r="AQ135" s="347"/>
      <c r="AR135" s="237" t="s">
        <v>743</v>
      </c>
      <c r="AS135" s="345"/>
      <c r="AT135" s="359"/>
    </row>
    <row r="136" spans="2:46" x14ac:dyDescent="0.25">
      <c r="B136" s="95">
        <v>1</v>
      </c>
      <c r="C136" s="234">
        <v>133.322</v>
      </c>
      <c r="D136" s="106">
        <f>B136/0.007500616</f>
        <v>133.32238312159961</v>
      </c>
      <c r="E136" s="100">
        <f>C136-D136</f>
        <v>-3.8312159961151337E-4</v>
      </c>
      <c r="F136" s="318">
        <f t="shared" ref="F136:F141" si="298">(100*E136)/D136</f>
        <v>-2.873647999991711E-4</v>
      </c>
      <c r="G136" s="234">
        <v>1.35951E-3</v>
      </c>
      <c r="H136" s="106">
        <f>D136*0.00001019716</f>
        <v>1.3595096722722507E-3</v>
      </c>
      <c r="I136" s="100">
        <f>G136-H136</f>
        <v>3.2772774923549297E-10</v>
      </c>
      <c r="J136" s="318">
        <f t="shared" ref="J136:J141" si="299">(100*I136)/H136</f>
        <v>2.4106319794528341E-5</v>
      </c>
      <c r="K136" s="234">
        <v>1.3157900000000001E-3</v>
      </c>
      <c r="L136" s="106">
        <f>D136*0.000009869233</f>
        <v>1.3157896631423339E-3</v>
      </c>
      <c r="M136" s="100">
        <f>K136-L136</f>
        <v>3.368576661100936E-10</v>
      </c>
      <c r="N136" s="318">
        <f t="shared" ref="N136:N141" si="300">(100*M136)/L136</f>
        <v>2.560117893810011E-5</v>
      </c>
      <c r="O136" s="234">
        <v>1.33322E-3</v>
      </c>
      <c r="P136" s="106">
        <f>D136/100000</f>
        <v>1.3332238312159961E-3</v>
      </c>
      <c r="Q136" s="100">
        <f>O136-P136</f>
        <v>-3.8312159961455955E-9</v>
      </c>
      <c r="R136" s="318">
        <f t="shared" ref="R136:R141" si="301">(100*Q136)/P136</f>
        <v>-2.8736480000145594E-4</v>
      </c>
      <c r="S136" s="234">
        <v>0.133322</v>
      </c>
      <c r="T136" s="106">
        <f>D136/1000</f>
        <v>0.13332238312159961</v>
      </c>
      <c r="U136" s="100">
        <f>S136-T136</f>
        <v>-3.8312159961195746E-7</v>
      </c>
      <c r="V136" s="318">
        <f t="shared" ref="V136:V141" si="302">(100*U136)/T136</f>
        <v>-2.8736479999950422E-4</v>
      </c>
      <c r="W136" s="234">
        <v>13.5951</v>
      </c>
      <c r="X136" s="106">
        <f>D136/9.80665</f>
        <v>13.595099562195003</v>
      </c>
      <c r="Y136" s="100">
        <f>W136-X136</f>
        <v>4.3780499758838687E-7</v>
      </c>
      <c r="Z136" s="318">
        <f t="shared" ref="Z136:Z141" si="303">(100*Y136)/X136</f>
        <v>3.2203147581634988E-6</v>
      </c>
      <c r="AA136" s="234">
        <v>1.3332200000000001E-4</v>
      </c>
      <c r="AB136" s="106">
        <f>D136/1000000</f>
        <v>1.3332238312159961E-4</v>
      </c>
      <c r="AC136" s="100">
        <f>AA136-AB136</f>
        <v>-3.8312159960371753E-10</v>
      </c>
      <c r="AD136" s="318">
        <f t="shared" ref="AD136:AD141" si="304">(100*AC136)/AB136</f>
        <v>-2.8736479999332372E-4</v>
      </c>
      <c r="AE136" s="234">
        <v>1.9336800000000001E-2</v>
      </c>
      <c r="AF136" s="106">
        <f>D136*0.0001450377</f>
        <v>1.9336771806475628E-2</v>
      </c>
      <c r="AG136" s="100">
        <f>AE136-AF136</f>
        <v>2.8193524372749357E-8</v>
      </c>
      <c r="AH136" s="162">
        <f t="shared" ref="AH136:AH141" si="305">(100*AG136)/AF136</f>
        <v>1.4580264304152215E-4</v>
      </c>
      <c r="AI136" s="234">
        <v>1.3332200000000001</v>
      </c>
      <c r="AJ136" s="106">
        <v>1.3332238312159901</v>
      </c>
      <c r="AK136" s="100">
        <f>AI136-AJ136</f>
        <v>-3.831215990013348E-6</v>
      </c>
      <c r="AL136" s="162">
        <f t="shared" ref="AL136:AL141" si="306">(100*AK136)/AJ136</f>
        <v>-2.873647995415009E-4</v>
      </c>
      <c r="AM136" s="234">
        <v>0.53524000000000005</v>
      </c>
      <c r="AN136" s="106">
        <v>0.53524014024389699</v>
      </c>
      <c r="AO136" s="100">
        <f>AM136-AN136</f>
        <v>-1.4024389694000661E-7</v>
      </c>
      <c r="AP136" s="162">
        <f t="shared" ref="AP136:AP141" si="307">(100*AO136)/AN136</f>
        <v>-2.6202051452288425E-5</v>
      </c>
      <c r="AQ136" s="234">
        <v>1</v>
      </c>
      <c r="AR136" s="106">
        <v>1</v>
      </c>
      <c r="AS136" s="100">
        <f>AQ136-AR136</f>
        <v>0</v>
      </c>
      <c r="AT136" s="162">
        <f t="shared" ref="AT136:AT141" si="308">(100*AS136)/AR136</f>
        <v>0</v>
      </c>
    </row>
    <row r="137" spans="2:46" x14ac:dyDescent="0.25">
      <c r="B137" s="32">
        <v>852</v>
      </c>
      <c r="C137" s="161">
        <v>113591</v>
      </c>
      <c r="D137" s="104">
        <f t="shared" ref="D137:D141" si="309">B137/0.007500616</f>
        <v>113590.67041960287</v>
      </c>
      <c r="E137" s="99">
        <f t="shared" ref="E137:E141" si="310">C137-D137</f>
        <v>0.32958039712684695</v>
      </c>
      <c r="F137" s="315">
        <f t="shared" si="298"/>
        <v>2.9014741783755659E-4</v>
      </c>
      <c r="G137" s="161">
        <v>1.1583000000000001</v>
      </c>
      <c r="H137" s="104">
        <f t="shared" ref="H137:H141" si="311">D137*0.00001019716</f>
        <v>1.1583022407759576</v>
      </c>
      <c r="I137" s="99">
        <f t="shared" ref="I137:I141" si="312">G137-H137</f>
        <v>-2.2407759574516461E-6</v>
      </c>
      <c r="J137" s="315">
        <f t="shared" si="299"/>
        <v>-1.934534768706421E-4</v>
      </c>
      <c r="K137" s="161">
        <v>1.1210500000000001</v>
      </c>
      <c r="L137" s="104">
        <f t="shared" ref="L137:L141" si="313">D137*0.000009869233</f>
        <v>1.1210527929972687</v>
      </c>
      <c r="M137" s="99">
        <f t="shared" ref="M137:M141" si="314">K137-L137</f>
        <v>-2.7929972685747373E-6</v>
      </c>
      <c r="N137" s="315">
        <f t="shared" si="300"/>
        <v>-2.4914056554886459E-4</v>
      </c>
      <c r="O137" s="161">
        <v>1.13591</v>
      </c>
      <c r="P137" s="104">
        <f t="shared" ref="P137:P141" si="315">D137/100000</f>
        <v>1.1359067041960287</v>
      </c>
      <c r="Q137" s="99">
        <f t="shared" ref="Q137:Q141" si="316">O137-P137</f>
        <v>3.295803971292699E-6</v>
      </c>
      <c r="R137" s="315">
        <f t="shared" si="301"/>
        <v>2.9014741783968965E-4</v>
      </c>
      <c r="S137" s="161">
        <v>113.59099999999999</v>
      </c>
      <c r="T137" s="104">
        <f t="shared" ref="T137:T141" si="317">D137/1000</f>
        <v>113.59067041960287</v>
      </c>
      <c r="U137" s="99">
        <f t="shared" ref="U137:U141" si="318">S137-T137</f>
        <v>3.2958039712127629E-4</v>
      </c>
      <c r="V137" s="315">
        <f t="shared" si="302"/>
        <v>2.9014741783265247E-4</v>
      </c>
      <c r="W137" s="161">
        <v>11583</v>
      </c>
      <c r="X137" s="104">
        <f t="shared" ref="X137:X141" si="319">D137/9.80665</f>
        <v>11583.024826990142</v>
      </c>
      <c r="Y137" s="99">
        <f t="shared" ref="Y137:Y141" si="320">W137-X137</f>
        <v>-2.4826990142173599E-2</v>
      </c>
      <c r="Z137" s="315">
        <f t="shared" si="303"/>
        <v>-2.1433943648573628E-4</v>
      </c>
      <c r="AA137" s="161">
        <v>0.113591</v>
      </c>
      <c r="AB137" s="104">
        <f t="shared" ref="AB137:AB141" si="321">D137/1000000</f>
        <v>0.11359067041960287</v>
      </c>
      <c r="AC137" s="99">
        <f t="shared" ref="AC137:AC141" si="322">AA137-AB137</f>
        <v>3.2958039712649434E-7</v>
      </c>
      <c r="AD137" s="315">
        <f t="shared" si="304"/>
        <v>2.9014741783724618E-4</v>
      </c>
      <c r="AE137" s="161">
        <v>16.474900000000002</v>
      </c>
      <c r="AF137" s="104">
        <f t="shared" ref="AF137:AF141" si="323">D137*0.0001450377</f>
        <v>16.474929579117237</v>
      </c>
      <c r="AG137" s="99">
        <f t="shared" ref="AG137:AG141" si="324">AE137-AF137</f>
        <v>-2.9579117235556396E-5</v>
      </c>
      <c r="AH137" s="153">
        <f t="shared" si="305"/>
        <v>-1.7954017401718879E-4</v>
      </c>
      <c r="AI137" s="161">
        <v>1135.9100000000001</v>
      </c>
      <c r="AJ137" s="104">
        <v>1135.90670419602</v>
      </c>
      <c r="AK137" s="99">
        <f t="shared" ref="AK137:AK141" si="325">AI137-AJ137</f>
        <v>3.295803980108758E-3</v>
      </c>
      <c r="AL137" s="153">
        <f t="shared" si="306"/>
        <v>2.9014741861581718E-4</v>
      </c>
      <c r="AM137" s="161">
        <v>456.02499999999998</v>
      </c>
      <c r="AN137" s="104">
        <v>456.02459958780003</v>
      </c>
      <c r="AO137" s="99">
        <f t="shared" ref="AO137:AO141" si="326">AM137-AN137</f>
        <v>4.0041219995146093E-4</v>
      </c>
      <c r="AP137" s="153">
        <f t="shared" si="307"/>
        <v>8.7804956204861088E-5</v>
      </c>
      <c r="AQ137" s="161">
        <v>852</v>
      </c>
      <c r="AR137" s="104">
        <v>852</v>
      </c>
      <c r="AS137" s="99">
        <f t="shared" ref="AS137:AS141" si="327">AQ137-AR137</f>
        <v>0</v>
      </c>
      <c r="AT137" s="153">
        <f t="shared" si="308"/>
        <v>0</v>
      </c>
    </row>
    <row r="138" spans="2:46" x14ac:dyDescent="0.25">
      <c r="B138" s="32">
        <v>4123</v>
      </c>
      <c r="C138" s="161">
        <v>549688</v>
      </c>
      <c r="D138" s="104">
        <f t="shared" si="309"/>
        <v>549688.18561035523</v>
      </c>
      <c r="E138" s="99">
        <f t="shared" si="310"/>
        <v>-0.18561035522725433</v>
      </c>
      <c r="F138" s="315">
        <f t="shared" si="298"/>
        <v>-3.3766480722367873E-5</v>
      </c>
      <c r="G138" s="161">
        <v>5.6052600000000004</v>
      </c>
      <c r="H138" s="104">
        <f t="shared" si="311"/>
        <v>5.6052583787784904</v>
      </c>
      <c r="I138" s="99">
        <f t="shared" si="312"/>
        <v>1.6212215099287164E-6</v>
      </c>
      <c r="J138" s="315">
        <f t="shared" si="299"/>
        <v>2.8923225306912905E-5</v>
      </c>
      <c r="K138" s="161">
        <v>5.4249999999999998</v>
      </c>
      <c r="L138" s="104">
        <f t="shared" si="313"/>
        <v>5.4250007811358429</v>
      </c>
      <c r="M138" s="99">
        <f t="shared" si="314"/>
        <v>-7.8113584311978457E-7</v>
      </c>
      <c r="N138" s="315">
        <f t="shared" si="300"/>
        <v>-1.4398815311437368E-5</v>
      </c>
      <c r="O138" s="161">
        <v>5.49688</v>
      </c>
      <c r="P138" s="104">
        <f t="shared" si="315"/>
        <v>5.4968818561035526</v>
      </c>
      <c r="Q138" s="99">
        <f t="shared" si="316"/>
        <v>-1.8561035526332148E-6</v>
      </c>
      <c r="R138" s="315">
        <f t="shared" si="301"/>
        <v>-3.3766480728929254E-5</v>
      </c>
      <c r="S138" s="161">
        <v>549.68799999999999</v>
      </c>
      <c r="T138" s="104">
        <f t="shared" si="317"/>
        <v>549.68818561035528</v>
      </c>
      <c r="U138" s="99">
        <f t="shared" si="318"/>
        <v>-1.8561035528819048E-4</v>
      </c>
      <c r="V138" s="315">
        <f t="shared" si="302"/>
        <v>-3.3766480733453454E-5</v>
      </c>
      <c r="W138" s="161">
        <v>56052.6</v>
      </c>
      <c r="X138" s="104">
        <f t="shared" si="319"/>
        <v>56052.595494929999</v>
      </c>
      <c r="Y138" s="99">
        <f t="shared" si="320"/>
        <v>4.5050699991406873E-3</v>
      </c>
      <c r="Z138" s="315">
        <f t="shared" si="303"/>
        <v>8.0372192569533638E-6</v>
      </c>
      <c r="AA138" s="161">
        <v>0.54968799999999995</v>
      </c>
      <c r="AB138" s="104">
        <f t="shared" si="321"/>
        <v>0.54968818561035526</v>
      </c>
      <c r="AC138" s="99">
        <f t="shared" si="322"/>
        <v>-1.856103553077304E-7</v>
      </c>
      <c r="AD138" s="315">
        <f t="shared" si="304"/>
        <v>-3.3766480737008187E-5</v>
      </c>
      <c r="AE138" s="161">
        <v>79.725499999999997</v>
      </c>
      <c r="AF138" s="104">
        <f t="shared" si="323"/>
        <v>79.725510158099027</v>
      </c>
      <c r="AG138" s="99">
        <f t="shared" si="324"/>
        <v>-1.0158099030377343E-5</v>
      </c>
      <c r="AH138" s="153">
        <f t="shared" si="305"/>
        <v>-1.2741340896073801E-5</v>
      </c>
      <c r="AI138" s="161">
        <v>5496.88</v>
      </c>
      <c r="AJ138" s="104">
        <v>5496.8818561035496</v>
      </c>
      <c r="AK138" s="99">
        <f t="shared" si="325"/>
        <v>-1.8561035494712996E-3</v>
      </c>
      <c r="AL138" s="153">
        <f t="shared" si="306"/>
        <v>-3.3766480671407294E-5</v>
      </c>
      <c r="AM138" s="161">
        <v>2206.8000000000002</v>
      </c>
      <c r="AN138" s="104">
        <v>2206.7950982255902</v>
      </c>
      <c r="AO138" s="99">
        <f t="shared" si="326"/>
        <v>4.9017744099728588E-3</v>
      </c>
      <c r="AP138" s="153">
        <f t="shared" si="307"/>
        <v>2.2212186414199538E-4</v>
      </c>
      <c r="AQ138" s="161">
        <v>4123</v>
      </c>
      <c r="AR138" s="104">
        <v>4123</v>
      </c>
      <c r="AS138" s="99">
        <f t="shared" si="327"/>
        <v>0</v>
      </c>
      <c r="AT138" s="153">
        <f t="shared" si="308"/>
        <v>0</v>
      </c>
    </row>
    <row r="139" spans="2:46" x14ac:dyDescent="0.25">
      <c r="B139" s="32">
        <v>774411225588</v>
      </c>
      <c r="C139" s="161">
        <v>103246350111511</v>
      </c>
      <c r="D139" s="104">
        <f t="shared" si="309"/>
        <v>103246350111510.84</v>
      </c>
      <c r="E139" s="99">
        <f t="shared" si="310"/>
        <v>0.15625</v>
      </c>
      <c r="F139" s="315">
        <f t="shared" si="298"/>
        <v>1.5133706889516458E-13</v>
      </c>
      <c r="G139" s="161">
        <v>1052819552</v>
      </c>
      <c r="H139" s="104">
        <f t="shared" si="311"/>
        <v>1052819551.503094</v>
      </c>
      <c r="I139" s="99">
        <f t="shared" si="312"/>
        <v>0.49690604209899902</v>
      </c>
      <c r="J139" s="315">
        <f t="shared" si="299"/>
        <v>4.7197645730417342E-8</v>
      </c>
      <c r="K139" s="161">
        <v>1018962286</v>
      </c>
      <c r="L139" s="104">
        <f t="shared" si="313"/>
        <v>1018962285.6500765</v>
      </c>
      <c r="M139" s="99">
        <f t="shared" si="314"/>
        <v>0.34992349147796631</v>
      </c>
      <c r="N139" s="315">
        <f t="shared" si="300"/>
        <v>3.4341162220221183E-8</v>
      </c>
      <c r="O139" s="161">
        <v>1032463501</v>
      </c>
      <c r="P139" s="104">
        <f t="shared" si="315"/>
        <v>1032463501.1151085</v>
      </c>
      <c r="Q139" s="99">
        <f t="shared" si="316"/>
        <v>-0.11510848999023438</v>
      </c>
      <c r="R139" s="315">
        <f t="shared" si="301"/>
        <v>-1.1148916147245095E-8</v>
      </c>
      <c r="S139" s="161">
        <v>103246350112</v>
      </c>
      <c r="T139" s="104">
        <f t="shared" si="317"/>
        <v>103246350111.51085</v>
      </c>
      <c r="U139" s="99">
        <f t="shared" si="318"/>
        <v>0.4891510009765625</v>
      </c>
      <c r="V139" s="315">
        <f t="shared" si="302"/>
        <v>4.7377074390354399E-10</v>
      </c>
      <c r="W139" s="161">
        <v>10528197713950</v>
      </c>
      <c r="X139" s="104">
        <f t="shared" si="319"/>
        <v>10528197713950.314</v>
      </c>
      <c r="Y139" s="99">
        <f t="shared" si="320"/>
        <v>-0.314453125</v>
      </c>
      <c r="Z139" s="315">
        <f t="shared" si="303"/>
        <v>-2.986770704195041E-12</v>
      </c>
      <c r="AA139" s="161">
        <v>103246350</v>
      </c>
      <c r="AB139" s="104">
        <f t="shared" si="321"/>
        <v>103246350.11151084</v>
      </c>
      <c r="AC139" s="99">
        <f t="shared" si="322"/>
        <v>-0.11151084303855896</v>
      </c>
      <c r="AD139" s="315">
        <f t="shared" si="304"/>
        <v>-1.080046344670994E-7</v>
      </c>
      <c r="AE139" s="161">
        <v>14974613154</v>
      </c>
      <c r="AF139" s="104">
        <f t="shared" si="323"/>
        <v>14974613153.568277</v>
      </c>
      <c r="AG139" s="99">
        <f t="shared" si="324"/>
        <v>0.43172264099121094</v>
      </c>
      <c r="AH139" s="153">
        <f t="shared" si="305"/>
        <v>2.8830303431800934E-9</v>
      </c>
      <c r="AI139" s="161">
        <v>1032463501115</v>
      </c>
      <c r="AJ139" s="104">
        <v>1032463501115.1</v>
      </c>
      <c r="AK139" s="99">
        <f t="shared" si="325"/>
        <v>-9.99755859375E-2</v>
      </c>
      <c r="AL139" s="153">
        <f t="shared" si="306"/>
        <v>-9.6832077675891259E-12</v>
      </c>
      <c r="AM139" s="161">
        <v>414495972990</v>
      </c>
      <c r="AN139" s="104">
        <v>414495972990.16901</v>
      </c>
      <c r="AO139" s="99">
        <f t="shared" si="326"/>
        <v>-0.16900634765625</v>
      </c>
      <c r="AP139" s="153">
        <f t="shared" si="307"/>
        <v>-4.0773942008903061E-11</v>
      </c>
      <c r="AQ139" s="161">
        <v>774411225588</v>
      </c>
      <c r="AR139" s="104">
        <v>774411225588</v>
      </c>
      <c r="AS139" s="99">
        <f t="shared" si="327"/>
        <v>0</v>
      </c>
      <c r="AT139" s="153">
        <f t="shared" si="308"/>
        <v>0</v>
      </c>
    </row>
    <row r="140" spans="2:46" x14ac:dyDescent="0.25">
      <c r="B140" s="105">
        <v>0.98699999999999999</v>
      </c>
      <c r="C140" s="159">
        <v>131.589</v>
      </c>
      <c r="D140" s="104">
        <f t="shared" si="309"/>
        <v>131.58919214101883</v>
      </c>
      <c r="E140" s="99">
        <f t="shared" si="310"/>
        <v>-1.9214101882880641E-4</v>
      </c>
      <c r="F140" s="315">
        <f t="shared" si="298"/>
        <v>-1.4601580547959943E-4</v>
      </c>
      <c r="G140" s="161">
        <v>1.34184E-3</v>
      </c>
      <c r="H140" s="104">
        <f t="shared" si="311"/>
        <v>1.3418360465327116E-3</v>
      </c>
      <c r="I140" s="99">
        <f t="shared" si="312"/>
        <v>3.9534672883513589E-9</v>
      </c>
      <c r="J140" s="315">
        <f t="shared" si="299"/>
        <v>2.9463117335139948E-4</v>
      </c>
      <c r="K140" s="161">
        <v>1.29868E-3</v>
      </c>
      <c r="L140" s="104">
        <f t="shared" si="313"/>
        <v>1.2986843975214836E-3</v>
      </c>
      <c r="M140" s="99">
        <f t="shared" si="314"/>
        <v>-4.3975214836754206E-9</v>
      </c>
      <c r="N140" s="315">
        <f t="shared" si="300"/>
        <v>-3.386135609288918E-4</v>
      </c>
      <c r="O140" s="161">
        <v>1.3158899999999999E-3</v>
      </c>
      <c r="P140" s="104">
        <f t="shared" si="315"/>
        <v>1.3158919214101882E-3</v>
      </c>
      <c r="Q140" s="99">
        <f t="shared" si="316"/>
        <v>-1.9214101882897988E-9</v>
      </c>
      <c r="R140" s="315">
        <f t="shared" si="301"/>
        <v>-1.4601580547973127E-4</v>
      </c>
      <c r="S140" s="161">
        <v>0.13158900000000001</v>
      </c>
      <c r="T140" s="104">
        <f t="shared" si="317"/>
        <v>0.13158919214101883</v>
      </c>
      <c r="U140" s="99">
        <f t="shared" si="318"/>
        <v>-1.9214101881770418E-7</v>
      </c>
      <c r="V140" s="315">
        <f t="shared" si="302"/>
        <v>-1.4601580547116241E-4</v>
      </c>
      <c r="W140" s="161">
        <v>13.4184</v>
      </c>
      <c r="X140" s="104">
        <f t="shared" si="319"/>
        <v>13.418363267886468</v>
      </c>
      <c r="Y140" s="99">
        <f t="shared" si="320"/>
        <v>3.6732113532167432E-5</v>
      </c>
      <c r="Z140" s="315">
        <f t="shared" si="303"/>
        <v>2.7374511182057991E-4</v>
      </c>
      <c r="AA140" s="161">
        <v>1.3158899999999999E-4</v>
      </c>
      <c r="AB140" s="104">
        <f t="shared" si="321"/>
        <v>1.3158919214101882E-4</v>
      </c>
      <c r="AC140" s="99">
        <f t="shared" si="322"/>
        <v>-1.9214101883440089E-10</v>
      </c>
      <c r="AD140" s="315">
        <f t="shared" si="304"/>
        <v>-1.4601580548385091E-4</v>
      </c>
      <c r="AE140" s="161">
        <v>1.9085399999999999E-2</v>
      </c>
      <c r="AF140" s="104">
        <f t="shared" si="323"/>
        <v>1.9085393772991448E-2</v>
      </c>
      <c r="AG140" s="99">
        <f t="shared" si="324"/>
        <v>6.2270085511573203E-9</v>
      </c>
      <c r="AH140" s="153">
        <f t="shared" si="305"/>
        <v>3.2627089727482725E-5</v>
      </c>
      <c r="AI140" s="161">
        <v>1.31589</v>
      </c>
      <c r="AJ140" s="104">
        <v>1.3158919214101801</v>
      </c>
      <c r="AK140" s="99">
        <f t="shared" si="325"/>
        <v>-1.9214101800724137E-6</v>
      </c>
      <c r="AL140" s="153">
        <f t="shared" si="306"/>
        <v>-1.4601580485525952E-4</v>
      </c>
      <c r="AM140" s="161">
        <v>0.52828200000000003</v>
      </c>
      <c r="AN140" s="104">
        <v>0.52828201842072697</v>
      </c>
      <c r="AO140" s="99">
        <f t="shared" si="326"/>
        <v>-1.8420726943801924E-8</v>
      </c>
      <c r="AP140" s="153">
        <f t="shared" si="307"/>
        <v>-3.486911592953661E-6</v>
      </c>
      <c r="AQ140" s="161">
        <v>0.98699999999999999</v>
      </c>
      <c r="AR140" s="104">
        <v>0.98699999999999999</v>
      </c>
      <c r="AS140" s="99">
        <f t="shared" si="327"/>
        <v>0</v>
      </c>
      <c r="AT140" s="153">
        <f t="shared" si="308"/>
        <v>0</v>
      </c>
    </row>
    <row r="141" spans="2:46" ht="15.75" thickBot="1" x14ac:dyDescent="0.3">
      <c r="B141" s="34">
        <v>-852</v>
      </c>
      <c r="C141" s="235">
        <v>-113591</v>
      </c>
      <c r="D141" s="160">
        <f t="shared" si="309"/>
        <v>-113590.67041960287</v>
      </c>
      <c r="E141" s="101">
        <f t="shared" si="310"/>
        <v>-0.32958039712684695</v>
      </c>
      <c r="F141" s="319">
        <f t="shared" si="298"/>
        <v>2.9014741783755659E-4</v>
      </c>
      <c r="G141" s="235">
        <v>-1.1583000000000001</v>
      </c>
      <c r="H141" s="160">
        <f t="shared" si="311"/>
        <v>-1.1583022407759576</v>
      </c>
      <c r="I141" s="101">
        <f t="shared" si="312"/>
        <v>2.2407759574516461E-6</v>
      </c>
      <c r="J141" s="319">
        <f t="shared" si="299"/>
        <v>-1.934534768706421E-4</v>
      </c>
      <c r="K141" s="235">
        <v>-1.1210500000000001</v>
      </c>
      <c r="L141" s="160">
        <f t="shared" si="313"/>
        <v>-1.1210527929972687</v>
      </c>
      <c r="M141" s="101">
        <f t="shared" si="314"/>
        <v>2.7929972685747373E-6</v>
      </c>
      <c r="N141" s="319">
        <f t="shared" si="300"/>
        <v>-2.4914056554886459E-4</v>
      </c>
      <c r="O141" s="235">
        <v>-1.13591</v>
      </c>
      <c r="P141" s="160">
        <f t="shared" si="315"/>
        <v>-1.1359067041960287</v>
      </c>
      <c r="Q141" s="101">
        <f t="shared" si="316"/>
        <v>-3.295803971292699E-6</v>
      </c>
      <c r="R141" s="319">
        <f t="shared" si="301"/>
        <v>2.9014741783968965E-4</v>
      </c>
      <c r="S141" s="235">
        <v>-113.59099999999999</v>
      </c>
      <c r="T141" s="160">
        <f t="shared" si="317"/>
        <v>-113.59067041960287</v>
      </c>
      <c r="U141" s="101">
        <f t="shared" si="318"/>
        <v>-3.2958039712127629E-4</v>
      </c>
      <c r="V141" s="319">
        <f t="shared" si="302"/>
        <v>2.9014741783265247E-4</v>
      </c>
      <c r="W141" s="235">
        <v>-11583</v>
      </c>
      <c r="X141" s="160">
        <f t="shared" si="319"/>
        <v>-11583.024826990142</v>
      </c>
      <c r="Y141" s="101">
        <f t="shared" si="320"/>
        <v>2.4826990142173599E-2</v>
      </c>
      <c r="Z141" s="319">
        <f t="shared" si="303"/>
        <v>-2.1433943648573628E-4</v>
      </c>
      <c r="AA141" s="235">
        <v>-0.113591</v>
      </c>
      <c r="AB141" s="160">
        <f t="shared" si="321"/>
        <v>-0.11359067041960287</v>
      </c>
      <c r="AC141" s="101">
        <f t="shared" si="322"/>
        <v>-3.2958039712649434E-7</v>
      </c>
      <c r="AD141" s="319">
        <f t="shared" si="304"/>
        <v>2.9014741783724618E-4</v>
      </c>
      <c r="AE141" s="235">
        <v>-16.474900000000002</v>
      </c>
      <c r="AF141" s="160">
        <f t="shared" si="323"/>
        <v>-16.474929579117237</v>
      </c>
      <c r="AG141" s="101">
        <f t="shared" si="324"/>
        <v>2.9579117235556396E-5</v>
      </c>
      <c r="AH141" s="163">
        <f t="shared" si="305"/>
        <v>-1.7954017401718879E-4</v>
      </c>
      <c r="AI141" s="235">
        <v>-1135.9100000000001</v>
      </c>
      <c r="AJ141" s="160">
        <v>-1135.90670419602</v>
      </c>
      <c r="AK141" s="101">
        <f t="shared" si="325"/>
        <v>-3.295803980108758E-3</v>
      </c>
      <c r="AL141" s="163">
        <f t="shared" si="306"/>
        <v>2.9014741861581718E-4</v>
      </c>
      <c r="AM141" s="235">
        <v>-456.02499999999998</v>
      </c>
      <c r="AN141" s="160">
        <v>-456.0245994878</v>
      </c>
      <c r="AO141" s="101">
        <f t="shared" si="326"/>
        <v>-4.0051219997394583E-4</v>
      </c>
      <c r="AP141" s="163">
        <f t="shared" si="307"/>
        <v>8.7826884870639688E-5</v>
      </c>
      <c r="AQ141" s="235">
        <v>-852</v>
      </c>
      <c r="AR141" s="160">
        <v>-852</v>
      </c>
      <c r="AS141" s="101">
        <f t="shared" si="327"/>
        <v>0</v>
      </c>
      <c r="AT141" s="163">
        <f t="shared" si="308"/>
        <v>0</v>
      </c>
    </row>
  </sheetData>
  <mergeCells count="421">
    <mergeCell ref="AS121:AS124"/>
    <mergeCell ref="AT121:AT124"/>
    <mergeCell ref="AQ123:AQ124"/>
    <mergeCell ref="AS99:AS102"/>
    <mergeCell ref="AT99:AT102"/>
    <mergeCell ref="AQ101:AQ102"/>
    <mergeCell ref="AS132:AS135"/>
    <mergeCell ref="AT132:AT135"/>
    <mergeCell ref="AQ134:AQ135"/>
    <mergeCell ref="AS77:AS80"/>
    <mergeCell ref="AT77:AT80"/>
    <mergeCell ref="AQ79:AQ80"/>
    <mergeCell ref="AS88:AS91"/>
    <mergeCell ref="AT88:AT91"/>
    <mergeCell ref="AQ90:AQ91"/>
    <mergeCell ref="AS110:AS113"/>
    <mergeCell ref="AT110:AT113"/>
    <mergeCell ref="AQ112:AQ113"/>
    <mergeCell ref="AS44:AS47"/>
    <mergeCell ref="AT44:AT47"/>
    <mergeCell ref="AQ46:AQ47"/>
    <mergeCell ref="AS55:AS58"/>
    <mergeCell ref="AT55:AT58"/>
    <mergeCell ref="AQ57:AQ58"/>
    <mergeCell ref="AS66:AS69"/>
    <mergeCell ref="AT66:AT69"/>
    <mergeCell ref="AQ68:AQ69"/>
    <mergeCell ref="AS4:AS7"/>
    <mergeCell ref="AT4:AT7"/>
    <mergeCell ref="AQ6:AQ7"/>
    <mergeCell ref="AS19:AS22"/>
    <mergeCell ref="AT19:AT22"/>
    <mergeCell ref="AQ21:AQ22"/>
    <mergeCell ref="AS33:AS36"/>
    <mergeCell ref="AT33:AT36"/>
    <mergeCell ref="AQ35:AQ36"/>
    <mergeCell ref="AO132:AO135"/>
    <mergeCell ref="AP132:AP135"/>
    <mergeCell ref="B134:B135"/>
    <mergeCell ref="C134:C135"/>
    <mergeCell ref="G134:G135"/>
    <mergeCell ref="K134:K135"/>
    <mergeCell ref="O134:O135"/>
    <mergeCell ref="S134:S135"/>
    <mergeCell ref="W134:W135"/>
    <mergeCell ref="AA134:AA135"/>
    <mergeCell ref="AE134:AE135"/>
    <mergeCell ref="AI134:AI135"/>
    <mergeCell ref="AM134:AM135"/>
    <mergeCell ref="U132:U135"/>
    <mergeCell ref="V132:V135"/>
    <mergeCell ref="Y132:Y135"/>
    <mergeCell ref="Z132:Z135"/>
    <mergeCell ref="AC132:AC135"/>
    <mergeCell ref="AD132:AD135"/>
    <mergeCell ref="AG132:AG135"/>
    <mergeCell ref="AH132:AH135"/>
    <mergeCell ref="AK132:AK135"/>
    <mergeCell ref="B132:B133"/>
    <mergeCell ref="E132:E135"/>
    <mergeCell ref="F132:F135"/>
    <mergeCell ref="I132:I135"/>
    <mergeCell ref="J132:J135"/>
    <mergeCell ref="M132:M135"/>
    <mergeCell ref="N132:N135"/>
    <mergeCell ref="Q132:Q135"/>
    <mergeCell ref="R132:R135"/>
    <mergeCell ref="AL121:AL124"/>
    <mergeCell ref="F121:F124"/>
    <mergeCell ref="I121:I124"/>
    <mergeCell ref="J121:J124"/>
    <mergeCell ref="M121:M124"/>
    <mergeCell ref="N121:N124"/>
    <mergeCell ref="Q121:Q124"/>
    <mergeCell ref="R121:R124"/>
    <mergeCell ref="AL132:AL135"/>
    <mergeCell ref="AO121:AO124"/>
    <mergeCell ref="AP121:AP124"/>
    <mergeCell ref="B123:B124"/>
    <mergeCell ref="C123:C124"/>
    <mergeCell ref="G123:G124"/>
    <mergeCell ref="K123:K124"/>
    <mergeCell ref="O123:O124"/>
    <mergeCell ref="S123:S124"/>
    <mergeCell ref="W123:W124"/>
    <mergeCell ref="AA123:AA124"/>
    <mergeCell ref="AE123:AE124"/>
    <mergeCell ref="AI123:AI124"/>
    <mergeCell ref="AM123:AM124"/>
    <mergeCell ref="U121:U124"/>
    <mergeCell ref="V121:V124"/>
    <mergeCell ref="Y121:Y124"/>
    <mergeCell ref="Z121:Z124"/>
    <mergeCell ref="AC121:AC124"/>
    <mergeCell ref="AD121:AD124"/>
    <mergeCell ref="AG121:AG124"/>
    <mergeCell ref="AH121:AH124"/>
    <mergeCell ref="AK121:AK124"/>
    <mergeCell ref="B121:B122"/>
    <mergeCell ref="E121:E124"/>
    <mergeCell ref="W101:W102"/>
    <mergeCell ref="O101:O102"/>
    <mergeCell ref="Y99:Y102"/>
    <mergeCell ref="Q88:Q91"/>
    <mergeCell ref="AG99:AG102"/>
    <mergeCell ref="Z99:Z102"/>
    <mergeCell ref="AA101:AA102"/>
    <mergeCell ref="AC99:AC102"/>
    <mergeCell ref="W90:W91"/>
    <mergeCell ref="Y88:Y91"/>
    <mergeCell ref="Q99:Q102"/>
    <mergeCell ref="E110:E113"/>
    <mergeCell ref="F110:F113"/>
    <mergeCell ref="I110:I113"/>
    <mergeCell ref="J110:J113"/>
    <mergeCell ref="M110:M113"/>
    <mergeCell ref="N110:N113"/>
    <mergeCell ref="Q110:Q113"/>
    <mergeCell ref="R110:R113"/>
    <mergeCell ref="AP88:AP91"/>
    <mergeCell ref="AM90:AM91"/>
    <mergeCell ref="AO99:AO102"/>
    <mergeCell ref="AP99:AP102"/>
    <mergeCell ref="AM101:AM102"/>
    <mergeCell ref="AO110:AO113"/>
    <mergeCell ref="AP110:AP113"/>
    <mergeCell ref="AM112:AM113"/>
    <mergeCell ref="AO55:AO58"/>
    <mergeCell ref="AP55:AP58"/>
    <mergeCell ref="AM57:AM58"/>
    <mergeCell ref="AO66:AO69"/>
    <mergeCell ref="AP66:AP69"/>
    <mergeCell ref="AM68:AM69"/>
    <mergeCell ref="AO77:AO80"/>
    <mergeCell ref="AP77:AP80"/>
    <mergeCell ref="AM79:AM80"/>
    <mergeCell ref="AO88:AO91"/>
    <mergeCell ref="AO19:AO22"/>
    <mergeCell ref="AP19:AP22"/>
    <mergeCell ref="AM21:AM22"/>
    <mergeCell ref="AO33:AO36"/>
    <mergeCell ref="AP33:AP36"/>
    <mergeCell ref="AM35:AM36"/>
    <mergeCell ref="AO44:AO47"/>
    <mergeCell ref="AP44:AP47"/>
    <mergeCell ref="AM46:AM47"/>
    <mergeCell ref="AH4:AH7"/>
    <mergeCell ref="AH19:AH22"/>
    <mergeCell ref="AH33:AH36"/>
    <mergeCell ref="AH44:AH47"/>
    <mergeCell ref="AH55:AH58"/>
    <mergeCell ref="AH66:AH69"/>
    <mergeCell ref="AH77:AH80"/>
    <mergeCell ref="AH88:AH91"/>
    <mergeCell ref="AH99:AH102"/>
    <mergeCell ref="AD4:AD7"/>
    <mergeCell ref="AD19:AD22"/>
    <mergeCell ref="AD33:AD36"/>
    <mergeCell ref="AD44:AD47"/>
    <mergeCell ref="AD55:AD58"/>
    <mergeCell ref="AD66:AD69"/>
    <mergeCell ref="AD77:AD80"/>
    <mergeCell ref="AD88:AD91"/>
    <mergeCell ref="AD99:AD102"/>
    <mergeCell ref="R77:R80"/>
    <mergeCell ref="R88:R91"/>
    <mergeCell ref="R99:R102"/>
    <mergeCell ref="V4:V7"/>
    <mergeCell ref="V19:V22"/>
    <mergeCell ref="V33:V36"/>
    <mergeCell ref="V44:V47"/>
    <mergeCell ref="V55:V58"/>
    <mergeCell ref="V66:V69"/>
    <mergeCell ref="V77:V80"/>
    <mergeCell ref="V88:V91"/>
    <mergeCell ref="V99:V102"/>
    <mergeCell ref="U99:U102"/>
    <mergeCell ref="S90:S91"/>
    <mergeCell ref="S101:S102"/>
    <mergeCell ref="S57:S58"/>
    <mergeCell ref="U88:U91"/>
    <mergeCell ref="B1:K1"/>
    <mergeCell ref="B4:B5"/>
    <mergeCell ref="B19:B20"/>
    <mergeCell ref="B33:B34"/>
    <mergeCell ref="B44:B45"/>
    <mergeCell ref="E4:E7"/>
    <mergeCell ref="I4:I7"/>
    <mergeCell ref="E33:E36"/>
    <mergeCell ref="I33:I36"/>
    <mergeCell ref="F4:F7"/>
    <mergeCell ref="F19:F22"/>
    <mergeCell ref="F33:F36"/>
    <mergeCell ref="F44:F47"/>
    <mergeCell ref="J4:J7"/>
    <mergeCell ref="J19:J22"/>
    <mergeCell ref="J33:J36"/>
    <mergeCell ref="J44:J47"/>
    <mergeCell ref="B21:B22"/>
    <mergeCell ref="B35:B36"/>
    <mergeCell ref="B46:B47"/>
    <mergeCell ref="B6:B7"/>
    <mergeCell ref="C6:C7"/>
    <mergeCell ref="AG4:AG7"/>
    <mergeCell ref="E19:E22"/>
    <mergeCell ref="I19:I22"/>
    <mergeCell ref="M19:M22"/>
    <mergeCell ref="Q19:Q22"/>
    <mergeCell ref="U19:U22"/>
    <mergeCell ref="Y19:Y22"/>
    <mergeCell ref="AC19:AC22"/>
    <mergeCell ref="AG19:AG22"/>
    <mergeCell ref="G21:G22"/>
    <mergeCell ref="K21:K22"/>
    <mergeCell ref="M4:M7"/>
    <mergeCell ref="Q4:Q7"/>
    <mergeCell ref="U4:U7"/>
    <mergeCell ref="Y4:Y7"/>
    <mergeCell ref="AC4:AC7"/>
    <mergeCell ref="N4:N7"/>
    <mergeCell ref="N19:N22"/>
    <mergeCell ref="R4:R7"/>
    <mergeCell ref="R19:R22"/>
    <mergeCell ref="Z4:Z7"/>
    <mergeCell ref="Z19:Z22"/>
    <mergeCell ref="G6:G7"/>
    <mergeCell ref="K6:K7"/>
    <mergeCell ref="AG33:AG36"/>
    <mergeCell ref="E44:E47"/>
    <mergeCell ref="I44:I47"/>
    <mergeCell ref="M44:M47"/>
    <mergeCell ref="Q44:Q47"/>
    <mergeCell ref="U44:U47"/>
    <mergeCell ref="Y44:Y47"/>
    <mergeCell ref="AC44:AC47"/>
    <mergeCell ref="AG44:AG47"/>
    <mergeCell ref="G35:G36"/>
    <mergeCell ref="G46:G47"/>
    <mergeCell ref="K46:K47"/>
    <mergeCell ref="K35:K36"/>
    <mergeCell ref="M33:M36"/>
    <mergeCell ref="Q33:Q36"/>
    <mergeCell ref="U33:U36"/>
    <mergeCell ref="Y33:Y36"/>
    <mergeCell ref="AC33:AC36"/>
    <mergeCell ref="N33:N36"/>
    <mergeCell ref="N44:N47"/>
    <mergeCell ref="R33:R36"/>
    <mergeCell ref="R44:R47"/>
    <mergeCell ref="Z33:Z36"/>
    <mergeCell ref="Z44:Z47"/>
    <mergeCell ref="Q66:Q69"/>
    <mergeCell ref="U66:U69"/>
    <mergeCell ref="Y66:Y69"/>
    <mergeCell ref="AC66:AC69"/>
    <mergeCell ref="AG66:AG69"/>
    <mergeCell ref="G57:G58"/>
    <mergeCell ref="G68:G69"/>
    <mergeCell ref="K57:K58"/>
    <mergeCell ref="K68:K69"/>
    <mergeCell ref="I55:I58"/>
    <mergeCell ref="M55:M58"/>
    <mergeCell ref="Q55:Q58"/>
    <mergeCell ref="U55:U58"/>
    <mergeCell ref="O57:O58"/>
    <mergeCell ref="J55:J58"/>
    <mergeCell ref="J66:J69"/>
    <mergeCell ref="N55:N58"/>
    <mergeCell ref="R55:R58"/>
    <mergeCell ref="R66:R69"/>
    <mergeCell ref="O6:O7"/>
    <mergeCell ref="S6:S7"/>
    <mergeCell ref="W6:W7"/>
    <mergeCell ref="AA6:AA7"/>
    <mergeCell ref="AE6:AE7"/>
    <mergeCell ref="Y55:Y58"/>
    <mergeCell ref="B55:B56"/>
    <mergeCell ref="B66:B67"/>
    <mergeCell ref="B77:B78"/>
    <mergeCell ref="Y77:Y80"/>
    <mergeCell ref="O21:O22"/>
    <mergeCell ref="O35:O36"/>
    <mergeCell ref="O46:O47"/>
    <mergeCell ref="B79:B80"/>
    <mergeCell ref="W21:W22"/>
    <mergeCell ref="W35:W36"/>
    <mergeCell ref="W46:W47"/>
    <mergeCell ref="W57:W58"/>
    <mergeCell ref="W68:W69"/>
    <mergeCell ref="S68:S69"/>
    <mergeCell ref="S79:S80"/>
    <mergeCell ref="S21:S22"/>
    <mergeCell ref="S35:S36"/>
    <mergeCell ref="S46:S47"/>
    <mergeCell ref="N66:N69"/>
    <mergeCell ref="O68:O69"/>
    <mergeCell ref="O79:O80"/>
    <mergeCell ref="O90:O91"/>
    <mergeCell ref="C57:C58"/>
    <mergeCell ref="E99:E102"/>
    <mergeCell ref="I99:I102"/>
    <mergeCell ref="M99:M102"/>
    <mergeCell ref="G101:G102"/>
    <mergeCell ref="K101:K102"/>
    <mergeCell ref="G79:G80"/>
    <mergeCell ref="G90:G91"/>
    <mergeCell ref="K79:K80"/>
    <mergeCell ref="C68:C69"/>
    <mergeCell ref="C79:C80"/>
    <mergeCell ref="C90:C91"/>
    <mergeCell ref="C101:C102"/>
    <mergeCell ref="N99:N102"/>
    <mergeCell ref="E66:E69"/>
    <mergeCell ref="I66:I69"/>
    <mergeCell ref="M66:M69"/>
    <mergeCell ref="E55:E58"/>
    <mergeCell ref="F55:F58"/>
    <mergeCell ref="F66:F69"/>
    <mergeCell ref="B90:B91"/>
    <mergeCell ref="B101:B102"/>
    <mergeCell ref="E88:E91"/>
    <mergeCell ref="I88:I91"/>
    <mergeCell ref="M88:M91"/>
    <mergeCell ref="C21:C22"/>
    <mergeCell ref="C35:C36"/>
    <mergeCell ref="C46:C47"/>
    <mergeCell ref="K90:K91"/>
    <mergeCell ref="E77:E80"/>
    <mergeCell ref="I77:I80"/>
    <mergeCell ref="M77:M80"/>
    <mergeCell ref="F77:F80"/>
    <mergeCell ref="B88:B89"/>
    <mergeCell ref="B99:B100"/>
    <mergeCell ref="F99:F102"/>
    <mergeCell ref="J99:J102"/>
    <mergeCell ref="B57:B58"/>
    <mergeCell ref="B68:B69"/>
    <mergeCell ref="AE21:AE22"/>
    <mergeCell ref="AE35:AE36"/>
    <mergeCell ref="AE46:AE47"/>
    <mergeCell ref="AE57:AE58"/>
    <mergeCell ref="AE68:AE69"/>
    <mergeCell ref="AE79:AE80"/>
    <mergeCell ref="AE90:AE91"/>
    <mergeCell ref="AA90:AA91"/>
    <mergeCell ref="AA21:AA22"/>
    <mergeCell ref="AA35:AA36"/>
    <mergeCell ref="AA46:AA47"/>
    <mergeCell ref="AA57:AA58"/>
    <mergeCell ref="AA68:AA69"/>
    <mergeCell ref="AA79:AA80"/>
    <mergeCell ref="AC88:AC91"/>
    <mergeCell ref="AC55:AC58"/>
    <mergeCell ref="AC77:AC80"/>
    <mergeCell ref="Z66:Z69"/>
    <mergeCell ref="Z77:Z80"/>
    <mergeCell ref="Z88:Z91"/>
    <mergeCell ref="AK99:AK102"/>
    <mergeCell ref="AL99:AL102"/>
    <mergeCell ref="AI101:AI102"/>
    <mergeCell ref="AK44:AK47"/>
    <mergeCell ref="AL44:AL47"/>
    <mergeCell ref="AI46:AI47"/>
    <mergeCell ref="AK55:AK58"/>
    <mergeCell ref="AL55:AL58"/>
    <mergeCell ref="AI57:AI58"/>
    <mergeCell ref="AK66:AK69"/>
    <mergeCell ref="AL66:AL69"/>
    <mergeCell ref="AI68:AI69"/>
    <mergeCell ref="AK77:AK80"/>
    <mergeCell ref="AG88:AG91"/>
    <mergeCell ref="AG55:AG58"/>
    <mergeCell ref="AE101:AE102"/>
    <mergeCell ref="Q77:Q80"/>
    <mergeCell ref="F88:F91"/>
    <mergeCell ref="J77:J80"/>
    <mergeCell ref="J88:J91"/>
    <mergeCell ref="N77:N80"/>
    <mergeCell ref="N88:N91"/>
    <mergeCell ref="AO4:AO7"/>
    <mergeCell ref="AL77:AL80"/>
    <mergeCell ref="AI79:AI80"/>
    <mergeCell ref="AK88:AK91"/>
    <mergeCell ref="AL88:AL91"/>
    <mergeCell ref="AI90:AI91"/>
    <mergeCell ref="AK4:AK7"/>
    <mergeCell ref="AL4:AL7"/>
    <mergeCell ref="AI6:AI7"/>
    <mergeCell ref="AK19:AK22"/>
    <mergeCell ref="AL19:AL22"/>
    <mergeCell ref="AI21:AI22"/>
    <mergeCell ref="AK33:AK36"/>
    <mergeCell ref="AL33:AL36"/>
    <mergeCell ref="AI35:AI36"/>
    <mergeCell ref="W79:W80"/>
    <mergeCell ref="U77:U80"/>
    <mergeCell ref="Z55:Z58"/>
    <mergeCell ref="AP4:AP7"/>
    <mergeCell ref="AM6:AM7"/>
    <mergeCell ref="AL110:AL113"/>
    <mergeCell ref="B112:B113"/>
    <mergeCell ref="C112:C113"/>
    <mergeCell ref="G112:G113"/>
    <mergeCell ref="K112:K113"/>
    <mergeCell ref="O112:O113"/>
    <mergeCell ref="S112:S113"/>
    <mergeCell ref="W112:W113"/>
    <mergeCell ref="AA112:AA113"/>
    <mergeCell ref="AE112:AE113"/>
    <mergeCell ref="AI112:AI113"/>
    <mergeCell ref="U110:U113"/>
    <mergeCell ref="V110:V113"/>
    <mergeCell ref="Y110:Y113"/>
    <mergeCell ref="Z110:Z113"/>
    <mergeCell ref="AC110:AC113"/>
    <mergeCell ref="AD110:AD113"/>
    <mergeCell ref="AG110:AG113"/>
    <mergeCell ref="AH110:AH113"/>
    <mergeCell ref="AK110:AK113"/>
    <mergeCell ref="B110:B111"/>
    <mergeCell ref="AG77:AG80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B75"/>
  <sheetViews>
    <sheetView workbookViewId="0">
      <pane xSplit="2" ySplit="1" topLeftCell="U2" activePane="bottomRight" state="frozen"/>
      <selection pane="topRight" activeCell="C1" sqref="C1"/>
      <selection pane="bottomLeft" activeCell="A2" sqref="A2"/>
      <selection pane="bottomRight" activeCell="U1" sqref="U1"/>
    </sheetView>
  </sheetViews>
  <sheetFormatPr defaultRowHeight="15" x14ac:dyDescent="0.25"/>
  <cols>
    <col min="1" max="1" width="3.85546875" customWidth="1"/>
    <col min="2" max="2" width="21.85546875" customWidth="1"/>
    <col min="3" max="3" width="41.85546875" customWidth="1"/>
    <col min="4" max="4" width="32" customWidth="1"/>
    <col min="5" max="5" width="42.7109375" customWidth="1"/>
    <col min="6" max="6" width="23.85546875" bestFit="1" customWidth="1"/>
    <col min="7" max="7" width="44.7109375" customWidth="1"/>
    <col min="8" max="8" width="38.85546875" customWidth="1"/>
    <col min="9" max="9" width="33" customWidth="1"/>
    <col min="10" max="10" width="23.85546875" bestFit="1" customWidth="1"/>
    <col min="11" max="11" width="30.85546875" customWidth="1"/>
    <col min="12" max="12" width="36.5703125" customWidth="1"/>
    <col min="13" max="13" width="36.85546875" customWidth="1"/>
    <col min="14" max="14" width="23.85546875" bestFit="1" customWidth="1"/>
    <col min="15" max="15" width="37.5703125" customWidth="1"/>
    <col min="16" max="16" width="51.28515625" customWidth="1"/>
    <col min="17" max="17" width="38" customWidth="1"/>
    <col min="18" max="18" width="23.85546875" bestFit="1" customWidth="1"/>
    <col min="19" max="19" width="38.140625" customWidth="1"/>
    <col min="20" max="20" width="53.28515625" customWidth="1"/>
    <col min="21" max="21" width="33.7109375" customWidth="1"/>
    <col min="22" max="22" width="23.7109375" bestFit="1" customWidth="1"/>
    <col min="23" max="23" width="23.7109375" customWidth="1"/>
    <col min="24" max="24" width="51.42578125" customWidth="1"/>
    <col min="25" max="25" width="28.85546875" customWidth="1"/>
    <col min="26" max="26" width="26.28515625" customWidth="1"/>
    <col min="27" max="27" width="14.28515625" customWidth="1"/>
    <col min="28" max="28" width="11.140625" customWidth="1"/>
  </cols>
  <sheetData>
    <row r="1" spans="2:28" ht="31.5" x14ac:dyDescent="0.5">
      <c r="B1" s="340" t="s">
        <v>289</v>
      </c>
      <c r="C1" s="340"/>
      <c r="D1" s="340"/>
      <c r="E1" s="340"/>
      <c r="F1" s="340"/>
      <c r="G1" s="340"/>
      <c r="H1" s="340"/>
      <c r="I1" s="340"/>
      <c r="J1" s="340"/>
      <c r="K1" s="340"/>
    </row>
    <row r="2" spans="2:28" x14ac:dyDescent="0.25">
      <c r="B2" s="70" t="s">
        <v>340</v>
      </c>
      <c r="C2" t="s">
        <v>341</v>
      </c>
      <c r="D2" t="s">
        <v>353</v>
      </c>
      <c r="H2">
        <v>736.00577329999999</v>
      </c>
    </row>
    <row r="3" spans="2:28" ht="15.75" thickBot="1" x14ac:dyDescent="0.3">
      <c r="C3" t="s">
        <v>341</v>
      </c>
      <c r="D3" t="s">
        <v>540</v>
      </c>
    </row>
    <row r="4" spans="2:28" x14ac:dyDescent="0.25">
      <c r="B4" s="341" t="s">
        <v>10</v>
      </c>
      <c r="C4" s="62" t="s">
        <v>14</v>
      </c>
      <c r="D4" s="65" t="s">
        <v>14</v>
      </c>
      <c r="E4" s="330" t="s">
        <v>354</v>
      </c>
      <c r="F4" s="324" t="s">
        <v>355</v>
      </c>
      <c r="G4" s="62" t="s">
        <v>14</v>
      </c>
      <c r="H4" s="65" t="s">
        <v>14</v>
      </c>
      <c r="I4" s="330" t="s">
        <v>354</v>
      </c>
      <c r="J4" s="324" t="s">
        <v>355</v>
      </c>
      <c r="K4" s="62" t="s">
        <v>14</v>
      </c>
      <c r="L4" s="65" t="s">
        <v>14</v>
      </c>
      <c r="M4" s="330" t="s">
        <v>354</v>
      </c>
      <c r="N4" s="321" t="s">
        <v>355</v>
      </c>
      <c r="O4" s="62" t="s">
        <v>14</v>
      </c>
      <c r="P4" s="65" t="s">
        <v>14</v>
      </c>
      <c r="Q4" s="330" t="s">
        <v>354</v>
      </c>
      <c r="R4" s="321" t="s">
        <v>355</v>
      </c>
      <c r="S4" s="62" t="s">
        <v>14</v>
      </c>
      <c r="T4" s="65" t="s">
        <v>14</v>
      </c>
      <c r="U4" s="330" t="s">
        <v>354</v>
      </c>
      <c r="V4" s="321" t="s">
        <v>355</v>
      </c>
      <c r="W4" s="62" t="s">
        <v>14</v>
      </c>
      <c r="X4" s="65" t="s">
        <v>14</v>
      </c>
      <c r="Y4" s="330" t="s">
        <v>354</v>
      </c>
      <c r="Z4" s="321" t="s">
        <v>355</v>
      </c>
    </row>
    <row r="5" spans="2:28" ht="15.75" thickBot="1" x14ac:dyDescent="0.3">
      <c r="B5" s="342"/>
      <c r="C5" s="63" t="s">
        <v>290</v>
      </c>
      <c r="D5" s="27" t="s">
        <v>291</v>
      </c>
      <c r="E5" s="331"/>
      <c r="F5" s="325"/>
      <c r="G5" s="63" t="s">
        <v>290</v>
      </c>
      <c r="H5" s="27" t="s">
        <v>291</v>
      </c>
      <c r="I5" s="331"/>
      <c r="J5" s="325"/>
      <c r="K5" s="63" t="s">
        <v>290</v>
      </c>
      <c r="L5" s="27" t="s">
        <v>291</v>
      </c>
      <c r="M5" s="331"/>
      <c r="N5" s="322"/>
      <c r="O5" s="63" t="s">
        <v>290</v>
      </c>
      <c r="P5" s="27" t="s">
        <v>291</v>
      </c>
      <c r="Q5" s="331"/>
      <c r="R5" s="322"/>
      <c r="S5" s="63" t="s">
        <v>290</v>
      </c>
      <c r="T5" s="27" t="s">
        <v>291</v>
      </c>
      <c r="U5" s="331"/>
      <c r="V5" s="322"/>
      <c r="W5" s="63" t="s">
        <v>290</v>
      </c>
      <c r="X5" s="27" t="s">
        <v>291</v>
      </c>
      <c r="Y5" s="331"/>
      <c r="Z5" s="322"/>
    </row>
    <row r="6" spans="2:28" ht="15.75" thickBot="1" x14ac:dyDescent="0.3">
      <c r="B6" s="346" t="s">
        <v>52</v>
      </c>
      <c r="C6" s="346" t="s">
        <v>53</v>
      </c>
      <c r="D6" s="16" t="s">
        <v>53</v>
      </c>
      <c r="E6" s="331"/>
      <c r="F6" s="326"/>
      <c r="G6" s="346" t="s">
        <v>54</v>
      </c>
      <c r="H6" s="16" t="s">
        <v>54</v>
      </c>
      <c r="I6" s="331"/>
      <c r="J6" s="326"/>
      <c r="K6" s="346" t="s">
        <v>55</v>
      </c>
      <c r="L6" s="16" t="s">
        <v>55</v>
      </c>
      <c r="M6" s="331"/>
      <c r="N6" s="322"/>
      <c r="O6" s="346" t="s">
        <v>528</v>
      </c>
      <c r="P6" s="17" t="s">
        <v>528</v>
      </c>
      <c r="Q6" s="331"/>
      <c r="R6" s="322"/>
      <c r="S6" s="346" t="s">
        <v>529</v>
      </c>
      <c r="T6" s="16" t="s">
        <v>529</v>
      </c>
      <c r="U6" s="331"/>
      <c r="V6" s="322"/>
      <c r="W6" s="346" t="s">
        <v>530</v>
      </c>
      <c r="X6" s="16" t="s">
        <v>530</v>
      </c>
      <c r="Y6" s="331"/>
      <c r="Z6" s="322"/>
    </row>
    <row r="7" spans="2:28" ht="62.25" thickBot="1" x14ac:dyDescent="0.4">
      <c r="B7" s="347"/>
      <c r="C7" s="347"/>
      <c r="D7" s="22" t="s">
        <v>229</v>
      </c>
      <c r="E7" s="327"/>
      <c r="F7" s="327"/>
      <c r="G7" s="347"/>
      <c r="H7" s="89" t="s">
        <v>228</v>
      </c>
      <c r="I7" s="327"/>
      <c r="J7" s="327"/>
      <c r="K7" s="347"/>
      <c r="L7" s="22" t="s">
        <v>230</v>
      </c>
      <c r="M7" s="327"/>
      <c r="N7" s="323"/>
      <c r="O7" s="347"/>
      <c r="P7" s="141" t="s">
        <v>531</v>
      </c>
      <c r="Q7" s="327"/>
      <c r="R7" s="323"/>
      <c r="S7" s="347"/>
      <c r="T7" s="22" t="s">
        <v>563</v>
      </c>
      <c r="U7" s="327"/>
      <c r="V7" s="323"/>
      <c r="W7" s="347"/>
      <c r="X7" s="21" t="s">
        <v>552</v>
      </c>
      <c r="Y7" s="327"/>
      <c r="Z7" s="323"/>
      <c r="AB7" s="68"/>
    </row>
    <row r="8" spans="2:28" x14ac:dyDescent="0.25">
      <c r="B8" s="44">
        <v>1</v>
      </c>
      <c r="C8" s="157">
        <v>76.040199999999999</v>
      </c>
      <c r="D8" s="58">
        <f>H8*1000/9.80665</f>
        <v>76.040224906799978</v>
      </c>
      <c r="E8" s="54">
        <f>C8-D8</f>
        <v>-2.4906799978907657E-5</v>
      </c>
      <c r="F8" s="54">
        <f>(100*E8)/D8</f>
        <v>-3.2754768952136989E-5</v>
      </c>
      <c r="G8" s="157">
        <v>0.74570000000000003</v>
      </c>
      <c r="H8" s="58">
        <f>B8*0.74569987158227</f>
        <v>0.74569987158227002</v>
      </c>
      <c r="I8" s="54">
        <f>G8-H8</f>
        <v>1.2841773000538126E-7</v>
      </c>
      <c r="J8" s="54">
        <f>(100*I8)/H8</f>
        <v>1.7221101263286652E-5</v>
      </c>
      <c r="K8" s="157">
        <v>745.7</v>
      </c>
      <c r="L8" s="58">
        <f>H8*1000</f>
        <v>745.69987158227002</v>
      </c>
      <c r="M8" s="54">
        <f>K8-L8</f>
        <v>1.2841773002492118E-4</v>
      </c>
      <c r="N8" s="162">
        <f>(100*M8)/L8</f>
        <v>1.7221101265906999E-5</v>
      </c>
      <c r="O8" s="154">
        <v>745700</v>
      </c>
      <c r="P8" s="123">
        <f>H8*1000000</f>
        <v>745699.87158227002</v>
      </c>
      <c r="Q8" s="54">
        <f>O8-P8</f>
        <v>0.12841772998217493</v>
      </c>
      <c r="R8" s="162">
        <f>(100*Q8)/P8</f>
        <v>1.7221101260174633E-5</v>
      </c>
      <c r="S8" s="154">
        <v>58.7256</v>
      </c>
      <c r="T8" s="255">
        <v>58.725640683106903</v>
      </c>
      <c r="U8" s="54">
        <f>S8-T8</f>
        <v>-4.0683106902861255E-5</v>
      </c>
      <c r="V8" s="54">
        <f>(100*U8)/T8</f>
        <v>-6.927656544846212E-5</v>
      </c>
      <c r="W8" s="230">
        <v>28.7256</v>
      </c>
      <c r="X8" s="123">
        <v>28.725640683106899</v>
      </c>
      <c r="Y8" s="54">
        <f>W8-X8</f>
        <v>-4.0683106899308541E-5</v>
      </c>
      <c r="Z8" s="162">
        <f>(100*Y8)/X8</f>
        <v>-1.4162645612716878E-4</v>
      </c>
      <c r="AB8" s="60"/>
    </row>
    <row r="9" spans="2:28" x14ac:dyDescent="0.25">
      <c r="B9" s="47">
        <v>987</v>
      </c>
      <c r="C9" s="155">
        <v>75051.7</v>
      </c>
      <c r="D9" s="26">
        <f t="shared" ref="D9:D13" si="0">H9*1000/9.80665</f>
        <v>75051.701983011575</v>
      </c>
      <c r="E9" s="52">
        <f t="shared" ref="E9:E13" si="1">C9-D9</f>
        <v>-1.9830115779768676E-3</v>
      </c>
      <c r="F9" s="52">
        <f t="shared" ref="F9:F13" si="2">(100*E9)/D9</f>
        <v>-2.6421940150347752E-6</v>
      </c>
      <c r="G9" s="155">
        <v>736.00599999999997</v>
      </c>
      <c r="H9" s="26">
        <f t="shared" ref="H9:H13" si="3">B9*0.74569987158227</f>
        <v>736.00577325170048</v>
      </c>
      <c r="I9" s="52">
        <f t="shared" ref="I9:I13" si="4">G9-H9</f>
        <v>2.2674829949664854E-4</v>
      </c>
      <c r="J9" s="52">
        <f t="shared" ref="J9:J13" si="5">(100*I9)/H9</f>
        <v>3.0807951205989359E-5</v>
      </c>
      <c r="K9" s="155">
        <v>736006</v>
      </c>
      <c r="L9" s="26">
        <f t="shared" ref="L9:L13" si="6">H9*1000</f>
        <v>736005.77325170045</v>
      </c>
      <c r="M9" s="52">
        <f t="shared" ref="M9:M13" si="7">K9-L9</f>
        <v>0.22674829955212772</v>
      </c>
      <c r="N9" s="153">
        <f t="shared" ref="N9:N13" si="8">(100*M9)/L9</f>
        <v>3.0807951213527228E-5</v>
      </c>
      <c r="O9" s="159">
        <v>736005773</v>
      </c>
      <c r="P9" s="26">
        <f t="shared" ref="P9:P13" si="9">H9*1000000</f>
        <v>736005773.25170052</v>
      </c>
      <c r="Q9" s="52">
        <f t="shared" ref="Q9:Q13" si="10">O9-P9</f>
        <v>-0.25170052051544189</v>
      </c>
      <c r="R9" s="153">
        <f t="shared" ref="R9:R13" si="11">(100*Q9)/P9</f>
        <v>-3.4198172033817037E-8</v>
      </c>
      <c r="S9" s="159">
        <v>88.668800000000005</v>
      </c>
      <c r="T9" s="253">
        <v>88.668812209699993</v>
      </c>
      <c r="U9" s="52">
        <f t="shared" ref="U9:U12" si="12">S9-T9</f>
        <v>-1.2209699988829925E-5</v>
      </c>
      <c r="V9" s="52">
        <f t="shared" ref="V9:V12" si="13">(100*U9)/T9</f>
        <v>-1.3770005128696464E-5</v>
      </c>
      <c r="W9" s="231">
        <v>58.668799999999997</v>
      </c>
      <c r="X9" s="26">
        <v>58.668812209984999</v>
      </c>
      <c r="Y9" s="52">
        <f t="shared" ref="Y9:Y12" si="14">W9-X9</f>
        <v>-1.2209985001732093E-5</v>
      </c>
      <c r="Z9" s="153">
        <f t="shared" ref="Z9:Z12" si="15">(100*Y9)/X9</f>
        <v>-2.0811713313763055E-5</v>
      </c>
      <c r="AB9" s="60"/>
    </row>
    <row r="10" spans="2:28" x14ac:dyDescent="0.25">
      <c r="B10" s="47">
        <v>3687</v>
      </c>
      <c r="C10" s="155">
        <v>280360</v>
      </c>
      <c r="D10" s="26">
        <f t="shared" si="0"/>
        <v>280360.3092313715</v>
      </c>
      <c r="E10" s="52">
        <f t="shared" si="1"/>
        <v>-0.30923137150239199</v>
      </c>
      <c r="F10" s="52">
        <f t="shared" si="2"/>
        <v>-1.1029784221246319E-4</v>
      </c>
      <c r="G10" s="155">
        <v>2749.4</v>
      </c>
      <c r="H10" s="26">
        <f t="shared" si="3"/>
        <v>2749.3954265238294</v>
      </c>
      <c r="I10" s="52">
        <f t="shared" si="4"/>
        <v>4.5734761706626159E-3</v>
      </c>
      <c r="J10" s="52">
        <f t="shared" si="5"/>
        <v>1.6634479444250204E-4</v>
      </c>
      <c r="K10" s="159">
        <v>2749395</v>
      </c>
      <c r="L10" s="26">
        <f t="shared" si="6"/>
        <v>2749395.4265238293</v>
      </c>
      <c r="M10" s="52">
        <f t="shared" si="7"/>
        <v>-0.42652382934466004</v>
      </c>
      <c r="N10" s="153">
        <f t="shared" si="8"/>
        <v>-1.5513367965550566E-5</v>
      </c>
      <c r="O10" s="159">
        <v>2749395427</v>
      </c>
      <c r="P10" s="26">
        <f t="shared" si="9"/>
        <v>2749395426.5238295</v>
      </c>
      <c r="Q10" s="52">
        <f t="shared" si="10"/>
        <v>0.47617053985595703</v>
      </c>
      <c r="R10" s="153">
        <f t="shared" si="11"/>
        <v>1.7319099874185739E-8</v>
      </c>
      <c r="S10" s="159">
        <v>94.392399999999995</v>
      </c>
      <c r="T10" s="253">
        <v>94.392372059816907</v>
      </c>
      <c r="U10" s="52">
        <f t="shared" si="12"/>
        <v>2.7940183088048798E-5</v>
      </c>
      <c r="V10" s="52">
        <f t="shared" si="13"/>
        <v>2.9600043391581436E-5</v>
      </c>
      <c r="W10" s="231">
        <v>64.392399999999995</v>
      </c>
      <c r="X10" s="26">
        <v>64.392372059816907</v>
      </c>
      <c r="Y10" s="52">
        <f t="shared" si="14"/>
        <v>2.7940183088048798E-5</v>
      </c>
      <c r="Z10" s="153">
        <f t="shared" si="15"/>
        <v>4.3390516911061971E-5</v>
      </c>
      <c r="AB10" s="60"/>
    </row>
    <row r="11" spans="2:28" x14ac:dyDescent="0.25">
      <c r="B11" s="47">
        <v>3344556677</v>
      </c>
      <c r="C11" s="155">
        <v>254320841933</v>
      </c>
      <c r="D11" s="26">
        <f t="shared" si="0"/>
        <v>254320841932.61957</v>
      </c>
      <c r="E11" s="52">
        <f t="shared" si="1"/>
        <v>0.38043212890625</v>
      </c>
      <c r="F11" s="52">
        <f t="shared" si="2"/>
        <v>1.4958747620340243E-10</v>
      </c>
      <c r="G11" s="155">
        <v>2494035485</v>
      </c>
      <c r="H11" s="26">
        <f t="shared" si="3"/>
        <v>2494035484.5385237</v>
      </c>
      <c r="I11" s="52">
        <f t="shared" si="4"/>
        <v>0.46147632598876953</v>
      </c>
      <c r="J11" s="52">
        <f t="shared" si="5"/>
        <v>1.8503198083974232E-8</v>
      </c>
      <c r="K11" s="155">
        <v>2494035484539</v>
      </c>
      <c r="L11" s="26">
        <f t="shared" si="6"/>
        <v>2494035484538.5234</v>
      </c>
      <c r="M11" s="52">
        <f t="shared" si="7"/>
        <v>0.4765625</v>
      </c>
      <c r="N11" s="153">
        <f t="shared" si="8"/>
        <v>1.9108088194991312E-11</v>
      </c>
      <c r="O11" s="159">
        <v>2494035484538520</v>
      </c>
      <c r="P11" s="26">
        <f t="shared" si="9"/>
        <v>2494035484538523.5</v>
      </c>
      <c r="Q11" s="52">
        <f t="shared" si="10"/>
        <v>0</v>
      </c>
      <c r="R11" s="153">
        <f t="shared" si="11"/>
        <v>0</v>
      </c>
      <c r="S11" s="159">
        <v>153.96899999999999</v>
      </c>
      <c r="T11" s="253">
        <v>153.969026282241</v>
      </c>
      <c r="U11" s="52">
        <f t="shared" si="12"/>
        <v>-2.6282241009312202E-5</v>
      </c>
      <c r="V11" s="52">
        <f t="shared" si="13"/>
        <v>-1.7069823485883557E-5</v>
      </c>
      <c r="W11" s="231">
        <v>123.96899999999999</v>
      </c>
      <c r="X11" s="26">
        <v>123.969026282241</v>
      </c>
      <c r="Y11" s="52">
        <f t="shared" si="14"/>
        <v>-2.6282241009312202E-5</v>
      </c>
      <c r="Z11" s="153">
        <f t="shared" si="15"/>
        <v>-2.1200651321948171E-5</v>
      </c>
      <c r="AB11" s="129"/>
    </row>
    <row r="12" spans="2:28" x14ac:dyDescent="0.25">
      <c r="B12" s="85">
        <v>0.65469999999999995</v>
      </c>
      <c r="C12" s="155">
        <v>49.783499999999997</v>
      </c>
      <c r="D12" s="26">
        <f t="shared" si="0"/>
        <v>49.783535246481947</v>
      </c>
      <c r="E12" s="52">
        <f t="shared" si="1"/>
        <v>-3.5246481949968711E-5</v>
      </c>
      <c r="F12" s="52">
        <f t="shared" si="2"/>
        <v>-7.0799475721161192E-5</v>
      </c>
      <c r="G12" s="155">
        <v>0.48820999999999998</v>
      </c>
      <c r="H12" s="26">
        <f t="shared" si="3"/>
        <v>0.48820970592491214</v>
      </c>
      <c r="I12" s="52">
        <f t="shared" si="4"/>
        <v>2.9407508783663161E-7</v>
      </c>
      <c r="J12" s="52">
        <f t="shared" si="5"/>
        <v>6.0235403816789559E-5</v>
      </c>
      <c r="K12" s="155">
        <v>488.21</v>
      </c>
      <c r="L12" s="26">
        <f t="shared" si="6"/>
        <v>488.20970592491216</v>
      </c>
      <c r="M12" s="52">
        <f t="shared" si="7"/>
        <v>2.9407508782242076E-4</v>
      </c>
      <c r="N12" s="153">
        <f t="shared" si="8"/>
        <v>6.0235403813878747E-5</v>
      </c>
      <c r="O12" s="159">
        <v>488210</v>
      </c>
      <c r="P12" s="26">
        <f t="shared" si="9"/>
        <v>488209.70592491212</v>
      </c>
      <c r="Q12" s="52">
        <f t="shared" si="10"/>
        <v>0.29407508787699044</v>
      </c>
      <c r="R12" s="153">
        <f t="shared" si="11"/>
        <v>6.0235403825056262E-5</v>
      </c>
      <c r="S12" s="159">
        <v>56.886099999999999</v>
      </c>
      <c r="T12" s="253">
        <v>56.886064092002002</v>
      </c>
      <c r="U12" s="52">
        <f t="shared" si="12"/>
        <v>3.5907997997242092E-5</v>
      </c>
      <c r="V12" s="52">
        <f t="shared" si="13"/>
        <v>6.3122662062131731E-5</v>
      </c>
      <c r="W12" s="231">
        <v>26.886099999999999</v>
      </c>
      <c r="X12" s="26">
        <v>26.886064092002002</v>
      </c>
      <c r="Y12" s="52">
        <f t="shared" si="14"/>
        <v>3.5907997997242092E-5</v>
      </c>
      <c r="Z12" s="153">
        <f t="shared" si="15"/>
        <v>1.335561719795346E-4</v>
      </c>
      <c r="AB12" s="60"/>
    </row>
    <row r="13" spans="2:28" ht="15.75" thickBot="1" x14ac:dyDescent="0.3">
      <c r="B13" s="86">
        <v>-741</v>
      </c>
      <c r="C13" s="158">
        <v>-56345.8</v>
      </c>
      <c r="D13" s="59">
        <f t="shared" si="0"/>
        <v>-56345.806655938781</v>
      </c>
      <c r="E13" s="57">
        <f t="shared" si="1"/>
        <v>6.655938777839765E-3</v>
      </c>
      <c r="F13" s="57">
        <f t="shared" si="2"/>
        <v>-1.1812660378584246E-5</v>
      </c>
      <c r="G13" s="158">
        <v>-552.56399999999996</v>
      </c>
      <c r="H13" s="59">
        <f t="shared" si="3"/>
        <v>-552.56360484246204</v>
      </c>
      <c r="I13" s="57">
        <f t="shared" si="4"/>
        <v>-3.9515753792329633E-4</v>
      </c>
      <c r="J13" s="57">
        <f t="shared" si="5"/>
        <v>7.1513493552648516E-5</v>
      </c>
      <c r="K13" s="158">
        <v>-552564</v>
      </c>
      <c r="L13" s="59">
        <f t="shared" si="6"/>
        <v>-552563.60484246199</v>
      </c>
      <c r="M13" s="57">
        <f t="shared" si="7"/>
        <v>-0.39515753800515085</v>
      </c>
      <c r="N13" s="163">
        <f t="shared" si="8"/>
        <v>7.151349356746212E-5</v>
      </c>
      <c r="O13" s="156">
        <v>-552563605</v>
      </c>
      <c r="P13" s="59">
        <f t="shared" si="9"/>
        <v>-552563604.84246206</v>
      </c>
      <c r="Q13" s="57">
        <f t="shared" si="10"/>
        <v>-0.15753793716430664</v>
      </c>
      <c r="R13" s="163">
        <f t="shared" si="11"/>
        <v>2.8510371617620616E-8</v>
      </c>
      <c r="S13" s="156" t="s">
        <v>539</v>
      </c>
      <c r="T13" s="256" t="s">
        <v>541</v>
      </c>
      <c r="U13" s="57"/>
      <c r="V13" s="57"/>
      <c r="W13" s="232" t="s">
        <v>539</v>
      </c>
      <c r="X13" s="59" t="s">
        <v>541</v>
      </c>
      <c r="Y13" s="57"/>
      <c r="Z13" s="163"/>
      <c r="AB13" s="60"/>
    </row>
    <row r="14" spans="2:28" ht="15.75" thickBot="1" x14ac:dyDescent="0.3">
      <c r="C14" s="165"/>
      <c r="D14" s="165"/>
      <c r="E14" s="164"/>
      <c r="F14" s="164"/>
      <c r="G14" s="165"/>
      <c r="H14" s="165"/>
      <c r="I14" s="164"/>
      <c r="J14" s="164"/>
      <c r="K14" s="165"/>
      <c r="L14" s="165"/>
      <c r="M14" s="164"/>
      <c r="N14" s="164"/>
      <c r="O14" s="165"/>
      <c r="P14" s="165"/>
      <c r="Q14" s="164"/>
      <c r="R14" s="164"/>
      <c r="S14" s="165"/>
      <c r="T14" s="165"/>
      <c r="U14" s="164"/>
      <c r="V14" s="164"/>
      <c r="W14" s="165"/>
      <c r="X14" s="165"/>
      <c r="Y14" s="164"/>
      <c r="Z14" s="164"/>
      <c r="AB14" s="68"/>
    </row>
    <row r="15" spans="2:28" x14ac:dyDescent="0.25">
      <c r="B15" s="341" t="s">
        <v>10</v>
      </c>
      <c r="C15" s="166" t="s">
        <v>14</v>
      </c>
      <c r="D15" s="168" t="s">
        <v>14</v>
      </c>
      <c r="E15" s="343" t="s">
        <v>354</v>
      </c>
      <c r="F15" s="352" t="s">
        <v>355</v>
      </c>
      <c r="G15" s="166" t="s">
        <v>14</v>
      </c>
      <c r="H15" s="168" t="s">
        <v>14</v>
      </c>
      <c r="I15" s="343" t="s">
        <v>354</v>
      </c>
      <c r="J15" s="352" t="s">
        <v>355</v>
      </c>
      <c r="K15" s="166" t="s">
        <v>14</v>
      </c>
      <c r="L15" s="168" t="s">
        <v>14</v>
      </c>
      <c r="M15" s="343" t="s">
        <v>354</v>
      </c>
      <c r="N15" s="357" t="s">
        <v>355</v>
      </c>
      <c r="O15" s="166" t="s">
        <v>14</v>
      </c>
      <c r="P15" s="168" t="s">
        <v>14</v>
      </c>
      <c r="Q15" s="343" t="s">
        <v>354</v>
      </c>
      <c r="R15" s="357" t="s">
        <v>355</v>
      </c>
      <c r="S15" s="166" t="s">
        <v>14</v>
      </c>
      <c r="T15" s="168" t="s">
        <v>14</v>
      </c>
      <c r="U15" s="343" t="s">
        <v>354</v>
      </c>
      <c r="V15" s="357" t="s">
        <v>355</v>
      </c>
      <c r="W15" s="166" t="s">
        <v>14</v>
      </c>
      <c r="X15" s="168" t="s">
        <v>14</v>
      </c>
      <c r="Y15" s="343" t="s">
        <v>354</v>
      </c>
      <c r="Z15" s="357" t="s">
        <v>355</v>
      </c>
    </row>
    <row r="16" spans="2:28" ht="15.75" thickBot="1" x14ac:dyDescent="0.3">
      <c r="B16" s="342"/>
      <c r="C16" s="167" t="s">
        <v>290</v>
      </c>
      <c r="D16" s="169" t="s">
        <v>291</v>
      </c>
      <c r="E16" s="344"/>
      <c r="F16" s="353"/>
      <c r="G16" s="167" t="s">
        <v>290</v>
      </c>
      <c r="H16" s="169" t="s">
        <v>291</v>
      </c>
      <c r="I16" s="344"/>
      <c r="J16" s="353"/>
      <c r="K16" s="167" t="s">
        <v>290</v>
      </c>
      <c r="L16" s="169" t="s">
        <v>291</v>
      </c>
      <c r="M16" s="344"/>
      <c r="N16" s="358"/>
      <c r="O16" s="167" t="s">
        <v>290</v>
      </c>
      <c r="P16" s="169" t="s">
        <v>291</v>
      </c>
      <c r="Q16" s="344"/>
      <c r="R16" s="358"/>
      <c r="S16" s="167" t="s">
        <v>290</v>
      </c>
      <c r="T16" s="169" t="s">
        <v>291</v>
      </c>
      <c r="U16" s="344"/>
      <c r="V16" s="358"/>
      <c r="W16" s="167" t="s">
        <v>290</v>
      </c>
      <c r="X16" s="169" t="s">
        <v>291</v>
      </c>
      <c r="Y16" s="344"/>
      <c r="Z16" s="358"/>
    </row>
    <row r="17" spans="2:26" ht="15.75" thickBot="1" x14ac:dyDescent="0.3">
      <c r="B17" s="346" t="s">
        <v>53</v>
      </c>
      <c r="C17" s="363" t="s">
        <v>52</v>
      </c>
      <c r="D17" s="177" t="s">
        <v>52</v>
      </c>
      <c r="E17" s="344"/>
      <c r="F17" s="354"/>
      <c r="G17" s="363" t="s">
        <v>54</v>
      </c>
      <c r="H17" s="177" t="s">
        <v>54</v>
      </c>
      <c r="I17" s="344"/>
      <c r="J17" s="354"/>
      <c r="K17" s="363" t="s">
        <v>55</v>
      </c>
      <c r="L17" s="177" t="s">
        <v>55</v>
      </c>
      <c r="M17" s="344"/>
      <c r="N17" s="358"/>
      <c r="O17" s="363" t="s">
        <v>528</v>
      </c>
      <c r="P17" s="177" t="s">
        <v>528</v>
      </c>
      <c r="Q17" s="344"/>
      <c r="R17" s="358"/>
      <c r="S17" s="363" t="s">
        <v>529</v>
      </c>
      <c r="T17" s="177" t="s">
        <v>529</v>
      </c>
      <c r="U17" s="344"/>
      <c r="V17" s="358"/>
      <c r="W17" s="363" t="s">
        <v>530</v>
      </c>
      <c r="X17" s="177" t="s">
        <v>530</v>
      </c>
      <c r="Y17" s="344"/>
      <c r="Z17" s="358"/>
    </row>
    <row r="18" spans="2:26" ht="62.25" thickBot="1" x14ac:dyDescent="0.4">
      <c r="B18" s="347"/>
      <c r="C18" s="364"/>
      <c r="D18" s="208" t="s">
        <v>292</v>
      </c>
      <c r="E18" s="345"/>
      <c r="F18" s="345"/>
      <c r="G18" s="364"/>
      <c r="H18" s="210" t="s">
        <v>231</v>
      </c>
      <c r="I18" s="345"/>
      <c r="J18" s="345"/>
      <c r="K18" s="364"/>
      <c r="L18" s="208" t="s">
        <v>232</v>
      </c>
      <c r="M18" s="345"/>
      <c r="N18" s="359"/>
      <c r="O18" s="364"/>
      <c r="P18" s="208" t="s">
        <v>532</v>
      </c>
      <c r="Q18" s="345"/>
      <c r="R18" s="359"/>
      <c r="S18" s="364"/>
      <c r="T18" s="208" t="s">
        <v>562</v>
      </c>
      <c r="U18" s="345"/>
      <c r="V18" s="359"/>
      <c r="W18" s="364"/>
      <c r="X18" s="208" t="s">
        <v>553</v>
      </c>
      <c r="Y18" s="345"/>
      <c r="Z18" s="359"/>
    </row>
    <row r="19" spans="2:26" x14ac:dyDescent="0.25">
      <c r="B19" s="44">
        <v>1</v>
      </c>
      <c r="C19" s="157">
        <v>1.31509E-2</v>
      </c>
      <c r="D19" s="58">
        <f>H19/0.74569987158227</f>
        <v>1.3150934274927084E-2</v>
      </c>
      <c r="E19" s="54">
        <f>C19-D19</f>
        <v>-3.4274927084021467E-8</v>
      </c>
      <c r="F19" s="54">
        <f>(100*E19)/D19</f>
        <v>-2.6062731641331621E-4</v>
      </c>
      <c r="G19" s="157">
        <v>9.8066500000000001E-3</v>
      </c>
      <c r="H19" s="58">
        <f>B19*9.80665/1000</f>
        <v>9.8066500000000001E-3</v>
      </c>
      <c r="I19" s="54">
        <f>G19-H19</f>
        <v>0</v>
      </c>
      <c r="J19" s="54">
        <f>(100*I19)/H19</f>
        <v>0</v>
      </c>
      <c r="K19" s="157">
        <v>9.8066499999999994</v>
      </c>
      <c r="L19" s="58">
        <f>H19*1000</f>
        <v>9.8066499999999994</v>
      </c>
      <c r="M19" s="54">
        <f>K19-L19</f>
        <v>0</v>
      </c>
      <c r="N19" s="54">
        <f>(100*M19)/L19</f>
        <v>0</v>
      </c>
      <c r="O19" s="230">
        <v>9806.65</v>
      </c>
      <c r="P19" s="58">
        <f>H19*1000000</f>
        <v>9806.65</v>
      </c>
      <c r="Q19" s="54">
        <f>O19-P19</f>
        <v>0</v>
      </c>
      <c r="R19" s="54">
        <f>(100*Q19)/P19</f>
        <v>0</v>
      </c>
      <c r="S19" s="244">
        <v>39.915199999999999</v>
      </c>
      <c r="T19" s="251">
        <v>39.915206755772601</v>
      </c>
      <c r="U19" s="54">
        <f>S19-T19</f>
        <v>-6.7557726026734599E-6</v>
      </c>
      <c r="V19" s="54">
        <f>(100*U19)/T19</f>
        <v>-1.692531030594356E-5</v>
      </c>
      <c r="W19" s="244">
        <v>9.9152100000000001</v>
      </c>
      <c r="X19" s="251">
        <v>9.9152067557726795</v>
      </c>
      <c r="Y19" s="54">
        <f>W19-X19</f>
        <v>3.2442273205646188E-6</v>
      </c>
      <c r="Z19" s="162">
        <f>(100*Y19)/X19</f>
        <v>3.2719714278028695E-5</v>
      </c>
    </row>
    <row r="20" spans="2:26" x14ac:dyDescent="0.25">
      <c r="B20" s="47">
        <v>987</v>
      </c>
      <c r="C20" s="155">
        <v>12.98</v>
      </c>
      <c r="D20" s="26">
        <f t="shared" ref="D20:D24" si="16">H20/0.74569987158227</f>
        <v>12.979972129353031</v>
      </c>
      <c r="E20" s="52">
        <f t="shared" ref="E20:E24" si="17">C20-D20</f>
        <v>2.7870646968963797E-5</v>
      </c>
      <c r="F20" s="52">
        <f t="shared" ref="F20:F24" si="18">(100*E20)/D20</f>
        <v>2.1472039147092507E-4</v>
      </c>
      <c r="G20" s="155">
        <v>9.6791599999999995</v>
      </c>
      <c r="H20" s="26">
        <f t="shared" ref="H20:H24" si="19">B20*9.80665/1000</f>
        <v>9.6791635500000002</v>
      </c>
      <c r="I20" s="52">
        <f t="shared" ref="I20:I24" si="20">G20-H20</f>
        <v>-3.5500000006294385E-6</v>
      </c>
      <c r="J20" s="52">
        <f t="shared" ref="J20:J24" si="21">(100*I20)/H20</f>
        <v>-3.6676722965688894E-5</v>
      </c>
      <c r="K20" s="155">
        <v>9679.16</v>
      </c>
      <c r="L20" s="26">
        <f t="shared" ref="L20:L24" si="22">H20*1000</f>
        <v>9679.1635499999993</v>
      </c>
      <c r="M20" s="52">
        <f t="shared" ref="M20:M24" si="23">K20-L20</f>
        <v>-3.5499999994499376E-3</v>
      </c>
      <c r="N20" s="52">
        <f t="shared" ref="N20:N24" si="24">(100*M20)/L20</f>
        <v>-3.6676722953502916E-5</v>
      </c>
      <c r="O20" s="231">
        <v>9679164</v>
      </c>
      <c r="P20" s="26">
        <f>H20*1000000</f>
        <v>9679163.5500000007</v>
      </c>
      <c r="Q20" s="52">
        <f t="shared" ref="Q20:Q24" si="25">O20-P20</f>
        <v>0.44999999925494194</v>
      </c>
      <c r="R20" s="52">
        <f t="shared" ref="R20:R24" si="26">(100*Q20)/P20</f>
        <v>4.649162057551367E-6</v>
      </c>
      <c r="S20" s="245">
        <v>69.858400000000003</v>
      </c>
      <c r="T20" s="252">
        <v>69.858378282469005</v>
      </c>
      <c r="U20" s="52">
        <f t="shared" ref="U20:U23" si="27">S20-T20</f>
        <v>2.171753099844409E-5</v>
      </c>
      <c r="V20" s="52">
        <f t="shared" ref="V20:V23" si="28">(100*U20)/T20</f>
        <v>3.1087940390815107E-5</v>
      </c>
      <c r="W20" s="245">
        <v>39.858400000000003</v>
      </c>
      <c r="X20" s="252">
        <v>39.858378282468998</v>
      </c>
      <c r="Y20" s="52">
        <f t="shared" ref="Y20:Y23" si="29">W20-X20</f>
        <v>2.1717531005549517E-5</v>
      </c>
      <c r="Z20" s="153">
        <f t="shared" ref="Z20:Z23" si="30">(100*Y20)/X20</f>
        <v>5.4486740156966166E-5</v>
      </c>
    </row>
    <row r="21" spans="2:26" x14ac:dyDescent="0.25">
      <c r="B21" s="47">
        <v>3687</v>
      </c>
      <c r="C21" s="155">
        <v>48.487499999999997</v>
      </c>
      <c r="D21" s="26">
        <f t="shared" si="16"/>
        <v>48.487494671656158</v>
      </c>
      <c r="E21" s="52">
        <f t="shared" si="17"/>
        <v>5.3283438390394622E-6</v>
      </c>
      <c r="F21" s="52">
        <f t="shared" si="18"/>
        <v>1.0989109408769263E-5</v>
      </c>
      <c r="G21" s="155">
        <v>36.1571</v>
      </c>
      <c r="H21" s="26">
        <f t="shared" si="19"/>
        <v>36.15711855</v>
      </c>
      <c r="I21" s="52">
        <f t="shared" si="20"/>
        <v>-1.8550000000061573E-5</v>
      </c>
      <c r="J21" s="52">
        <f t="shared" si="21"/>
        <v>-5.1303866967191092E-5</v>
      </c>
      <c r="K21" s="159">
        <v>36157.1</v>
      </c>
      <c r="L21" s="26">
        <f t="shared" si="22"/>
        <v>36157.118549999999</v>
      </c>
      <c r="M21" s="52">
        <f t="shared" si="23"/>
        <v>-1.855000000068685E-2</v>
      </c>
      <c r="N21" s="52">
        <f t="shared" si="24"/>
        <v>-5.1303866968920428E-5</v>
      </c>
      <c r="O21" s="231">
        <v>36157119</v>
      </c>
      <c r="P21" s="26">
        <f>H21*1000000</f>
        <v>36157118.549999997</v>
      </c>
      <c r="Q21" s="52">
        <f t="shared" si="25"/>
        <v>0.45000000298023224</v>
      </c>
      <c r="R21" s="52">
        <f t="shared" si="26"/>
        <v>1.2445682095987493E-6</v>
      </c>
      <c r="S21" s="231">
        <v>75.581900000000005</v>
      </c>
      <c r="T21" s="253">
        <v>75.581938131833795</v>
      </c>
      <c r="U21" s="52">
        <f t="shared" si="27"/>
        <v>-3.8131833790089331E-5</v>
      </c>
      <c r="V21" s="52">
        <f t="shared" si="28"/>
        <v>-5.0450987011708909E-5</v>
      </c>
      <c r="W21" s="231">
        <v>45.581899999999997</v>
      </c>
      <c r="X21" s="253">
        <v>45.581938131833802</v>
      </c>
      <c r="Y21" s="52">
        <f t="shared" si="29"/>
        <v>-3.8131833804300186E-5</v>
      </c>
      <c r="Z21" s="153">
        <f t="shared" si="30"/>
        <v>-8.3655577992348317E-5</v>
      </c>
    </row>
    <row r="22" spans="2:26" x14ac:dyDescent="0.25">
      <c r="B22" s="47">
        <v>3344556677</v>
      </c>
      <c r="C22" s="155">
        <v>43984045</v>
      </c>
      <c r="D22" s="26">
        <f t="shared" si="16"/>
        <v>43984045.037995532</v>
      </c>
      <c r="E22" s="52">
        <f t="shared" si="17"/>
        <v>-3.7995532155036926E-2</v>
      </c>
      <c r="F22" s="52">
        <f t="shared" si="18"/>
        <v>-8.6384806404719158E-8</v>
      </c>
      <c r="G22" s="155">
        <v>32798897</v>
      </c>
      <c r="H22" s="26">
        <f t="shared" si="19"/>
        <v>32798896.736502048</v>
      </c>
      <c r="I22" s="52">
        <f t="shared" si="20"/>
        <v>0.26349795237183571</v>
      </c>
      <c r="J22" s="52">
        <f t="shared" si="21"/>
        <v>8.0337443813647419E-7</v>
      </c>
      <c r="K22" s="155">
        <v>32798896737</v>
      </c>
      <c r="L22" s="26">
        <f t="shared" si="22"/>
        <v>32798896736.502048</v>
      </c>
      <c r="M22" s="52">
        <f t="shared" si="23"/>
        <v>0.49795150756835938</v>
      </c>
      <c r="N22" s="52">
        <f t="shared" si="24"/>
        <v>1.5181959063098203E-9</v>
      </c>
      <c r="O22" s="231">
        <v>32798896736502</v>
      </c>
      <c r="P22" s="26">
        <f>H22*1000000</f>
        <v>32798896736502.047</v>
      </c>
      <c r="Q22" s="52">
        <f t="shared" si="25"/>
        <v>-4.6875E-2</v>
      </c>
      <c r="R22" s="52">
        <f t="shared" si="26"/>
        <v>-1.4291639251338778E-13</v>
      </c>
      <c r="S22" s="245">
        <v>135.15899999999999</v>
      </c>
      <c r="T22" s="252">
        <v>135.15859235501</v>
      </c>
      <c r="U22" s="52">
        <f t="shared" si="27"/>
        <v>4.0764498999124044E-4</v>
      </c>
      <c r="V22" s="52">
        <f t="shared" si="28"/>
        <v>3.0160493897458826E-4</v>
      </c>
      <c r="W22" s="245">
        <v>105.15900000000001</v>
      </c>
      <c r="X22" s="252">
        <v>105.158592355076</v>
      </c>
      <c r="Y22" s="52">
        <f t="shared" si="29"/>
        <v>4.0764492401024199E-4</v>
      </c>
      <c r="Z22" s="153">
        <f t="shared" si="30"/>
        <v>3.8764775647984889E-4</v>
      </c>
    </row>
    <row r="23" spans="2:26" x14ac:dyDescent="0.25">
      <c r="B23" s="85">
        <v>0.65469999999999995</v>
      </c>
      <c r="C23" s="155">
        <v>8.6099200000000001E-3</v>
      </c>
      <c r="D23" s="26">
        <f t="shared" si="16"/>
        <v>8.60991666979476E-3</v>
      </c>
      <c r="E23" s="52">
        <f t="shared" si="17"/>
        <v>3.330205240043016E-9</v>
      </c>
      <c r="F23" s="52">
        <f t="shared" si="18"/>
        <v>3.8678716272899775E-5</v>
      </c>
      <c r="G23" s="155">
        <v>6.4204099999999997E-3</v>
      </c>
      <c r="H23" s="26">
        <f t="shared" si="19"/>
        <v>6.420413754999999E-3</v>
      </c>
      <c r="I23" s="52">
        <f t="shared" si="20"/>
        <v>-3.7549999993072292E-9</v>
      </c>
      <c r="J23" s="52">
        <f t="shared" si="21"/>
        <v>-5.8485327310610839E-5</v>
      </c>
      <c r="K23" s="155">
        <v>6.4204100000000004</v>
      </c>
      <c r="L23" s="26">
        <f t="shared" si="22"/>
        <v>6.4204137549999993</v>
      </c>
      <c r="M23" s="52">
        <f t="shared" si="23"/>
        <v>-3.7549999989394678E-6</v>
      </c>
      <c r="N23" s="52">
        <f t="shared" si="24"/>
        <v>-5.8485327304882836E-5</v>
      </c>
      <c r="O23" s="231">
        <v>6420.41</v>
      </c>
      <c r="P23" s="26">
        <f>H23*1000000</f>
        <v>6420.4137549999987</v>
      </c>
      <c r="Q23" s="52">
        <f t="shared" si="25"/>
        <v>-3.7549999988186755E-3</v>
      </c>
      <c r="R23" s="52">
        <f t="shared" si="26"/>
        <v>-5.848532730300146E-5</v>
      </c>
      <c r="S23" s="245">
        <v>38.075600000000001</v>
      </c>
      <c r="T23" s="252">
        <v>38.075630164992603</v>
      </c>
      <c r="U23" s="52">
        <f t="shared" si="27"/>
        <v>-3.0164992601555696E-5</v>
      </c>
      <c r="V23" s="52">
        <f t="shared" si="28"/>
        <v>-7.9223882758715081E-5</v>
      </c>
      <c r="W23" s="245">
        <v>8.0756300000000003</v>
      </c>
      <c r="X23" s="252">
        <v>8.0756301649926492</v>
      </c>
      <c r="Y23" s="52">
        <f t="shared" si="29"/>
        <v>-1.6499264887670506E-7</v>
      </c>
      <c r="Z23" s="153">
        <f t="shared" si="30"/>
        <v>-2.0430931767026411E-6</v>
      </c>
    </row>
    <row r="24" spans="2:26" ht="15.75" thickBot="1" x14ac:dyDescent="0.3">
      <c r="B24" s="86">
        <v>-741</v>
      </c>
      <c r="C24" s="158">
        <v>-9.7448399999999999</v>
      </c>
      <c r="D24" s="59">
        <f t="shared" si="16"/>
        <v>-9.7448422977209699</v>
      </c>
      <c r="E24" s="57">
        <f t="shared" si="17"/>
        <v>2.2977209699348577E-6</v>
      </c>
      <c r="F24" s="57">
        <f t="shared" si="18"/>
        <v>-2.3578842014428769E-5</v>
      </c>
      <c r="G24" s="158">
        <v>-7.2667299999999999</v>
      </c>
      <c r="H24" s="59">
        <f t="shared" si="19"/>
        <v>-7.26672765</v>
      </c>
      <c r="I24" s="57">
        <f t="shared" si="20"/>
        <v>-2.3499999999287979E-6</v>
      </c>
      <c r="J24" s="57">
        <f t="shared" si="21"/>
        <v>3.2339178143394408E-5</v>
      </c>
      <c r="K24" s="158">
        <v>-7266.73</v>
      </c>
      <c r="L24" s="59">
        <f t="shared" si="22"/>
        <v>-7266.7276499999998</v>
      </c>
      <c r="M24" s="57">
        <f t="shared" si="23"/>
        <v>-2.3499999997511622E-3</v>
      </c>
      <c r="N24" s="57">
        <f t="shared" si="24"/>
        <v>3.2339178140949898E-5</v>
      </c>
      <c r="O24" s="232">
        <v>-7266728</v>
      </c>
      <c r="P24" s="59">
        <f t="shared" ref="P24" si="31">L24*1000</f>
        <v>-7266727.6499999994</v>
      </c>
      <c r="Q24" s="57">
        <f t="shared" si="25"/>
        <v>-0.35000000055879354</v>
      </c>
      <c r="R24" s="57">
        <f t="shared" si="26"/>
        <v>4.8164733483412381E-6</v>
      </c>
      <c r="S24" s="246" t="s">
        <v>539</v>
      </c>
      <c r="T24" s="254" t="s">
        <v>541</v>
      </c>
      <c r="U24" s="57"/>
      <c r="V24" s="57"/>
      <c r="W24" s="246" t="s">
        <v>539</v>
      </c>
      <c r="X24" s="254" t="s">
        <v>541</v>
      </c>
      <c r="Y24" s="57"/>
      <c r="Z24" s="163"/>
    </row>
    <row r="25" spans="2:26" ht="15.75" thickBot="1" x14ac:dyDescent="0.3">
      <c r="C25" s="165"/>
      <c r="D25" s="165"/>
      <c r="E25" s="164"/>
      <c r="F25" s="164"/>
      <c r="G25" s="165"/>
      <c r="H25" s="165"/>
      <c r="I25" s="164"/>
      <c r="J25" s="164"/>
      <c r="K25" s="165"/>
      <c r="L25" s="165"/>
      <c r="M25" s="164"/>
      <c r="N25" s="164"/>
      <c r="O25" s="165"/>
      <c r="P25" s="165"/>
      <c r="Q25" s="164"/>
      <c r="R25" s="164"/>
      <c r="S25" s="165"/>
      <c r="T25" s="165"/>
      <c r="U25" s="164"/>
      <c r="V25" s="164"/>
      <c r="W25" s="165"/>
      <c r="X25" s="165"/>
      <c r="Y25" s="164"/>
      <c r="Z25" s="164"/>
    </row>
    <row r="26" spans="2:26" x14ac:dyDescent="0.25">
      <c r="B26" s="341" t="s">
        <v>10</v>
      </c>
      <c r="C26" s="166" t="s">
        <v>14</v>
      </c>
      <c r="D26" s="168" t="s">
        <v>14</v>
      </c>
      <c r="E26" s="343" t="s">
        <v>354</v>
      </c>
      <c r="F26" s="352" t="s">
        <v>355</v>
      </c>
      <c r="G26" s="166" t="s">
        <v>14</v>
      </c>
      <c r="H26" s="168" t="s">
        <v>14</v>
      </c>
      <c r="I26" s="343" t="s">
        <v>354</v>
      </c>
      <c r="J26" s="352" t="s">
        <v>355</v>
      </c>
      <c r="K26" s="166" t="s">
        <v>14</v>
      </c>
      <c r="L26" s="168" t="s">
        <v>14</v>
      </c>
      <c r="M26" s="343" t="s">
        <v>354</v>
      </c>
      <c r="N26" s="357" t="s">
        <v>355</v>
      </c>
      <c r="O26" s="166" t="s">
        <v>14</v>
      </c>
      <c r="P26" s="168" t="s">
        <v>14</v>
      </c>
      <c r="Q26" s="343" t="s">
        <v>354</v>
      </c>
      <c r="R26" s="357" t="s">
        <v>355</v>
      </c>
      <c r="S26" s="166" t="s">
        <v>14</v>
      </c>
      <c r="T26" s="168" t="s">
        <v>14</v>
      </c>
      <c r="U26" s="343" t="s">
        <v>354</v>
      </c>
      <c r="V26" s="357" t="s">
        <v>355</v>
      </c>
      <c r="W26" s="166" t="s">
        <v>14</v>
      </c>
      <c r="X26" s="168" t="s">
        <v>14</v>
      </c>
      <c r="Y26" s="343" t="s">
        <v>354</v>
      </c>
      <c r="Z26" s="357" t="s">
        <v>355</v>
      </c>
    </row>
    <row r="27" spans="2:26" ht="15.75" thickBot="1" x14ac:dyDescent="0.3">
      <c r="B27" s="342"/>
      <c r="C27" s="167" t="s">
        <v>290</v>
      </c>
      <c r="D27" s="169" t="s">
        <v>291</v>
      </c>
      <c r="E27" s="344"/>
      <c r="F27" s="353"/>
      <c r="G27" s="167" t="s">
        <v>290</v>
      </c>
      <c r="H27" s="169" t="s">
        <v>291</v>
      </c>
      <c r="I27" s="344"/>
      <c r="J27" s="353"/>
      <c r="K27" s="167" t="s">
        <v>290</v>
      </c>
      <c r="L27" s="169" t="s">
        <v>291</v>
      </c>
      <c r="M27" s="344"/>
      <c r="N27" s="358"/>
      <c r="O27" s="167" t="s">
        <v>290</v>
      </c>
      <c r="P27" s="169" t="s">
        <v>291</v>
      </c>
      <c r="Q27" s="344"/>
      <c r="R27" s="358"/>
      <c r="S27" s="167" t="s">
        <v>290</v>
      </c>
      <c r="T27" s="169" t="s">
        <v>291</v>
      </c>
      <c r="U27" s="344"/>
      <c r="V27" s="358"/>
      <c r="W27" s="167" t="s">
        <v>290</v>
      </c>
      <c r="X27" s="169" t="s">
        <v>291</v>
      </c>
      <c r="Y27" s="344"/>
      <c r="Z27" s="358"/>
    </row>
    <row r="28" spans="2:26" ht="15.75" thickBot="1" x14ac:dyDescent="0.3">
      <c r="B28" s="346" t="s">
        <v>54</v>
      </c>
      <c r="C28" s="363" t="s">
        <v>52</v>
      </c>
      <c r="D28" s="177" t="s">
        <v>52</v>
      </c>
      <c r="E28" s="344"/>
      <c r="F28" s="354"/>
      <c r="G28" s="363" t="s">
        <v>53</v>
      </c>
      <c r="H28" s="177" t="s">
        <v>53</v>
      </c>
      <c r="I28" s="344"/>
      <c r="J28" s="354"/>
      <c r="K28" s="363" t="s">
        <v>55</v>
      </c>
      <c r="L28" s="177" t="s">
        <v>55</v>
      </c>
      <c r="M28" s="344"/>
      <c r="N28" s="358"/>
      <c r="O28" s="363" t="s">
        <v>528</v>
      </c>
      <c r="P28" s="177" t="s">
        <v>528</v>
      </c>
      <c r="Q28" s="344"/>
      <c r="R28" s="358"/>
      <c r="S28" s="363" t="s">
        <v>529</v>
      </c>
      <c r="T28" s="177" t="s">
        <v>529</v>
      </c>
      <c r="U28" s="344"/>
      <c r="V28" s="358"/>
      <c r="W28" s="363" t="s">
        <v>530</v>
      </c>
      <c r="X28" s="177" t="s">
        <v>530</v>
      </c>
      <c r="Y28" s="344"/>
      <c r="Z28" s="358"/>
    </row>
    <row r="29" spans="2:26" ht="18.75" thickBot="1" x14ac:dyDescent="0.4">
      <c r="B29" s="347"/>
      <c r="C29" s="364"/>
      <c r="D29" s="209" t="s">
        <v>293</v>
      </c>
      <c r="E29" s="345"/>
      <c r="F29" s="345"/>
      <c r="G29" s="364"/>
      <c r="H29" s="209" t="s">
        <v>233</v>
      </c>
      <c r="I29" s="345"/>
      <c r="J29" s="345"/>
      <c r="K29" s="364"/>
      <c r="L29" s="209" t="s">
        <v>234</v>
      </c>
      <c r="M29" s="345"/>
      <c r="N29" s="359"/>
      <c r="O29" s="364"/>
      <c r="P29" s="209" t="s">
        <v>533</v>
      </c>
      <c r="Q29" s="345"/>
      <c r="R29" s="359"/>
      <c r="S29" s="364"/>
      <c r="T29" s="209" t="s">
        <v>561</v>
      </c>
      <c r="U29" s="345"/>
      <c r="V29" s="359"/>
      <c r="W29" s="364"/>
      <c r="X29" s="209" t="s">
        <v>554</v>
      </c>
      <c r="Y29" s="345"/>
      <c r="Z29" s="359"/>
    </row>
    <row r="30" spans="2:26" x14ac:dyDescent="0.25">
      <c r="B30" s="44">
        <v>1</v>
      </c>
      <c r="C30" s="157">
        <v>1.3410200000000001</v>
      </c>
      <c r="D30" s="58">
        <f>B30/0.74569987158227</f>
        <v>1.3410220895950282</v>
      </c>
      <c r="E30" s="54">
        <f>C30-D30</f>
        <v>-2.0895950281207831E-6</v>
      </c>
      <c r="F30" s="54">
        <f>(100*E30)/D30</f>
        <v>-1.558210744128618E-4</v>
      </c>
      <c r="G30" s="157">
        <v>101.97199999999999</v>
      </c>
      <c r="H30" s="58">
        <f>B30*1000/9.80665</f>
        <v>101.97162129779284</v>
      </c>
      <c r="I30" s="54">
        <f>G30-H30</f>
        <v>3.7870220715774394E-4</v>
      </c>
      <c r="J30" s="54">
        <f>(100*I30)/H30</f>
        <v>3.713799999823489E-4</v>
      </c>
      <c r="K30" s="157">
        <v>1000</v>
      </c>
      <c r="L30" s="58">
        <f>B30*1000</f>
        <v>1000</v>
      </c>
      <c r="M30" s="54">
        <f>K30-L30</f>
        <v>0</v>
      </c>
      <c r="N30" s="54">
        <f>(100*M30)/L30</f>
        <v>0</v>
      </c>
      <c r="O30" s="230">
        <v>1000000</v>
      </c>
      <c r="P30" s="58">
        <f>B30*1000000</f>
        <v>1000000</v>
      </c>
      <c r="Q30" s="54">
        <f>O30-P30</f>
        <v>0</v>
      </c>
      <c r="R30" s="54">
        <f>(100*Q30)/P30</f>
        <v>0</v>
      </c>
      <c r="S30" s="230">
        <v>60</v>
      </c>
      <c r="T30" s="58">
        <v>60</v>
      </c>
      <c r="U30" s="54">
        <f>S30-T30</f>
        <v>0</v>
      </c>
      <c r="V30" s="54">
        <f>(100*U30)/T30</f>
        <v>0</v>
      </c>
      <c r="W30" s="230">
        <v>30</v>
      </c>
      <c r="X30" s="58">
        <v>30</v>
      </c>
      <c r="Y30" s="54">
        <f>W30-X30</f>
        <v>0</v>
      </c>
      <c r="Z30" s="162">
        <f>(100*Y30)/X30</f>
        <v>0</v>
      </c>
    </row>
    <row r="31" spans="2:26" x14ac:dyDescent="0.25">
      <c r="B31" s="47">
        <v>987</v>
      </c>
      <c r="C31" s="155">
        <v>1323.59</v>
      </c>
      <c r="D31" s="26">
        <f t="shared" ref="D31:D35" si="32">B31/0.74569987158227</f>
        <v>1323.5888024302928</v>
      </c>
      <c r="E31" s="52">
        <f t="shared" ref="E31:E35" si="33">C31-D31</f>
        <v>1.1975697070738534E-3</v>
      </c>
      <c r="F31" s="52">
        <f t="shared" ref="F31:F35" si="34">(100*E31)/D31</f>
        <v>9.0478984475763846E-5</v>
      </c>
      <c r="G31" s="155">
        <v>100646</v>
      </c>
      <c r="H31" s="26">
        <f t="shared" ref="H31:H35" si="35">B31*1000/9.80665</f>
        <v>100645.99022092152</v>
      </c>
      <c r="I31" s="52">
        <f t="shared" ref="I31:I35" si="36">G31-H31</f>
        <v>9.7790784784592688E-3</v>
      </c>
      <c r="J31" s="52">
        <f t="shared" ref="J31:J35" si="37">(100*I31)/H31</f>
        <v>9.7163120527641928E-6</v>
      </c>
      <c r="K31" s="155">
        <v>987000</v>
      </c>
      <c r="L31" s="26">
        <f t="shared" ref="L31:L35" si="38">B31*1000</f>
        <v>987000</v>
      </c>
      <c r="M31" s="52">
        <f t="shared" ref="M31:M35" si="39">K31-L31</f>
        <v>0</v>
      </c>
      <c r="N31" s="52">
        <f t="shared" ref="N31:N35" si="40">(100*M31)/L31</f>
        <v>0</v>
      </c>
      <c r="O31" s="231">
        <v>987000000</v>
      </c>
      <c r="P31" s="26">
        <f>B31*1000000</f>
        <v>987000000</v>
      </c>
      <c r="Q31" s="52">
        <f t="shared" ref="Q31:Q35" si="41">O31-P31</f>
        <v>0</v>
      </c>
      <c r="R31" s="52">
        <f t="shared" ref="R31:R35" si="42">(100*Q31)/P31</f>
        <v>0</v>
      </c>
      <c r="S31" s="245">
        <v>89.943200000000004</v>
      </c>
      <c r="T31" s="26">
        <v>89.943171526696304</v>
      </c>
      <c r="U31" s="52">
        <f t="shared" ref="U31:U34" si="43">S31-T31</f>
        <v>2.8473303700593533E-5</v>
      </c>
      <c r="V31" s="52">
        <f t="shared" ref="V31:V34" si="44">(100*U31)/T31</f>
        <v>3.1656993207252299E-5</v>
      </c>
      <c r="W31" s="245">
        <v>59.943199999999997</v>
      </c>
      <c r="X31" s="26">
        <v>59.943171526696297</v>
      </c>
      <c r="Y31" s="52">
        <f t="shared" ref="Y31:Y34" si="45">W31-X31</f>
        <v>2.8473303700593533E-5</v>
      </c>
      <c r="Z31" s="153">
        <f t="shared" ref="Z31:Z34" si="46">(100*Y31)/X31</f>
        <v>4.750049584532353E-5</v>
      </c>
    </row>
    <row r="32" spans="2:26" x14ac:dyDescent="0.25">
      <c r="B32" s="47">
        <v>3687</v>
      </c>
      <c r="C32" s="155">
        <v>4944.3500000000004</v>
      </c>
      <c r="D32" s="26">
        <f t="shared" si="32"/>
        <v>4944.3484443368689</v>
      </c>
      <c r="E32" s="52">
        <f t="shared" si="33"/>
        <v>1.5556631315121194E-3</v>
      </c>
      <c r="F32" s="52">
        <f t="shared" si="34"/>
        <v>3.1463460737560605E-5</v>
      </c>
      <c r="G32" s="155">
        <v>375969</v>
      </c>
      <c r="H32" s="26">
        <f t="shared" si="35"/>
        <v>375969.36772496218</v>
      </c>
      <c r="I32" s="52">
        <f t="shared" si="36"/>
        <v>-0.36772496218327433</v>
      </c>
      <c r="J32" s="52">
        <f t="shared" si="37"/>
        <v>-9.7807160303623722E-5</v>
      </c>
      <c r="K32" s="159">
        <v>3687000</v>
      </c>
      <c r="L32" s="26">
        <f t="shared" si="38"/>
        <v>3687000</v>
      </c>
      <c r="M32" s="52">
        <f t="shared" si="39"/>
        <v>0</v>
      </c>
      <c r="N32" s="52">
        <f t="shared" si="40"/>
        <v>0</v>
      </c>
      <c r="O32" s="231">
        <v>3687000000</v>
      </c>
      <c r="P32" s="26">
        <f t="shared" ref="P32:P35" si="47">B32*1000000</f>
        <v>3687000000</v>
      </c>
      <c r="Q32" s="52">
        <f t="shared" si="41"/>
        <v>0</v>
      </c>
      <c r="R32" s="52">
        <f t="shared" si="42"/>
        <v>0</v>
      </c>
      <c r="S32" s="231">
        <v>95.666700000000006</v>
      </c>
      <c r="T32" s="26">
        <v>95.666731376061094</v>
      </c>
      <c r="U32" s="52">
        <f t="shared" si="43"/>
        <v>-3.1376061087939888E-5</v>
      </c>
      <c r="V32" s="52">
        <f t="shared" si="44"/>
        <v>-3.2797254214322611E-5</v>
      </c>
      <c r="W32" s="231">
        <v>65.666700000000006</v>
      </c>
      <c r="X32" s="26">
        <v>65.666731376061094</v>
      </c>
      <c r="Y32" s="52">
        <f t="shared" si="45"/>
        <v>-3.1376061087939888E-5</v>
      </c>
      <c r="Z32" s="153">
        <f t="shared" si="46"/>
        <v>-4.7780756602997417E-5</v>
      </c>
    </row>
    <row r="33" spans="2:26" x14ac:dyDescent="0.25">
      <c r="B33" s="47">
        <v>3344556677</v>
      </c>
      <c r="C33" s="155">
        <v>4485124384</v>
      </c>
      <c r="D33" s="26">
        <f t="shared" si="32"/>
        <v>4485124383.7595444</v>
      </c>
      <c r="E33" s="52">
        <f t="shared" si="33"/>
        <v>0.24045562744140625</v>
      </c>
      <c r="F33" s="52">
        <f t="shared" si="34"/>
        <v>5.361180802746217E-9</v>
      </c>
      <c r="G33" s="155">
        <v>341049866876</v>
      </c>
      <c r="H33" s="26">
        <f t="shared" si="35"/>
        <v>341049866876.0484</v>
      </c>
      <c r="I33" s="52">
        <f t="shared" si="36"/>
        <v>-4.840087890625E-2</v>
      </c>
      <c r="J33" s="52">
        <f t="shared" si="37"/>
        <v>-1.4191730772274682E-11</v>
      </c>
      <c r="K33" s="155">
        <v>3344556677000</v>
      </c>
      <c r="L33" s="26">
        <f t="shared" si="38"/>
        <v>3344556677000</v>
      </c>
      <c r="M33" s="52">
        <f t="shared" si="39"/>
        <v>0</v>
      </c>
      <c r="N33" s="52">
        <f t="shared" si="40"/>
        <v>0</v>
      </c>
      <c r="O33" s="231">
        <v>3344556677000000</v>
      </c>
      <c r="P33" s="26">
        <f t="shared" si="47"/>
        <v>3344556677000000</v>
      </c>
      <c r="Q33" s="52">
        <f t="shared" si="41"/>
        <v>0</v>
      </c>
      <c r="R33" s="52">
        <f t="shared" si="42"/>
        <v>0</v>
      </c>
      <c r="S33" s="245">
        <v>155.24299999999999</v>
      </c>
      <c r="T33" s="26">
        <v>155.243385599238</v>
      </c>
      <c r="U33" s="52">
        <f t="shared" si="43"/>
        <v>-3.8559923800107754E-4</v>
      </c>
      <c r="V33" s="52">
        <f t="shared" si="44"/>
        <v>-2.483836825077398E-4</v>
      </c>
      <c r="W33" s="245">
        <v>125.24299999999999</v>
      </c>
      <c r="X33" s="26">
        <v>125.243385599238</v>
      </c>
      <c r="Y33" s="52">
        <f t="shared" si="45"/>
        <v>-3.8559923800107754E-4</v>
      </c>
      <c r="Z33" s="153">
        <f t="shared" si="46"/>
        <v>-3.0787992208621961E-4</v>
      </c>
    </row>
    <row r="34" spans="2:26" x14ac:dyDescent="0.25">
      <c r="B34" s="85">
        <v>0.65469999999999995</v>
      </c>
      <c r="C34" s="155">
        <v>0.87796700000000005</v>
      </c>
      <c r="D34" s="26">
        <f t="shared" si="32"/>
        <v>0.87796716205786496</v>
      </c>
      <c r="E34" s="52">
        <f t="shared" si="33"/>
        <v>-1.6205786490530727E-7</v>
      </c>
      <c r="F34" s="52">
        <f t="shared" si="34"/>
        <v>-1.8458305949104093E-5</v>
      </c>
      <c r="G34" s="155">
        <v>66.760800000000003</v>
      </c>
      <c r="H34" s="26">
        <f t="shared" si="35"/>
        <v>66.760820463664956</v>
      </c>
      <c r="I34" s="52">
        <f t="shared" si="36"/>
        <v>-2.0463664952785621E-5</v>
      </c>
      <c r="J34" s="52">
        <f t="shared" si="37"/>
        <v>-3.0652207103900277E-5</v>
      </c>
      <c r="K34" s="155">
        <v>654.70000000000005</v>
      </c>
      <c r="L34" s="26">
        <f t="shared" si="38"/>
        <v>654.69999999999993</v>
      </c>
      <c r="M34" s="52">
        <f t="shared" si="39"/>
        <v>0</v>
      </c>
      <c r="N34" s="52">
        <f t="shared" si="40"/>
        <v>0</v>
      </c>
      <c r="O34" s="231">
        <v>654700</v>
      </c>
      <c r="P34" s="26">
        <f t="shared" si="47"/>
        <v>654700</v>
      </c>
      <c r="Q34" s="52">
        <f t="shared" si="41"/>
        <v>0</v>
      </c>
      <c r="R34" s="52">
        <f t="shared" si="42"/>
        <v>0</v>
      </c>
      <c r="S34" s="245">
        <v>58.160400000000003</v>
      </c>
      <c r="T34" s="26">
        <v>58.160423409219902</v>
      </c>
      <c r="U34" s="52">
        <f t="shared" si="43"/>
        <v>-2.3409219899406253E-5</v>
      </c>
      <c r="V34" s="52">
        <f t="shared" si="44"/>
        <v>-4.0249397317309241E-5</v>
      </c>
      <c r="W34" s="245">
        <v>28.160399999999999</v>
      </c>
      <c r="X34" s="26">
        <v>28.160423409219899</v>
      </c>
      <c r="Y34" s="52">
        <f t="shared" si="45"/>
        <v>-2.3409219899406253E-5</v>
      </c>
      <c r="Z34" s="153">
        <f t="shared" si="46"/>
        <v>-8.3128082128700983E-5</v>
      </c>
    </row>
    <row r="35" spans="2:26" ht="15.75" thickBot="1" x14ac:dyDescent="0.3">
      <c r="B35" s="86">
        <v>-741</v>
      </c>
      <c r="C35" s="158">
        <v>-993.697</v>
      </c>
      <c r="D35" s="59">
        <f t="shared" si="32"/>
        <v>-993.69736838991594</v>
      </c>
      <c r="E35" s="57">
        <f t="shared" si="33"/>
        <v>3.6838991593413084E-4</v>
      </c>
      <c r="F35" s="57">
        <f t="shared" si="34"/>
        <v>-3.7072646829188207E-5</v>
      </c>
      <c r="G35" s="158">
        <v>-75561</v>
      </c>
      <c r="H35" s="59">
        <f t="shared" si="35"/>
        <v>-75560.971381664494</v>
      </c>
      <c r="I35" s="57">
        <f t="shared" si="36"/>
        <v>-2.8618335505598225E-2</v>
      </c>
      <c r="J35" s="57">
        <f t="shared" si="37"/>
        <v>3.7874493911737488E-5</v>
      </c>
      <c r="K35" s="158">
        <v>-741000</v>
      </c>
      <c r="L35" s="59">
        <f t="shared" si="38"/>
        <v>-741000</v>
      </c>
      <c r="M35" s="57">
        <f t="shared" si="39"/>
        <v>0</v>
      </c>
      <c r="N35" s="57">
        <f t="shared" si="40"/>
        <v>0</v>
      </c>
      <c r="O35" s="232">
        <v>-741000000</v>
      </c>
      <c r="P35" s="26">
        <f t="shared" si="47"/>
        <v>-741000000</v>
      </c>
      <c r="Q35" s="57">
        <f t="shared" si="41"/>
        <v>0</v>
      </c>
      <c r="R35" s="57">
        <f t="shared" si="42"/>
        <v>0</v>
      </c>
      <c r="S35" s="246" t="s">
        <v>539</v>
      </c>
      <c r="T35" s="59" t="s">
        <v>541</v>
      </c>
      <c r="U35" s="57"/>
      <c r="V35" s="57"/>
      <c r="W35" s="246" t="s">
        <v>539</v>
      </c>
      <c r="X35" s="59" t="s">
        <v>541</v>
      </c>
      <c r="Y35" s="57"/>
      <c r="Z35" s="163"/>
    </row>
    <row r="36" spans="2:26" ht="15.75" thickBot="1" x14ac:dyDescent="0.3">
      <c r="C36" s="165"/>
      <c r="D36" s="165"/>
      <c r="E36" s="164"/>
      <c r="F36" s="164"/>
      <c r="G36" s="165"/>
      <c r="H36" s="165"/>
      <c r="I36" s="164"/>
      <c r="J36" s="164"/>
      <c r="K36" s="165"/>
      <c r="L36" s="165"/>
      <c r="M36" s="164"/>
      <c r="N36" s="164"/>
      <c r="O36" s="165"/>
      <c r="P36" s="165"/>
      <c r="Q36" s="164"/>
      <c r="R36" s="164"/>
      <c r="S36" s="165"/>
      <c r="T36" s="165"/>
      <c r="U36" s="164"/>
      <c r="V36" s="164"/>
      <c r="W36" s="165"/>
      <c r="X36" s="165"/>
      <c r="Y36" s="164"/>
      <c r="Z36" s="164"/>
    </row>
    <row r="37" spans="2:26" x14ac:dyDescent="0.25">
      <c r="B37" s="341" t="s">
        <v>10</v>
      </c>
      <c r="C37" s="166" t="s">
        <v>14</v>
      </c>
      <c r="D37" s="168" t="s">
        <v>14</v>
      </c>
      <c r="E37" s="343" t="s">
        <v>354</v>
      </c>
      <c r="F37" s="352" t="s">
        <v>355</v>
      </c>
      <c r="G37" s="166" t="s">
        <v>14</v>
      </c>
      <c r="H37" s="168" t="s">
        <v>14</v>
      </c>
      <c r="I37" s="343" t="s">
        <v>354</v>
      </c>
      <c r="J37" s="352" t="s">
        <v>355</v>
      </c>
      <c r="K37" s="166" t="s">
        <v>14</v>
      </c>
      <c r="L37" s="168" t="s">
        <v>14</v>
      </c>
      <c r="M37" s="343" t="s">
        <v>354</v>
      </c>
      <c r="N37" s="357" t="s">
        <v>355</v>
      </c>
      <c r="O37" s="166" t="s">
        <v>14</v>
      </c>
      <c r="P37" s="168" t="s">
        <v>14</v>
      </c>
      <c r="Q37" s="343" t="s">
        <v>354</v>
      </c>
      <c r="R37" s="357" t="s">
        <v>355</v>
      </c>
      <c r="S37" s="166" t="s">
        <v>14</v>
      </c>
      <c r="T37" s="168" t="s">
        <v>14</v>
      </c>
      <c r="U37" s="343" t="s">
        <v>354</v>
      </c>
      <c r="V37" s="357" t="s">
        <v>355</v>
      </c>
      <c r="W37" s="166" t="s">
        <v>14</v>
      </c>
      <c r="X37" s="168" t="s">
        <v>14</v>
      </c>
      <c r="Y37" s="343" t="s">
        <v>354</v>
      </c>
      <c r="Z37" s="357" t="s">
        <v>355</v>
      </c>
    </row>
    <row r="38" spans="2:26" ht="15.75" thickBot="1" x14ac:dyDescent="0.3">
      <c r="B38" s="342"/>
      <c r="C38" s="167" t="s">
        <v>290</v>
      </c>
      <c r="D38" s="169" t="s">
        <v>291</v>
      </c>
      <c r="E38" s="344"/>
      <c r="F38" s="353"/>
      <c r="G38" s="167" t="s">
        <v>290</v>
      </c>
      <c r="H38" s="169" t="s">
        <v>291</v>
      </c>
      <c r="I38" s="344"/>
      <c r="J38" s="353"/>
      <c r="K38" s="167" t="s">
        <v>290</v>
      </c>
      <c r="L38" s="169" t="s">
        <v>291</v>
      </c>
      <c r="M38" s="344"/>
      <c r="N38" s="358"/>
      <c r="O38" s="167" t="s">
        <v>290</v>
      </c>
      <c r="P38" s="169" t="s">
        <v>291</v>
      </c>
      <c r="Q38" s="344"/>
      <c r="R38" s="358"/>
      <c r="S38" s="167" t="s">
        <v>290</v>
      </c>
      <c r="T38" s="169" t="s">
        <v>291</v>
      </c>
      <c r="U38" s="344"/>
      <c r="V38" s="358"/>
      <c r="W38" s="167" t="s">
        <v>290</v>
      </c>
      <c r="X38" s="169" t="s">
        <v>291</v>
      </c>
      <c r="Y38" s="344"/>
      <c r="Z38" s="358"/>
    </row>
    <row r="39" spans="2:26" ht="15.75" thickBot="1" x14ac:dyDescent="0.3">
      <c r="B39" s="346" t="s">
        <v>55</v>
      </c>
      <c r="C39" s="363" t="s">
        <v>52</v>
      </c>
      <c r="D39" s="177" t="s">
        <v>52</v>
      </c>
      <c r="E39" s="344"/>
      <c r="F39" s="354"/>
      <c r="G39" s="363" t="s">
        <v>53</v>
      </c>
      <c r="H39" s="177" t="s">
        <v>53</v>
      </c>
      <c r="I39" s="344"/>
      <c r="J39" s="354"/>
      <c r="K39" s="363" t="s">
        <v>54</v>
      </c>
      <c r="L39" s="177" t="s">
        <v>54</v>
      </c>
      <c r="M39" s="344"/>
      <c r="N39" s="358"/>
      <c r="O39" s="363" t="s">
        <v>528</v>
      </c>
      <c r="P39" s="177" t="s">
        <v>528</v>
      </c>
      <c r="Q39" s="344"/>
      <c r="R39" s="358"/>
      <c r="S39" s="363" t="s">
        <v>529</v>
      </c>
      <c r="T39" s="177" t="s">
        <v>529</v>
      </c>
      <c r="U39" s="344"/>
      <c r="V39" s="358"/>
      <c r="W39" s="363" t="s">
        <v>530</v>
      </c>
      <c r="X39" s="177" t="s">
        <v>530</v>
      </c>
      <c r="Y39" s="344"/>
      <c r="Z39" s="358"/>
    </row>
    <row r="40" spans="2:26" ht="45.75" thickBot="1" x14ac:dyDescent="0.3">
      <c r="B40" s="347"/>
      <c r="C40" s="364"/>
      <c r="D40" s="208" t="s">
        <v>294</v>
      </c>
      <c r="E40" s="345"/>
      <c r="F40" s="345"/>
      <c r="G40" s="364"/>
      <c r="H40" s="208" t="s">
        <v>236</v>
      </c>
      <c r="I40" s="345"/>
      <c r="J40" s="345"/>
      <c r="K40" s="364"/>
      <c r="L40" s="210" t="s">
        <v>235</v>
      </c>
      <c r="M40" s="345"/>
      <c r="N40" s="359"/>
      <c r="O40" s="364"/>
      <c r="P40" s="222" t="s">
        <v>534</v>
      </c>
      <c r="Q40" s="345"/>
      <c r="R40" s="359"/>
      <c r="S40" s="364"/>
      <c r="T40" s="222" t="s">
        <v>560</v>
      </c>
      <c r="U40" s="345"/>
      <c r="V40" s="359"/>
      <c r="W40" s="364"/>
      <c r="X40" s="222" t="s">
        <v>555</v>
      </c>
      <c r="Y40" s="345"/>
      <c r="Z40" s="359"/>
    </row>
    <row r="41" spans="2:26" x14ac:dyDescent="0.25">
      <c r="B41" s="44">
        <v>1</v>
      </c>
      <c r="C41" s="157">
        <v>1.3410200000000001E-3</v>
      </c>
      <c r="D41" s="58">
        <f>L41/0.74569987158227</f>
        <v>1.3410220895950283E-3</v>
      </c>
      <c r="E41" s="54">
        <f>C41-D41</f>
        <v>-2.089595028259561E-9</v>
      </c>
      <c r="F41" s="54">
        <f>(100*E41)/D41</f>
        <v>-1.5582107442321046E-4</v>
      </c>
      <c r="G41" s="157">
        <v>0.10197199999999999</v>
      </c>
      <c r="H41" s="58">
        <f>L41*1000/9.80665</f>
        <v>0.10197162129779283</v>
      </c>
      <c r="I41" s="54">
        <f>G41-H41</f>
        <v>3.7870220716273995E-7</v>
      </c>
      <c r="J41" s="54">
        <f>(100*I41)/H41</f>
        <v>3.7137999998724836E-4</v>
      </c>
      <c r="K41" s="157">
        <v>1E-3</v>
      </c>
      <c r="L41" s="58">
        <f>B41/1000</f>
        <v>1E-3</v>
      </c>
      <c r="M41" s="54">
        <f>K41-L41</f>
        <v>0</v>
      </c>
      <c r="N41" s="54">
        <f>(100*M41)/L41</f>
        <v>0</v>
      </c>
      <c r="O41" s="230">
        <v>1000</v>
      </c>
      <c r="P41" s="26">
        <f>K41*1000000</f>
        <v>1000</v>
      </c>
      <c r="Q41" s="54">
        <f>O41-P41</f>
        <v>0</v>
      </c>
      <c r="R41" s="54">
        <f>(100*Q41)/P41</f>
        <v>0</v>
      </c>
      <c r="S41" s="230">
        <v>30</v>
      </c>
      <c r="T41" s="58">
        <v>30</v>
      </c>
      <c r="U41" s="54">
        <f>S41-T41</f>
        <v>0</v>
      </c>
      <c r="V41" s="54">
        <f>(100*U41)/T41</f>
        <v>0</v>
      </c>
      <c r="W41" s="230">
        <v>0</v>
      </c>
      <c r="X41" s="58">
        <v>0</v>
      </c>
      <c r="Y41" s="54">
        <f>W41-X41</f>
        <v>0</v>
      </c>
      <c r="Z41" s="162">
        <v>0</v>
      </c>
    </row>
    <row r="42" spans="2:26" x14ac:dyDescent="0.25">
      <c r="B42" s="47">
        <v>987</v>
      </c>
      <c r="C42" s="155">
        <v>1.32359</v>
      </c>
      <c r="D42" s="26">
        <f t="shared" ref="D42:D46" si="48">L42/0.74569987158227</f>
        <v>1.3235888024302929</v>
      </c>
      <c r="E42" s="52">
        <f t="shared" ref="E42:E46" si="49">C42-D42</f>
        <v>1.1975697071786584E-6</v>
      </c>
      <c r="F42" s="52">
        <f t="shared" ref="F42:F46" si="50">(100*E42)/D42</f>
        <v>9.04789844836821E-5</v>
      </c>
      <c r="G42" s="155">
        <v>100.646</v>
      </c>
      <c r="H42" s="26">
        <f t="shared" ref="H42:H46" si="51">L42*1000/9.80665</f>
        <v>100.64599022092152</v>
      </c>
      <c r="I42" s="52">
        <f t="shared" ref="I42:I46" si="52">G42-H42</f>
        <v>9.7790784820972476E-6</v>
      </c>
      <c r="J42" s="52">
        <f t="shared" ref="J42:J46" si="53">(100*I42)/H42</f>
        <v>9.7163120563788212E-6</v>
      </c>
      <c r="K42" s="155">
        <v>0.98699999999999999</v>
      </c>
      <c r="L42" s="26">
        <f t="shared" ref="L42:L46" si="54">B42/1000</f>
        <v>0.98699999999999999</v>
      </c>
      <c r="M42" s="52">
        <f t="shared" ref="M42:M46" si="55">K42-L42</f>
        <v>0</v>
      </c>
      <c r="N42" s="52">
        <f t="shared" ref="N42:N46" si="56">(100*M42)/L42</f>
        <v>0</v>
      </c>
      <c r="O42" s="231">
        <v>987000</v>
      </c>
      <c r="P42" s="26">
        <f t="shared" ref="P42:P46" si="57">K42*1000000</f>
        <v>987000</v>
      </c>
      <c r="Q42" s="52">
        <f t="shared" ref="Q42:Q46" si="58">O42-P42</f>
        <v>0</v>
      </c>
      <c r="R42" s="52">
        <f t="shared" ref="R42:R46" si="59">(100*Q42)/P42</f>
        <v>0</v>
      </c>
      <c r="S42" s="245">
        <v>59.943199999999997</v>
      </c>
      <c r="T42" s="26">
        <v>59.943171526696297</v>
      </c>
      <c r="U42" s="52">
        <f t="shared" ref="U42:U45" si="60">S42-T42</f>
        <v>2.8473303700593533E-5</v>
      </c>
      <c r="V42" s="52">
        <f t="shared" ref="V42:V45" si="61">(100*U42)/T42</f>
        <v>4.750049584532353E-5</v>
      </c>
      <c r="W42" s="245">
        <v>29.943200000000001</v>
      </c>
      <c r="X42" s="26">
        <v>29.9431715266963</v>
      </c>
      <c r="Y42" s="52">
        <f t="shared" ref="Y42:Y45" si="62">W42-X42</f>
        <v>2.8473303700593533E-5</v>
      </c>
      <c r="Z42" s="153">
        <f t="shared" ref="Z42:Z45" si="63">(100*Y42)/X42</f>
        <v>9.5091141815781654E-5</v>
      </c>
    </row>
    <row r="43" spans="2:26" x14ac:dyDescent="0.25">
      <c r="B43" s="47">
        <v>3687</v>
      </c>
      <c r="C43" s="155">
        <v>4.94435</v>
      </c>
      <c r="D43" s="26">
        <f t="shared" si="48"/>
        <v>4.9443484443368693</v>
      </c>
      <c r="E43" s="52">
        <f t="shared" si="49"/>
        <v>1.5556631307589441E-6</v>
      </c>
      <c r="F43" s="52">
        <f t="shared" si="50"/>
        <v>3.1463460722327551E-5</v>
      </c>
      <c r="G43" s="155">
        <v>375.96899999999999</v>
      </c>
      <c r="H43" s="26">
        <f t="shared" si="51"/>
        <v>375.96936772496218</v>
      </c>
      <c r="I43" s="52">
        <f t="shared" si="52"/>
        <v>-3.677249621887313E-4</v>
      </c>
      <c r="J43" s="52">
        <f t="shared" si="53"/>
        <v>-9.780716030507517E-5</v>
      </c>
      <c r="K43" s="159">
        <v>3.6869999999999998</v>
      </c>
      <c r="L43" s="26">
        <f t="shared" si="54"/>
        <v>3.6869999999999998</v>
      </c>
      <c r="M43" s="52">
        <f t="shared" si="55"/>
        <v>0</v>
      </c>
      <c r="N43" s="52">
        <f t="shared" si="56"/>
        <v>0</v>
      </c>
      <c r="O43" s="231">
        <v>3687000</v>
      </c>
      <c r="P43" s="26">
        <f t="shared" si="57"/>
        <v>3687000</v>
      </c>
      <c r="Q43" s="52">
        <f t="shared" si="58"/>
        <v>0</v>
      </c>
      <c r="R43" s="52">
        <f t="shared" si="59"/>
        <v>0</v>
      </c>
      <c r="S43" s="231">
        <v>65.666700000000006</v>
      </c>
      <c r="T43" s="26">
        <v>65.666731376061094</v>
      </c>
      <c r="U43" s="52">
        <f t="shared" si="60"/>
        <v>-3.1376061087939888E-5</v>
      </c>
      <c r="V43" s="52">
        <f t="shared" si="61"/>
        <v>-4.7780756602997417E-5</v>
      </c>
      <c r="W43" s="231">
        <v>35.666699999999999</v>
      </c>
      <c r="X43" s="26">
        <v>35.666731376061101</v>
      </c>
      <c r="Y43" s="52">
        <f t="shared" si="62"/>
        <v>-3.1376061102150743E-5</v>
      </c>
      <c r="Z43" s="153">
        <f t="shared" si="63"/>
        <v>-8.7970105169799261E-5</v>
      </c>
    </row>
    <row r="44" spans="2:26" x14ac:dyDescent="0.25">
      <c r="B44" s="47">
        <v>3344556677</v>
      </c>
      <c r="C44" s="155">
        <v>4485124</v>
      </c>
      <c r="D44" s="26">
        <f t="shared" si="48"/>
        <v>4485124.3837595442</v>
      </c>
      <c r="E44" s="52">
        <f t="shared" si="49"/>
        <v>-0.38375954423099756</v>
      </c>
      <c r="F44" s="52">
        <f t="shared" si="50"/>
        <v>-8.5562742835087362E-6</v>
      </c>
      <c r="G44" s="155">
        <v>341049867</v>
      </c>
      <c r="H44" s="26">
        <f t="shared" si="51"/>
        <v>341049866.87604839</v>
      </c>
      <c r="I44" s="52">
        <f t="shared" si="52"/>
        <v>0.12395161390304565</v>
      </c>
      <c r="J44" s="52">
        <f t="shared" si="53"/>
        <v>3.6344132029259754E-8</v>
      </c>
      <c r="K44" s="155">
        <v>3344557</v>
      </c>
      <c r="L44" s="26">
        <f t="shared" si="54"/>
        <v>3344556.6770000001</v>
      </c>
      <c r="M44" s="52">
        <f t="shared" si="55"/>
        <v>0.32299999985843897</v>
      </c>
      <c r="N44" s="52">
        <f t="shared" si="56"/>
        <v>9.6574832198138577E-6</v>
      </c>
      <c r="O44" s="231">
        <v>3344556677000</v>
      </c>
      <c r="P44" s="26">
        <f t="shared" si="57"/>
        <v>3344557000000</v>
      </c>
      <c r="Q44" s="52">
        <f t="shared" si="58"/>
        <v>-323000</v>
      </c>
      <c r="R44" s="52">
        <f t="shared" si="59"/>
        <v>-9.6574822913767057E-6</v>
      </c>
      <c r="S44" s="245">
        <v>125.24299999999999</v>
      </c>
      <c r="T44" s="26">
        <v>125.24338601865701</v>
      </c>
      <c r="U44" s="52">
        <f t="shared" si="60"/>
        <v>-3.8601865701082261E-4</v>
      </c>
      <c r="V44" s="52">
        <f t="shared" si="61"/>
        <v>-3.0821480421594396E-4</v>
      </c>
      <c r="W44" s="245">
        <v>95.243399999999994</v>
      </c>
      <c r="X44" s="26">
        <v>95.243385599238096</v>
      </c>
      <c r="Y44" s="52">
        <f t="shared" si="62"/>
        <v>1.4400761898514247E-5</v>
      </c>
      <c r="Z44" s="153">
        <f t="shared" si="63"/>
        <v>1.5119960097921432E-5</v>
      </c>
    </row>
    <row r="45" spans="2:26" x14ac:dyDescent="0.25">
      <c r="B45" s="85">
        <v>0.65469999999999995</v>
      </c>
      <c r="C45" s="155">
        <v>8.7796700000000001E-4</v>
      </c>
      <c r="D45" s="26">
        <f t="shared" si="48"/>
        <v>8.7796716205786496E-4</v>
      </c>
      <c r="E45" s="52">
        <f t="shared" si="49"/>
        <v>-1.6205786495734897E-10</v>
      </c>
      <c r="F45" s="52">
        <f t="shared" si="50"/>
        <v>-1.8458305955031616E-5</v>
      </c>
      <c r="G45" s="155">
        <v>6.6760799999999995E-2</v>
      </c>
      <c r="H45" s="26">
        <f t="shared" si="51"/>
        <v>6.6760820463664966E-2</v>
      </c>
      <c r="I45" s="52">
        <f t="shared" si="52"/>
        <v>-2.0463664970882256E-8</v>
      </c>
      <c r="J45" s="52">
        <f t="shared" si="53"/>
        <v>-3.0652207131006944E-5</v>
      </c>
      <c r="K45" s="155">
        <v>6.5470000000000003E-4</v>
      </c>
      <c r="L45" s="26">
        <f t="shared" si="54"/>
        <v>6.5469999999999992E-4</v>
      </c>
      <c r="M45" s="52">
        <f t="shared" si="55"/>
        <v>0</v>
      </c>
      <c r="N45" s="52">
        <f t="shared" si="56"/>
        <v>0</v>
      </c>
      <c r="O45" s="231">
        <v>654.70000000000005</v>
      </c>
      <c r="P45" s="26">
        <f t="shared" si="57"/>
        <v>654.70000000000005</v>
      </c>
      <c r="Q45" s="52">
        <f t="shared" si="58"/>
        <v>0</v>
      </c>
      <c r="R45" s="52">
        <f t="shared" si="59"/>
        <v>0</v>
      </c>
      <c r="S45" s="231">
        <v>28.160399999999999</v>
      </c>
      <c r="T45" s="26">
        <v>28.160423409219899</v>
      </c>
      <c r="U45" s="52">
        <f t="shared" si="60"/>
        <v>-2.3409219899406253E-5</v>
      </c>
      <c r="V45" s="52">
        <f t="shared" si="61"/>
        <v>-8.3128082128700983E-5</v>
      </c>
      <c r="W45" s="245">
        <v>-1.83958</v>
      </c>
      <c r="X45" s="26">
        <v>-1.8395765907800301</v>
      </c>
      <c r="Y45" s="52">
        <f t="shared" si="62"/>
        <v>-3.4092199698854131E-6</v>
      </c>
      <c r="Z45" s="153">
        <f t="shared" si="63"/>
        <v>1.8532634014655579E-4</v>
      </c>
    </row>
    <row r="46" spans="2:26" ht="15.75" thickBot="1" x14ac:dyDescent="0.3">
      <c r="B46" s="86">
        <v>-741</v>
      </c>
      <c r="C46" s="158">
        <v>-0.99369700000000005</v>
      </c>
      <c r="D46" s="59">
        <f t="shared" si="48"/>
        <v>-0.99369736838991596</v>
      </c>
      <c r="E46" s="57">
        <f t="shared" si="49"/>
        <v>3.6838991590570913E-7</v>
      </c>
      <c r="F46" s="57">
        <f t="shared" si="50"/>
        <v>-3.7072646826328007E-5</v>
      </c>
      <c r="G46" s="158">
        <v>-75.561000000000007</v>
      </c>
      <c r="H46" s="59">
        <f t="shared" si="51"/>
        <v>-75.560971381664487</v>
      </c>
      <c r="I46" s="57">
        <f t="shared" si="52"/>
        <v>-2.8618335520036453E-5</v>
      </c>
      <c r="J46" s="57">
        <f t="shared" si="53"/>
        <v>3.7874493930845542E-5</v>
      </c>
      <c r="K46" s="158">
        <v>-0.74099999999999999</v>
      </c>
      <c r="L46" s="59">
        <f t="shared" si="54"/>
        <v>-0.74099999999999999</v>
      </c>
      <c r="M46" s="57">
        <f t="shared" si="55"/>
        <v>0</v>
      </c>
      <c r="N46" s="57">
        <f t="shared" si="56"/>
        <v>0</v>
      </c>
      <c r="O46" s="232">
        <v>-741000</v>
      </c>
      <c r="P46" s="26">
        <f t="shared" si="57"/>
        <v>-741000</v>
      </c>
      <c r="Q46" s="57">
        <f t="shared" si="58"/>
        <v>0</v>
      </c>
      <c r="R46" s="57">
        <f t="shared" si="59"/>
        <v>0</v>
      </c>
      <c r="S46" s="246" t="s">
        <v>539</v>
      </c>
      <c r="T46" s="59" t="s">
        <v>541</v>
      </c>
      <c r="U46" s="57"/>
      <c r="V46" s="57"/>
      <c r="W46" s="246" t="s">
        <v>539</v>
      </c>
      <c r="X46" s="59" t="s">
        <v>541</v>
      </c>
      <c r="Y46" s="57"/>
      <c r="Z46" s="163"/>
    </row>
    <row r="47" spans="2:26" ht="15.75" thickBot="1" x14ac:dyDescent="0.3">
      <c r="C47" s="165"/>
      <c r="D47" s="165"/>
      <c r="E47" s="164"/>
      <c r="F47" s="164"/>
      <c r="G47" s="165"/>
      <c r="H47" s="165"/>
      <c r="I47" s="164"/>
      <c r="J47" s="164"/>
      <c r="K47" s="165"/>
      <c r="L47" s="165"/>
      <c r="M47" s="164"/>
      <c r="N47" s="164"/>
      <c r="O47" s="165"/>
      <c r="P47" s="165"/>
      <c r="Q47" s="164"/>
      <c r="R47" s="164"/>
      <c r="S47" s="165"/>
      <c r="T47" s="165"/>
      <c r="U47" s="164"/>
      <c r="V47" s="164"/>
      <c r="W47" s="165"/>
      <c r="X47" s="165"/>
      <c r="Y47" s="164"/>
      <c r="Z47" s="164"/>
    </row>
    <row r="48" spans="2:26" x14ac:dyDescent="0.25">
      <c r="B48" s="341" t="s">
        <v>10</v>
      </c>
      <c r="C48" s="166" t="s">
        <v>14</v>
      </c>
      <c r="D48" s="168" t="s">
        <v>14</v>
      </c>
      <c r="E48" s="343" t="s">
        <v>354</v>
      </c>
      <c r="F48" s="352" t="s">
        <v>355</v>
      </c>
      <c r="G48" s="166" t="s">
        <v>14</v>
      </c>
      <c r="H48" s="168" t="s">
        <v>14</v>
      </c>
      <c r="I48" s="343" t="s">
        <v>354</v>
      </c>
      <c r="J48" s="352" t="s">
        <v>355</v>
      </c>
      <c r="K48" s="166" t="s">
        <v>14</v>
      </c>
      <c r="L48" s="168" t="s">
        <v>14</v>
      </c>
      <c r="M48" s="343" t="s">
        <v>354</v>
      </c>
      <c r="N48" s="357" t="s">
        <v>355</v>
      </c>
      <c r="O48" s="166" t="s">
        <v>14</v>
      </c>
      <c r="P48" s="168" t="s">
        <v>14</v>
      </c>
      <c r="Q48" s="343" t="s">
        <v>354</v>
      </c>
      <c r="R48" s="357" t="s">
        <v>355</v>
      </c>
      <c r="S48" s="166" t="s">
        <v>14</v>
      </c>
      <c r="T48" s="168" t="s">
        <v>14</v>
      </c>
      <c r="U48" s="343" t="s">
        <v>354</v>
      </c>
      <c r="V48" s="357" t="s">
        <v>355</v>
      </c>
      <c r="W48" s="166" t="s">
        <v>14</v>
      </c>
      <c r="X48" s="168" t="s">
        <v>14</v>
      </c>
      <c r="Y48" s="343" t="s">
        <v>354</v>
      </c>
      <c r="Z48" s="357" t="s">
        <v>355</v>
      </c>
    </row>
    <row r="49" spans="2:26" ht="15.75" thickBot="1" x14ac:dyDescent="0.3">
      <c r="B49" s="342"/>
      <c r="C49" s="167" t="s">
        <v>290</v>
      </c>
      <c r="D49" s="169" t="s">
        <v>291</v>
      </c>
      <c r="E49" s="344"/>
      <c r="F49" s="353"/>
      <c r="G49" s="167" t="s">
        <v>290</v>
      </c>
      <c r="H49" s="169" t="s">
        <v>291</v>
      </c>
      <c r="I49" s="344"/>
      <c r="J49" s="353"/>
      <c r="K49" s="167" t="s">
        <v>290</v>
      </c>
      <c r="L49" s="169" t="s">
        <v>291</v>
      </c>
      <c r="M49" s="344"/>
      <c r="N49" s="358"/>
      <c r="O49" s="167" t="s">
        <v>290</v>
      </c>
      <c r="P49" s="169" t="s">
        <v>291</v>
      </c>
      <c r="Q49" s="344"/>
      <c r="R49" s="358"/>
      <c r="S49" s="167" t="s">
        <v>290</v>
      </c>
      <c r="T49" s="169" t="s">
        <v>291</v>
      </c>
      <c r="U49" s="344"/>
      <c r="V49" s="358"/>
      <c r="W49" s="167" t="s">
        <v>290</v>
      </c>
      <c r="X49" s="169" t="s">
        <v>291</v>
      </c>
      <c r="Y49" s="344"/>
      <c r="Z49" s="358"/>
    </row>
    <row r="50" spans="2:26" ht="15.75" thickBot="1" x14ac:dyDescent="0.3">
      <c r="B50" s="346" t="s">
        <v>528</v>
      </c>
      <c r="C50" s="363" t="s">
        <v>52</v>
      </c>
      <c r="D50" s="177" t="s">
        <v>52</v>
      </c>
      <c r="E50" s="344"/>
      <c r="F50" s="354"/>
      <c r="G50" s="363" t="s">
        <v>53</v>
      </c>
      <c r="H50" s="177" t="s">
        <v>53</v>
      </c>
      <c r="I50" s="344"/>
      <c r="J50" s="354"/>
      <c r="K50" s="363" t="s">
        <v>54</v>
      </c>
      <c r="L50" s="177" t="s">
        <v>54</v>
      </c>
      <c r="M50" s="344"/>
      <c r="N50" s="358"/>
      <c r="O50" s="363" t="s">
        <v>55</v>
      </c>
      <c r="P50" s="177" t="s">
        <v>55</v>
      </c>
      <c r="Q50" s="344"/>
      <c r="R50" s="358"/>
      <c r="S50" s="363" t="s">
        <v>529</v>
      </c>
      <c r="T50" s="177" t="s">
        <v>529</v>
      </c>
      <c r="U50" s="344"/>
      <c r="V50" s="358"/>
      <c r="W50" s="363" t="s">
        <v>530</v>
      </c>
      <c r="X50" s="177" t="s">
        <v>530</v>
      </c>
      <c r="Y50" s="344"/>
      <c r="Z50" s="358"/>
    </row>
    <row r="51" spans="2:26" ht="45.75" thickBot="1" x14ac:dyDescent="0.3">
      <c r="B51" s="347"/>
      <c r="C51" s="364"/>
      <c r="D51" s="208" t="s">
        <v>535</v>
      </c>
      <c r="E51" s="345"/>
      <c r="F51" s="345"/>
      <c r="G51" s="364"/>
      <c r="H51" s="208" t="s">
        <v>536</v>
      </c>
      <c r="I51" s="345"/>
      <c r="J51" s="345"/>
      <c r="K51" s="364"/>
      <c r="L51" s="202" t="s">
        <v>537</v>
      </c>
      <c r="M51" s="345"/>
      <c r="N51" s="359"/>
      <c r="O51" s="364"/>
      <c r="P51" s="243" t="s">
        <v>538</v>
      </c>
      <c r="Q51" s="345"/>
      <c r="R51" s="359"/>
      <c r="S51" s="364"/>
      <c r="T51" s="222" t="s">
        <v>559</v>
      </c>
      <c r="U51" s="345"/>
      <c r="V51" s="359"/>
      <c r="W51" s="364"/>
      <c r="X51" s="222" t="s">
        <v>556</v>
      </c>
      <c r="Y51" s="345"/>
      <c r="Z51" s="359"/>
    </row>
    <row r="52" spans="2:26" x14ac:dyDescent="0.25">
      <c r="B52" s="44">
        <v>1</v>
      </c>
      <c r="C52" s="154">
        <v>1.34102208959503E-6</v>
      </c>
      <c r="D52" s="58">
        <f>L52/0.74569987158227</f>
        <v>1.3410220895950283E-6</v>
      </c>
      <c r="E52" s="54">
        <f>C52-D52</f>
        <v>1.6940658945086007E-21</v>
      </c>
      <c r="F52" s="54">
        <f>(100*E52)/D52</f>
        <v>1.2632647199869668E-13</v>
      </c>
      <c r="G52" s="157">
        <v>1.0197200000000001E-4</v>
      </c>
      <c r="H52" s="58">
        <f>L52*1000/9.80665</f>
        <v>1.0197162129779284E-4</v>
      </c>
      <c r="I52" s="54">
        <f>G52-H52</f>
        <v>3.7870220716653465E-10</v>
      </c>
      <c r="J52" s="54">
        <f>(100*I52)/H52</f>
        <v>3.7137999999096966E-4</v>
      </c>
      <c r="K52" s="154">
        <v>9.9999999999999995E-7</v>
      </c>
      <c r="L52" s="123">
        <f>B52/1000000</f>
        <v>9.9999999999999995E-7</v>
      </c>
      <c r="M52" s="54">
        <f>K52-L52</f>
        <v>0</v>
      </c>
      <c r="N52" s="54">
        <f>(100*M52)/L52</f>
        <v>0</v>
      </c>
      <c r="O52" s="244">
        <v>1E-3</v>
      </c>
      <c r="P52" s="123">
        <f>L52*1000</f>
        <v>1E-3</v>
      </c>
      <c r="Q52" s="54">
        <f>O52-P52</f>
        <v>0</v>
      </c>
      <c r="R52" s="54">
        <f>(100*Q52)/P52</f>
        <v>0</v>
      </c>
      <c r="S52" s="230">
        <v>0</v>
      </c>
      <c r="T52" s="248">
        <v>0</v>
      </c>
      <c r="U52" s="54">
        <f>S52-T52</f>
        <v>0</v>
      </c>
      <c r="V52" s="54" t="e">
        <f>(100*U52)/T52</f>
        <v>#DIV/0!</v>
      </c>
      <c r="W52" s="244">
        <v>-30</v>
      </c>
      <c r="X52" s="58">
        <v>-30</v>
      </c>
      <c r="Y52" s="54">
        <f>W52-X52</f>
        <v>0</v>
      </c>
      <c r="Z52" s="162">
        <f>(100*Y52)/X52</f>
        <v>0</v>
      </c>
    </row>
    <row r="53" spans="2:26" x14ac:dyDescent="0.25">
      <c r="B53" s="47">
        <v>987</v>
      </c>
      <c r="C53" s="155">
        <v>1.3235899999999999E-3</v>
      </c>
      <c r="D53" s="26">
        <f t="shared" ref="D53:D57" si="64">L53/0.74569987158227</f>
        <v>1.3235888024302929E-3</v>
      </c>
      <c r="E53" s="52">
        <f t="shared" ref="E53:E57" si="65">C53-D53</f>
        <v>1.1975697070294722E-9</v>
      </c>
      <c r="F53" s="52">
        <f t="shared" ref="F53:F57" si="66">(100*E53)/D53</f>
        <v>9.0478984472410761E-5</v>
      </c>
      <c r="G53" s="159">
        <v>0.100646</v>
      </c>
      <c r="H53" s="26">
        <f t="shared" ref="H53:H57" si="67">L53*1000/9.80665</f>
        <v>0.10064599022092152</v>
      </c>
      <c r="I53" s="52">
        <f t="shared" ref="I53:I57" si="68">G53-H53</f>
        <v>9.7790784775453332E-9</v>
      </c>
      <c r="J53" s="52">
        <f t="shared" ref="J53:J57" si="69">(100*I53)/H53</f>
        <v>9.7163120518561227E-6</v>
      </c>
      <c r="K53" s="159">
        <v>9.8700000000000003E-4</v>
      </c>
      <c r="L53" s="26">
        <f t="shared" ref="L53:L57" si="70">B53/1000000</f>
        <v>9.8700000000000003E-4</v>
      </c>
      <c r="M53" s="52">
        <f t="shared" ref="M53:M57" si="71">K53-L53</f>
        <v>0</v>
      </c>
      <c r="N53" s="52">
        <f t="shared" ref="N53:N57" si="72">(100*M53)/L53</f>
        <v>0</v>
      </c>
      <c r="O53" s="245">
        <v>0.98699999999999999</v>
      </c>
      <c r="P53" s="26">
        <f t="shared" ref="P53:P57" si="73">L53*1000</f>
        <v>0.98699999999999999</v>
      </c>
      <c r="Q53" s="52">
        <f t="shared" ref="Q53:Q57" si="74">O53-P53</f>
        <v>0</v>
      </c>
      <c r="R53" s="52">
        <f t="shared" ref="R53:R57" si="75">(100*Q53)/P53</f>
        <v>0</v>
      </c>
      <c r="S53" s="245">
        <v>29.943200000000001</v>
      </c>
      <c r="T53" s="249">
        <v>29.9431715266963</v>
      </c>
      <c r="U53" s="52">
        <f t="shared" ref="U53:U56" si="76">S53-T53</f>
        <v>2.8473303700593533E-5</v>
      </c>
      <c r="V53" s="52">
        <f t="shared" ref="V53:V56" si="77">(100*U53)/T53</f>
        <v>9.5091141815781654E-5</v>
      </c>
      <c r="W53" s="245">
        <v>-5.6828499999999997E-2</v>
      </c>
      <c r="X53" s="26">
        <v>-5.6828473303632603E-2</v>
      </c>
      <c r="Y53" s="52">
        <f t="shared" ref="Y53:Y56" si="78">W53-X53</f>
        <v>-2.6696367394496434E-8</v>
      </c>
      <c r="Z53" s="153">
        <f t="shared" ref="Z53:Z56" si="79">(100*Y53)/X53</f>
        <v>4.6977097645855541E-5</v>
      </c>
    </row>
    <row r="54" spans="2:26" x14ac:dyDescent="0.25">
      <c r="B54" s="47">
        <v>3687</v>
      </c>
      <c r="C54" s="155">
        <v>4.9443500000000001E-3</v>
      </c>
      <c r="D54" s="26">
        <f t="shared" si="64"/>
        <v>4.9443484443368697E-3</v>
      </c>
      <c r="E54" s="52">
        <f t="shared" si="65"/>
        <v>1.5556631304328161E-9</v>
      </c>
      <c r="F54" s="52">
        <f t="shared" si="66"/>
        <v>3.146346071573157E-5</v>
      </c>
      <c r="G54" s="159">
        <v>0.375969</v>
      </c>
      <c r="H54" s="26">
        <f t="shared" si="67"/>
        <v>0.3759693677249622</v>
      </c>
      <c r="I54" s="52">
        <f t="shared" si="68"/>
        <v>-3.6772496220249806E-7</v>
      </c>
      <c r="J54" s="52">
        <f t="shared" si="69"/>
        <v>-9.7807160308736833E-5</v>
      </c>
      <c r="K54" s="159">
        <v>3.6870000000000002E-3</v>
      </c>
      <c r="L54" s="26">
        <f t="shared" si="70"/>
        <v>3.6870000000000002E-3</v>
      </c>
      <c r="M54" s="52">
        <f t="shared" si="71"/>
        <v>0</v>
      </c>
      <c r="N54" s="52">
        <f t="shared" si="72"/>
        <v>0</v>
      </c>
      <c r="O54" s="231">
        <v>3.6869999999999998</v>
      </c>
      <c r="P54" s="26">
        <f t="shared" si="73"/>
        <v>3.6870000000000003</v>
      </c>
      <c r="Q54" s="52">
        <f t="shared" si="74"/>
        <v>0</v>
      </c>
      <c r="R54" s="52">
        <f t="shared" si="75"/>
        <v>0</v>
      </c>
      <c r="S54" s="231">
        <v>35.666699999999999</v>
      </c>
      <c r="T54" s="249">
        <v>35.666731376061101</v>
      </c>
      <c r="U54" s="52">
        <f t="shared" si="76"/>
        <v>-3.1376061102150743E-5</v>
      </c>
      <c r="V54" s="52">
        <f t="shared" si="77"/>
        <v>-8.7970105169799261E-5</v>
      </c>
      <c r="W54" s="231">
        <v>5.6667300000000003</v>
      </c>
      <c r="X54" s="26">
        <v>5.6667313760611604</v>
      </c>
      <c r="Y54" s="52">
        <f t="shared" si="78"/>
        <v>-1.3760611601298933E-6</v>
      </c>
      <c r="Z54" s="153">
        <f t="shared" si="79"/>
        <v>-2.4283154940835892E-5</v>
      </c>
    </row>
    <row r="55" spans="2:26" x14ac:dyDescent="0.25">
      <c r="B55" s="47">
        <v>3344556677</v>
      </c>
      <c r="C55" s="155">
        <v>4485.12</v>
      </c>
      <c r="D55" s="26">
        <f t="shared" si="64"/>
        <v>4485.1243837595439</v>
      </c>
      <c r="E55" s="52">
        <f t="shared" si="65"/>
        <v>-4.3837595439981669E-3</v>
      </c>
      <c r="F55" s="52">
        <f t="shared" si="66"/>
        <v>-9.7739977064439617E-5</v>
      </c>
      <c r="G55" s="159">
        <v>341050</v>
      </c>
      <c r="H55" s="26">
        <f t="shared" si="67"/>
        <v>341049.86687604844</v>
      </c>
      <c r="I55" s="52">
        <f t="shared" si="68"/>
        <v>0.13312395155662671</v>
      </c>
      <c r="J55" s="52">
        <f t="shared" si="69"/>
        <v>3.9033573821921305E-5</v>
      </c>
      <c r="K55" s="159">
        <v>3344.56</v>
      </c>
      <c r="L55" s="26">
        <f t="shared" si="70"/>
        <v>3344.556677</v>
      </c>
      <c r="M55" s="52">
        <f t="shared" si="71"/>
        <v>3.3229999999093707E-3</v>
      </c>
      <c r="N55" s="52">
        <f t="shared" si="72"/>
        <v>9.9355469822387185E-5</v>
      </c>
      <c r="O55" s="245">
        <v>3344557</v>
      </c>
      <c r="P55" s="26">
        <f t="shared" si="73"/>
        <v>3344556.6770000001</v>
      </c>
      <c r="Q55" s="52">
        <f t="shared" si="74"/>
        <v>0.32299999985843897</v>
      </c>
      <c r="R55" s="52">
        <f t="shared" si="75"/>
        <v>9.6574832198138577E-6</v>
      </c>
      <c r="S55" s="245">
        <v>95.243399999999994</v>
      </c>
      <c r="T55" s="249">
        <v>95.243385599238096</v>
      </c>
      <c r="U55" s="52">
        <f t="shared" si="76"/>
        <v>1.4400761898514247E-5</v>
      </c>
      <c r="V55" s="52">
        <f t="shared" si="77"/>
        <v>1.5119960097921432E-5</v>
      </c>
      <c r="W55" s="245">
        <v>65.243399999999994</v>
      </c>
      <c r="X55" s="26">
        <v>65.243385599238096</v>
      </c>
      <c r="Y55" s="52">
        <f t="shared" si="78"/>
        <v>1.4400761898514247E-5</v>
      </c>
      <c r="Z55" s="153">
        <f t="shared" si="79"/>
        <v>2.2072370656807881E-5</v>
      </c>
    </row>
    <row r="56" spans="2:26" x14ac:dyDescent="0.25">
      <c r="B56" s="85">
        <v>0.65469999999999995</v>
      </c>
      <c r="C56" s="159">
        <v>8.7796716205786505E-7</v>
      </c>
      <c r="D56" s="26">
        <f t="shared" si="64"/>
        <v>8.7796716205786494E-7</v>
      </c>
      <c r="E56" s="52">
        <f t="shared" si="65"/>
        <v>0</v>
      </c>
      <c r="F56" s="52">
        <f t="shared" si="66"/>
        <v>0</v>
      </c>
      <c r="G56" s="159">
        <v>6.6760820463665003E-5</v>
      </c>
      <c r="H56" s="26">
        <f t="shared" si="67"/>
        <v>6.6760820463664962E-5</v>
      </c>
      <c r="I56" s="52">
        <f t="shared" si="68"/>
        <v>0</v>
      </c>
      <c r="J56" s="52">
        <f t="shared" si="69"/>
        <v>0</v>
      </c>
      <c r="K56" s="159">
        <v>6.5469999999999995E-7</v>
      </c>
      <c r="L56" s="26">
        <f t="shared" si="70"/>
        <v>6.5469999999999995E-7</v>
      </c>
      <c r="M56" s="52">
        <f t="shared" si="71"/>
        <v>0</v>
      </c>
      <c r="N56" s="52">
        <f t="shared" si="72"/>
        <v>0</v>
      </c>
      <c r="O56" s="245">
        <v>6.5470000000000003E-4</v>
      </c>
      <c r="P56" s="26">
        <f t="shared" si="73"/>
        <v>6.5469999999999992E-4</v>
      </c>
      <c r="Q56" s="52">
        <f t="shared" si="74"/>
        <v>0</v>
      </c>
      <c r="R56" s="52">
        <f t="shared" si="75"/>
        <v>0</v>
      </c>
      <c r="S56" s="245">
        <v>-1.83958</v>
      </c>
      <c r="T56" s="249">
        <v>-1.8395765907800301</v>
      </c>
      <c r="U56" s="52">
        <f t="shared" si="76"/>
        <v>-3.4092199698854131E-6</v>
      </c>
      <c r="V56" s="52">
        <f t="shared" si="77"/>
        <v>1.8532634014655579E-4</v>
      </c>
      <c r="W56" s="245">
        <v>-31.839600000000001</v>
      </c>
      <c r="X56" s="26">
        <v>-31.839576590779998</v>
      </c>
      <c r="Y56" s="52">
        <f t="shared" si="78"/>
        <v>-2.3409220002434949E-5</v>
      </c>
      <c r="Z56" s="153">
        <f t="shared" si="79"/>
        <v>7.3522397308555025E-5</v>
      </c>
    </row>
    <row r="57" spans="2:26" ht="15.75" thickBot="1" x14ac:dyDescent="0.3">
      <c r="B57" s="86">
        <v>-741</v>
      </c>
      <c r="C57" s="158">
        <v>-9.9369699999999998E-4</v>
      </c>
      <c r="D57" s="59">
        <f t="shared" si="64"/>
        <v>-9.9369736838991599E-4</v>
      </c>
      <c r="E57" s="57">
        <f t="shared" si="65"/>
        <v>3.6838991601152726E-10</v>
      </c>
      <c r="F57" s="57">
        <f t="shared" si="66"/>
        <v>-3.7072646836976939E-5</v>
      </c>
      <c r="G57" s="158">
        <v>-7.5561000000000003E-2</v>
      </c>
      <c r="H57" s="59">
        <f t="shared" si="67"/>
        <v>-7.5560971381664482E-2</v>
      </c>
      <c r="I57" s="57">
        <f t="shared" si="68"/>
        <v>-2.8618335520813609E-8</v>
      </c>
      <c r="J57" s="57">
        <f t="shared" si="69"/>
        <v>3.7874493931874056E-5</v>
      </c>
      <c r="K57" s="156">
        <v>-7.4100000000000001E-4</v>
      </c>
      <c r="L57" s="59">
        <f t="shared" si="70"/>
        <v>-7.4100000000000001E-4</v>
      </c>
      <c r="M57" s="57">
        <f t="shared" si="71"/>
        <v>0</v>
      </c>
      <c r="N57" s="57">
        <f t="shared" si="72"/>
        <v>0</v>
      </c>
      <c r="O57" s="246">
        <v>-0.74099999999999999</v>
      </c>
      <c r="P57" s="59">
        <f t="shared" si="73"/>
        <v>-0.74099999999999999</v>
      </c>
      <c r="Q57" s="57">
        <f t="shared" si="74"/>
        <v>0</v>
      </c>
      <c r="R57" s="57">
        <f t="shared" si="75"/>
        <v>0</v>
      </c>
      <c r="S57" s="246" t="s">
        <v>539</v>
      </c>
      <c r="T57" s="250" t="s">
        <v>541</v>
      </c>
      <c r="U57" s="57"/>
      <c r="V57" s="57"/>
      <c r="W57" s="246" t="s">
        <v>539</v>
      </c>
      <c r="X57" s="59" t="s">
        <v>541</v>
      </c>
      <c r="Y57" s="57"/>
      <c r="Z57" s="163"/>
    </row>
    <row r="58" spans="2:26" ht="15.75" thickBot="1" x14ac:dyDescent="0.3">
      <c r="C58" s="165"/>
      <c r="D58" s="165"/>
      <c r="E58" s="164"/>
      <c r="F58" s="164"/>
      <c r="G58" s="165"/>
      <c r="H58" s="165"/>
      <c r="I58" s="164"/>
      <c r="J58" s="164"/>
      <c r="K58" s="165"/>
      <c r="L58" s="165"/>
      <c r="M58" s="164"/>
      <c r="N58" s="164"/>
      <c r="O58" s="165"/>
      <c r="P58" s="165"/>
      <c r="Q58" s="164"/>
      <c r="R58" s="164"/>
      <c r="S58" s="165"/>
      <c r="T58" s="165"/>
      <c r="U58" s="164"/>
      <c r="V58" s="164"/>
      <c r="W58" s="165"/>
      <c r="X58" s="165"/>
      <c r="Y58" s="164"/>
      <c r="Z58" s="164"/>
    </row>
    <row r="59" spans="2:26" x14ac:dyDescent="0.25">
      <c r="B59" s="341" t="s">
        <v>10</v>
      </c>
      <c r="C59" s="166" t="s">
        <v>14</v>
      </c>
      <c r="D59" s="168" t="s">
        <v>14</v>
      </c>
      <c r="E59" s="343" t="s">
        <v>354</v>
      </c>
      <c r="F59" s="352" t="s">
        <v>355</v>
      </c>
      <c r="G59" s="166" t="s">
        <v>14</v>
      </c>
      <c r="H59" s="168" t="s">
        <v>14</v>
      </c>
      <c r="I59" s="343" t="s">
        <v>354</v>
      </c>
      <c r="J59" s="352" t="s">
        <v>355</v>
      </c>
      <c r="K59" s="166" t="s">
        <v>14</v>
      </c>
      <c r="L59" s="168" t="s">
        <v>14</v>
      </c>
      <c r="M59" s="343" t="s">
        <v>354</v>
      </c>
      <c r="N59" s="357" t="s">
        <v>355</v>
      </c>
      <c r="O59" s="166" t="s">
        <v>14</v>
      </c>
      <c r="P59" s="168" t="s">
        <v>14</v>
      </c>
      <c r="Q59" s="343" t="s">
        <v>354</v>
      </c>
      <c r="R59" s="357" t="s">
        <v>355</v>
      </c>
      <c r="S59" s="166" t="s">
        <v>14</v>
      </c>
      <c r="T59" s="168" t="s">
        <v>14</v>
      </c>
      <c r="U59" s="343" t="s">
        <v>354</v>
      </c>
      <c r="V59" s="357" t="s">
        <v>355</v>
      </c>
      <c r="W59" s="166" t="s">
        <v>14</v>
      </c>
      <c r="X59" s="168" t="s">
        <v>14</v>
      </c>
      <c r="Y59" s="343" t="s">
        <v>354</v>
      </c>
      <c r="Z59" s="357" t="s">
        <v>355</v>
      </c>
    </row>
    <row r="60" spans="2:26" ht="15.75" thickBot="1" x14ac:dyDescent="0.3">
      <c r="B60" s="342"/>
      <c r="C60" s="167" t="s">
        <v>290</v>
      </c>
      <c r="D60" s="169" t="s">
        <v>291</v>
      </c>
      <c r="E60" s="344"/>
      <c r="F60" s="353"/>
      <c r="G60" s="167" t="s">
        <v>290</v>
      </c>
      <c r="H60" s="169" t="s">
        <v>291</v>
      </c>
      <c r="I60" s="344"/>
      <c r="J60" s="353"/>
      <c r="K60" s="167" t="s">
        <v>290</v>
      </c>
      <c r="L60" s="169" t="s">
        <v>291</v>
      </c>
      <c r="M60" s="344"/>
      <c r="N60" s="358"/>
      <c r="O60" s="167" t="s">
        <v>290</v>
      </c>
      <c r="P60" s="169" t="s">
        <v>291</v>
      </c>
      <c r="Q60" s="344"/>
      <c r="R60" s="358"/>
      <c r="S60" s="167" t="s">
        <v>290</v>
      </c>
      <c r="T60" s="169" t="s">
        <v>291</v>
      </c>
      <c r="U60" s="344"/>
      <c r="V60" s="358"/>
      <c r="W60" s="167" t="s">
        <v>290</v>
      </c>
      <c r="X60" s="169" t="s">
        <v>291</v>
      </c>
      <c r="Y60" s="344"/>
      <c r="Z60" s="358"/>
    </row>
    <row r="61" spans="2:26" ht="15.75" thickBot="1" x14ac:dyDescent="0.3">
      <c r="B61" s="346" t="s">
        <v>529</v>
      </c>
      <c r="C61" s="363" t="s">
        <v>52</v>
      </c>
      <c r="D61" s="177" t="s">
        <v>52</v>
      </c>
      <c r="E61" s="344"/>
      <c r="F61" s="354"/>
      <c r="G61" s="363" t="s">
        <v>53</v>
      </c>
      <c r="H61" s="177" t="s">
        <v>53</v>
      </c>
      <c r="I61" s="344"/>
      <c r="J61" s="354"/>
      <c r="K61" s="363" t="s">
        <v>54</v>
      </c>
      <c r="L61" s="177" t="s">
        <v>54</v>
      </c>
      <c r="M61" s="344"/>
      <c r="N61" s="358"/>
      <c r="O61" s="363" t="s">
        <v>55</v>
      </c>
      <c r="P61" s="177" t="s">
        <v>55</v>
      </c>
      <c r="Q61" s="344"/>
      <c r="R61" s="358"/>
      <c r="S61" s="363" t="s">
        <v>528</v>
      </c>
      <c r="T61" s="177" t="s">
        <v>528</v>
      </c>
      <c r="U61" s="344"/>
      <c r="V61" s="358"/>
      <c r="W61" s="363" t="s">
        <v>530</v>
      </c>
      <c r="X61" s="177" t="s">
        <v>530</v>
      </c>
      <c r="Y61" s="344"/>
      <c r="Z61" s="358"/>
    </row>
    <row r="62" spans="2:26" ht="60.75" thickBot="1" x14ac:dyDescent="0.3">
      <c r="B62" s="347"/>
      <c r="C62" s="364"/>
      <c r="D62" s="208" t="s">
        <v>542</v>
      </c>
      <c r="E62" s="345"/>
      <c r="F62" s="345"/>
      <c r="G62" s="364"/>
      <c r="H62" s="208" t="s">
        <v>543</v>
      </c>
      <c r="I62" s="345"/>
      <c r="J62" s="345"/>
      <c r="K62" s="364"/>
      <c r="L62" s="210" t="s">
        <v>544</v>
      </c>
      <c r="M62" s="345"/>
      <c r="N62" s="359"/>
      <c r="O62" s="364"/>
      <c r="P62" s="222" t="s">
        <v>545</v>
      </c>
      <c r="Q62" s="345"/>
      <c r="R62" s="359"/>
      <c r="S62" s="364"/>
      <c r="T62" s="222" t="s">
        <v>546</v>
      </c>
      <c r="U62" s="345"/>
      <c r="V62" s="359"/>
      <c r="W62" s="364"/>
      <c r="X62" s="222" t="s">
        <v>557</v>
      </c>
      <c r="Y62" s="345"/>
      <c r="Z62" s="359"/>
    </row>
    <row r="63" spans="2:26" x14ac:dyDescent="0.25">
      <c r="B63" s="44">
        <v>1</v>
      </c>
      <c r="C63" s="154">
        <v>1.6882467863685001E-6</v>
      </c>
      <c r="D63" s="58">
        <v>1.6882467863684899E-6</v>
      </c>
      <c r="E63" s="54">
        <f>C63-D63</f>
        <v>1.0164395367051604E-20</v>
      </c>
      <c r="F63" s="54">
        <f>(100*E63)/D63</f>
        <v>6.0206810101002872E-13</v>
      </c>
      <c r="G63" s="157">
        <v>1.2837499999999999E-4</v>
      </c>
      <c r="H63" s="58">
        <v>1.28374665333642E-4</v>
      </c>
      <c r="I63" s="54">
        <f>G63-H63</f>
        <v>3.3466635799422884E-10</v>
      </c>
      <c r="J63" s="54">
        <f>(100*I63)/H63</f>
        <v>2.6069501885316764E-4</v>
      </c>
      <c r="K63" s="157">
        <v>1.2589254117941699E-6</v>
      </c>
      <c r="L63" s="58">
        <v>1.25892541179416E-6</v>
      </c>
      <c r="M63" s="54">
        <f>K63-L63</f>
        <v>9.952637130238029E-21</v>
      </c>
      <c r="N63" s="54">
        <f>(100*M63)/L63</f>
        <v>7.9056606825133579E-13</v>
      </c>
      <c r="O63" s="244">
        <v>1.2589299999999999E-3</v>
      </c>
      <c r="P63" s="58">
        <v>1.2589254117941599E-3</v>
      </c>
      <c r="Q63" s="54">
        <f>O63-P63</f>
        <v>4.5882058400011083E-9</v>
      </c>
      <c r="R63" s="54">
        <f>(100*Q63)/P63</f>
        <v>3.6445414454397407E-4</v>
      </c>
      <c r="S63" s="244">
        <v>1.2589300000000001</v>
      </c>
      <c r="T63" s="58">
        <v>1.25892541179416</v>
      </c>
      <c r="U63" s="54">
        <f>S63-T63</f>
        <v>4.5882058401502945E-6</v>
      </c>
      <c r="V63" s="54">
        <f>(100*U63)/T63</f>
        <v>3.6445414455582435E-4</v>
      </c>
      <c r="W63" s="230">
        <v>-29</v>
      </c>
      <c r="X63" s="58">
        <v>-29</v>
      </c>
      <c r="Y63" s="54">
        <f>W63-X63</f>
        <v>0</v>
      </c>
      <c r="Z63" s="162">
        <f>(100*Y63)/X63</f>
        <v>0</v>
      </c>
    </row>
    <row r="64" spans="2:26" x14ac:dyDescent="0.25">
      <c r="B64" s="47">
        <v>987</v>
      </c>
      <c r="C64" s="241">
        <v>6.721031513172E+92</v>
      </c>
      <c r="D64" s="247">
        <v>6.7210315131719595E+92</v>
      </c>
      <c r="E64" s="247">
        <f t="shared" ref="E64:E66" si="80">C64-D64</f>
        <v>4.0527231233060668E+78</v>
      </c>
      <c r="F64" s="52">
        <f t="shared" ref="F64:F66" si="81">(100*E64)/D64</f>
        <v>6.0299123956843393E-13</v>
      </c>
      <c r="G64" s="241">
        <v>5.1106874786729002E+94</v>
      </c>
      <c r="H64" s="247">
        <v>5.1106874786728602E+94</v>
      </c>
      <c r="I64" s="247">
        <f t="shared" ref="I64:I66" si="82">G64-H64</f>
        <v>4.0017746040416477E+80</v>
      </c>
      <c r="J64" s="52">
        <f t="shared" ref="J64:J66" si="83">(100*I64)/H64</f>
        <v>7.8302080116251318E-13</v>
      </c>
      <c r="K64" s="241">
        <v>5.01187233627276E+92</v>
      </c>
      <c r="L64" s="247">
        <v>5.01187233627272E+92</v>
      </c>
      <c r="M64" s="247">
        <f t="shared" ref="M64:M66" si="84">K64-L64</f>
        <v>3.9948270786874087E+78</v>
      </c>
      <c r="N64" s="52">
        <f t="shared" ref="N64:N66" si="85">(100*M64)/L64</f>
        <v>7.9707279249222104E-13</v>
      </c>
      <c r="O64" s="242">
        <v>5.0118723362727602E+95</v>
      </c>
      <c r="P64" s="247">
        <v>5.0118723362727199E+95</v>
      </c>
      <c r="Q64" s="247">
        <f t="shared" ref="Q64:Q66" si="86">O64-P64</f>
        <v>4.0314173788864007E+81</v>
      </c>
      <c r="R64" s="52">
        <f t="shared" ref="R64:R66" si="87">(100*Q64)/P64</f>
        <v>8.0437351720026576E-13</v>
      </c>
      <c r="S64" s="242">
        <v>5.0118723362727599E+98</v>
      </c>
      <c r="T64" s="247">
        <v>5.0118723362727198E+98</v>
      </c>
      <c r="U64" s="247">
        <f t="shared" ref="U64:U66" si="88">S64-T64</f>
        <v>4.0067545902155662E+84</v>
      </c>
      <c r="V64" s="52">
        <f t="shared" ref="V64:V66" si="89">(100*U64)/T64</f>
        <v>7.9945264391856996E-13</v>
      </c>
      <c r="W64" s="231">
        <v>957</v>
      </c>
      <c r="X64" s="26">
        <v>957</v>
      </c>
      <c r="Y64" s="52">
        <f t="shared" ref="Y64:Y66" si="90">W64-X64</f>
        <v>0</v>
      </c>
      <c r="Z64" s="153">
        <f t="shared" ref="Z64:Z66" si="91">(100*Y64)/X64</f>
        <v>0</v>
      </c>
    </row>
    <row r="65" spans="2:26" x14ac:dyDescent="0.25">
      <c r="B65" s="85">
        <v>0.65469999999999995</v>
      </c>
      <c r="C65" s="155">
        <v>1.55921473992086E-6</v>
      </c>
      <c r="D65" s="26">
        <v>1.55921473992086E-6</v>
      </c>
      <c r="E65" s="52">
        <f t="shared" si="80"/>
        <v>0</v>
      </c>
      <c r="F65" s="52">
        <f t="shared" si="81"/>
        <v>0</v>
      </c>
      <c r="G65" s="155">
        <v>1.18563E-4</v>
      </c>
      <c r="H65" s="26">
        <v>1.1856303950158E-4</v>
      </c>
      <c r="I65" s="52">
        <f t="shared" si="82"/>
        <v>-3.9501579999069551E-11</v>
      </c>
      <c r="J65" s="52">
        <f t="shared" si="83"/>
        <v>-3.3316942754780794E-5</v>
      </c>
      <c r="K65" s="155">
        <v>1.1627062313281699E-6</v>
      </c>
      <c r="L65" s="26">
        <v>1.16270623132816E-6</v>
      </c>
      <c r="M65" s="52">
        <f t="shared" si="84"/>
        <v>9.952637130238029E-21</v>
      </c>
      <c r="N65" s="52">
        <f t="shared" si="85"/>
        <v>8.5598897314492983E-13</v>
      </c>
      <c r="O65" s="245">
        <v>1.16271E-3</v>
      </c>
      <c r="P65" s="26">
        <v>1.1627062313281601E-3</v>
      </c>
      <c r="Q65" s="52">
        <f t="shared" si="86"/>
        <v>3.7686718398766139E-9</v>
      </c>
      <c r="R65" s="52">
        <f t="shared" si="87"/>
        <v>3.2412932332629351E-4</v>
      </c>
      <c r="S65" s="231">
        <v>1.1627099999999999</v>
      </c>
      <c r="T65" s="26">
        <v>1.16270623132816</v>
      </c>
      <c r="U65" s="52">
        <f t="shared" si="88"/>
        <v>3.7686718399321251E-6</v>
      </c>
      <c r="V65" s="52">
        <f t="shared" si="89"/>
        <v>3.241293233310678E-4</v>
      </c>
      <c r="W65" s="245">
        <v>-29.345300000000002</v>
      </c>
      <c r="X65" s="26">
        <v>-29.345300000000002</v>
      </c>
      <c r="Y65" s="52">
        <f t="shared" si="90"/>
        <v>0</v>
      </c>
      <c r="Z65" s="153">
        <f t="shared" si="91"/>
        <v>0</v>
      </c>
    </row>
    <row r="66" spans="2:26" ht="15.75" thickBot="1" x14ac:dyDescent="0.3">
      <c r="B66" s="86">
        <v>-741</v>
      </c>
      <c r="C66" s="158">
        <v>1.0652117091543001E-80</v>
      </c>
      <c r="D66" s="59">
        <v>1.06521170915428E-80</v>
      </c>
      <c r="E66" s="57">
        <f t="shared" si="80"/>
        <v>2.0037574798082609E-94</v>
      </c>
      <c r="F66" s="57">
        <f t="shared" si="81"/>
        <v>1.8810884846535673E-12</v>
      </c>
      <c r="G66" s="158">
        <v>8.0998937937449804E-79</v>
      </c>
      <c r="H66" s="59">
        <v>8.0998937937448702E-79</v>
      </c>
      <c r="I66" s="57">
        <f t="shared" si="82"/>
        <v>1.1026284150571066E-92</v>
      </c>
      <c r="J66" s="57">
        <f t="shared" si="83"/>
        <v>1.3612874972615191E-12</v>
      </c>
      <c r="K66" s="158">
        <v>7.94328234724292E-81</v>
      </c>
      <c r="L66" s="59">
        <v>7.9432823472428096E-81</v>
      </c>
      <c r="M66" s="57">
        <f t="shared" si="84"/>
        <v>1.1048756197073588E-94</v>
      </c>
      <c r="N66" s="57">
        <f t="shared" si="85"/>
        <v>1.3909559945214233E-12</v>
      </c>
      <c r="O66" s="232">
        <v>7.9432823472429204E-78</v>
      </c>
      <c r="P66" s="59">
        <v>7.9432823472428101E-78</v>
      </c>
      <c r="Q66" s="57">
        <f t="shared" si="86"/>
        <v>1.1026284150571066E-91</v>
      </c>
      <c r="R66" s="57">
        <f t="shared" si="87"/>
        <v>1.3881269314817187E-12</v>
      </c>
      <c r="S66" s="246">
        <v>7.9432823472429201E-75</v>
      </c>
      <c r="T66" s="59">
        <v>7.9432823472428101E-75</v>
      </c>
      <c r="U66" s="57">
        <f t="shared" si="88"/>
        <v>1.0996369362266907E-88</v>
      </c>
      <c r="V66" s="57">
        <f t="shared" si="89"/>
        <v>1.3843608827632638E-12</v>
      </c>
      <c r="W66" s="232">
        <v>-771</v>
      </c>
      <c r="X66" s="59">
        <v>-771</v>
      </c>
      <c r="Y66" s="57">
        <f t="shared" si="90"/>
        <v>0</v>
      </c>
      <c r="Z66" s="163">
        <f t="shared" si="91"/>
        <v>0</v>
      </c>
    </row>
    <row r="67" spans="2:26" ht="15.75" thickBot="1" x14ac:dyDescent="0.3">
      <c r="C67" s="165"/>
      <c r="D67" s="165"/>
      <c r="E67" s="164"/>
      <c r="F67" s="164"/>
      <c r="G67" s="165"/>
      <c r="H67" s="165"/>
      <c r="I67" s="164"/>
      <c r="J67" s="164"/>
      <c r="K67" s="165"/>
      <c r="L67" s="165"/>
      <c r="M67" s="164"/>
      <c r="N67" s="164"/>
      <c r="O67" s="165"/>
      <c r="P67" s="165"/>
      <c r="Q67" s="164"/>
      <c r="R67" s="164"/>
      <c r="S67" s="165"/>
      <c r="T67" s="165"/>
      <c r="U67" s="164"/>
      <c r="V67" s="164"/>
      <c r="W67" s="165"/>
      <c r="X67" s="165"/>
      <c r="Y67" s="164"/>
      <c r="Z67" s="164"/>
    </row>
    <row r="68" spans="2:26" x14ac:dyDescent="0.25">
      <c r="B68" s="341" t="s">
        <v>10</v>
      </c>
      <c r="C68" s="166" t="s">
        <v>14</v>
      </c>
      <c r="D68" s="168" t="s">
        <v>14</v>
      </c>
      <c r="E68" s="343" t="s">
        <v>354</v>
      </c>
      <c r="F68" s="352" t="s">
        <v>355</v>
      </c>
      <c r="G68" s="166" t="s">
        <v>14</v>
      </c>
      <c r="H68" s="168" t="s">
        <v>14</v>
      </c>
      <c r="I68" s="343" t="s">
        <v>354</v>
      </c>
      <c r="J68" s="352" t="s">
        <v>355</v>
      </c>
      <c r="K68" s="166" t="s">
        <v>14</v>
      </c>
      <c r="L68" s="168" t="s">
        <v>14</v>
      </c>
      <c r="M68" s="343" t="s">
        <v>354</v>
      </c>
      <c r="N68" s="357" t="s">
        <v>355</v>
      </c>
      <c r="O68" s="166" t="s">
        <v>14</v>
      </c>
      <c r="P68" s="168" t="s">
        <v>14</v>
      </c>
      <c r="Q68" s="343" t="s">
        <v>354</v>
      </c>
      <c r="R68" s="357" t="s">
        <v>355</v>
      </c>
      <c r="S68" s="166" t="s">
        <v>14</v>
      </c>
      <c r="T68" s="168" t="s">
        <v>14</v>
      </c>
      <c r="U68" s="343" t="s">
        <v>354</v>
      </c>
      <c r="V68" s="357" t="s">
        <v>355</v>
      </c>
      <c r="W68" s="166" t="s">
        <v>14</v>
      </c>
      <c r="X68" s="168" t="s">
        <v>14</v>
      </c>
      <c r="Y68" s="343" t="s">
        <v>354</v>
      </c>
      <c r="Z68" s="357" t="s">
        <v>355</v>
      </c>
    </row>
    <row r="69" spans="2:26" ht="15.75" thickBot="1" x14ac:dyDescent="0.3">
      <c r="B69" s="342"/>
      <c r="C69" s="167" t="s">
        <v>290</v>
      </c>
      <c r="D69" s="169" t="s">
        <v>291</v>
      </c>
      <c r="E69" s="344"/>
      <c r="F69" s="353"/>
      <c r="G69" s="167" t="s">
        <v>290</v>
      </c>
      <c r="H69" s="169" t="s">
        <v>291</v>
      </c>
      <c r="I69" s="344"/>
      <c r="J69" s="353"/>
      <c r="K69" s="167" t="s">
        <v>290</v>
      </c>
      <c r="L69" s="169" t="s">
        <v>291</v>
      </c>
      <c r="M69" s="344"/>
      <c r="N69" s="358"/>
      <c r="O69" s="167" t="s">
        <v>290</v>
      </c>
      <c r="P69" s="169" t="s">
        <v>291</v>
      </c>
      <c r="Q69" s="344"/>
      <c r="R69" s="358"/>
      <c r="S69" s="167" t="s">
        <v>290</v>
      </c>
      <c r="T69" s="169" t="s">
        <v>291</v>
      </c>
      <c r="U69" s="344"/>
      <c r="V69" s="358"/>
      <c r="W69" s="167" t="s">
        <v>290</v>
      </c>
      <c r="X69" s="169" t="s">
        <v>291</v>
      </c>
      <c r="Y69" s="344"/>
      <c r="Z69" s="358"/>
    </row>
    <row r="70" spans="2:26" ht="15.75" thickBot="1" x14ac:dyDescent="0.3">
      <c r="B70" s="346" t="s">
        <v>530</v>
      </c>
      <c r="C70" s="363" t="s">
        <v>52</v>
      </c>
      <c r="D70" s="177" t="s">
        <v>52</v>
      </c>
      <c r="E70" s="344"/>
      <c r="F70" s="354"/>
      <c r="G70" s="363" t="s">
        <v>53</v>
      </c>
      <c r="H70" s="177" t="s">
        <v>53</v>
      </c>
      <c r="I70" s="344"/>
      <c r="J70" s="354"/>
      <c r="K70" s="363" t="s">
        <v>54</v>
      </c>
      <c r="L70" s="177" t="s">
        <v>54</v>
      </c>
      <c r="M70" s="344"/>
      <c r="N70" s="358"/>
      <c r="O70" s="363" t="s">
        <v>55</v>
      </c>
      <c r="P70" s="177" t="s">
        <v>55</v>
      </c>
      <c r="Q70" s="344"/>
      <c r="R70" s="358"/>
      <c r="S70" s="363" t="s">
        <v>528</v>
      </c>
      <c r="T70" s="177" t="s">
        <v>528</v>
      </c>
      <c r="U70" s="344"/>
      <c r="V70" s="358"/>
      <c r="W70" s="363" t="s">
        <v>529</v>
      </c>
      <c r="X70" s="177" t="s">
        <v>529</v>
      </c>
      <c r="Y70" s="344"/>
      <c r="Z70" s="358"/>
    </row>
    <row r="71" spans="2:26" ht="45.75" thickBot="1" x14ac:dyDescent="0.3">
      <c r="B71" s="347"/>
      <c r="C71" s="364"/>
      <c r="D71" s="208" t="s">
        <v>547</v>
      </c>
      <c r="E71" s="345"/>
      <c r="F71" s="345"/>
      <c r="G71" s="364"/>
      <c r="H71" s="208" t="s">
        <v>548</v>
      </c>
      <c r="I71" s="345"/>
      <c r="J71" s="345"/>
      <c r="K71" s="364"/>
      <c r="L71" s="210" t="s">
        <v>549</v>
      </c>
      <c r="M71" s="345"/>
      <c r="N71" s="359"/>
      <c r="O71" s="364"/>
      <c r="P71" s="222" t="s">
        <v>550</v>
      </c>
      <c r="Q71" s="345"/>
      <c r="R71" s="359"/>
      <c r="S71" s="364"/>
      <c r="T71" s="222" t="s">
        <v>551</v>
      </c>
      <c r="U71" s="345"/>
      <c r="V71" s="359"/>
      <c r="W71" s="364"/>
      <c r="X71" s="222" t="s">
        <v>558</v>
      </c>
      <c r="Y71" s="345"/>
      <c r="Z71" s="359"/>
    </row>
    <row r="72" spans="2:26" x14ac:dyDescent="0.25">
      <c r="B72" s="44">
        <v>1</v>
      </c>
      <c r="C72" s="157">
        <v>1.6882500000000001E-3</v>
      </c>
      <c r="D72" s="58">
        <v>1.6882467863684901E-3</v>
      </c>
      <c r="E72" s="54">
        <f>C72-D72</f>
        <v>3.2136315099903084E-9</v>
      </c>
      <c r="F72" s="54">
        <f>(100*E72)/D72</f>
        <v>1.9035318390287021E-4</v>
      </c>
      <c r="G72" s="157">
        <v>0.12837499999999999</v>
      </c>
      <c r="H72" s="58">
        <v>0.128374665333642</v>
      </c>
      <c r="I72" s="54">
        <f>G72-H72</f>
        <v>3.3466635798728994E-7</v>
      </c>
      <c r="J72" s="54">
        <f>(100*I72)/H72</f>
        <v>2.606950188477624E-4</v>
      </c>
      <c r="K72" s="157">
        <v>1.2589299999999999E-3</v>
      </c>
      <c r="L72" s="58">
        <v>1.2589254117941599E-3</v>
      </c>
      <c r="M72" s="54">
        <f>K72-L72</f>
        <v>4.5882058400011083E-9</v>
      </c>
      <c r="N72" s="54">
        <f>(100*M72)/L72</f>
        <v>3.6445414454397407E-4</v>
      </c>
      <c r="O72" s="244">
        <v>1.2589300000000001</v>
      </c>
      <c r="P72" s="58">
        <v>1.25892541179416</v>
      </c>
      <c r="Q72" s="54">
        <f>O72-P72</f>
        <v>4.5882058401502945E-6</v>
      </c>
      <c r="R72" s="54">
        <f>(100*Q72)/P72</f>
        <v>3.6445414455582435E-4</v>
      </c>
      <c r="S72" s="244">
        <v>1258.93</v>
      </c>
      <c r="T72" s="58">
        <v>1258.92541179416</v>
      </c>
      <c r="U72" s="54">
        <f>S72-T72</f>
        <v>4.5882058400366077E-3</v>
      </c>
      <c r="V72" s="54">
        <f>(100*U72)/T72</f>
        <v>3.6445414454679386E-4</v>
      </c>
      <c r="W72" s="230">
        <v>31</v>
      </c>
      <c r="X72" s="58">
        <v>31</v>
      </c>
      <c r="Y72" s="54">
        <f>W72-X72</f>
        <v>0</v>
      </c>
      <c r="Z72" s="162">
        <f>(100*Y72)/X72</f>
        <v>0</v>
      </c>
    </row>
    <row r="73" spans="2:26" x14ac:dyDescent="0.25">
      <c r="B73" s="47">
        <v>987</v>
      </c>
      <c r="C73" s="241">
        <v>6.7210315131719998E+95</v>
      </c>
      <c r="D73" s="247">
        <v>6.7210315131719595E+95</v>
      </c>
      <c r="E73" s="247">
        <f t="shared" ref="E73:E75" si="92">C73-D73</f>
        <v>4.0314173788864007E+81</v>
      </c>
      <c r="F73" s="52">
        <f t="shared" ref="F73:F75" si="93">(100*E73)/D73</f>
        <v>5.9982122848041702E-13</v>
      </c>
      <c r="G73" s="241">
        <v>5.1106874786728997E+97</v>
      </c>
      <c r="H73" s="247">
        <v>5.1106874786728603E+97</v>
      </c>
      <c r="I73" s="247">
        <f t="shared" ref="I73:I75" si="94">G73-H73</f>
        <v>3.9460461873335122E+83</v>
      </c>
      <c r="J73" s="52">
        <f t="shared" ref="J73:J75" si="95">(100*I73)/H73</f>
        <v>7.7211651148706489E-13</v>
      </c>
      <c r="K73" s="241">
        <v>5.0118723362727602E+95</v>
      </c>
      <c r="L73" s="247">
        <v>5.0118723362727199E+95</v>
      </c>
      <c r="M73" s="247">
        <f t="shared" ref="M73:M75" si="96">K73-L73</f>
        <v>4.0314173788864007E+81</v>
      </c>
      <c r="N73" s="52">
        <f t="shared" ref="N73:N75" si="97">(100*M73)/L73</f>
        <v>8.0437351720026576E-13</v>
      </c>
      <c r="O73" s="242">
        <v>5.0118723362727599E+98</v>
      </c>
      <c r="P73" s="247">
        <v>5.0118723362727198E+98</v>
      </c>
      <c r="Q73" s="247">
        <f t="shared" ref="Q73:Q75" si="98">O73-P73</f>
        <v>4.0067545902155662E+84</v>
      </c>
      <c r="R73" s="52">
        <f t="shared" ref="R73:R75" si="99">(100*Q73)/P73</f>
        <v>7.9945264391856996E-13</v>
      </c>
      <c r="S73" s="242">
        <v>5.0118723362727597E+101</v>
      </c>
      <c r="T73" s="247">
        <v>5.01187233627272E+101</v>
      </c>
      <c r="U73" s="247">
        <f t="shared" ref="U73:U75" si="100">S73-T73</f>
        <v>3.9785858912782931E+87</v>
      </c>
      <c r="V73" s="52">
        <f t="shared" ref="V73:V75" si="101">(100*U73)/T73</f>
        <v>7.9383224957344546E-13</v>
      </c>
      <c r="W73" s="231">
        <v>1017</v>
      </c>
      <c r="X73" s="26">
        <v>1017</v>
      </c>
      <c r="Y73" s="52">
        <f t="shared" ref="Y73:Y75" si="102">W73-X73</f>
        <v>0</v>
      </c>
      <c r="Z73" s="153">
        <f t="shared" ref="Z73:Z75" si="103">(100*Y73)/X73</f>
        <v>0</v>
      </c>
    </row>
    <row r="74" spans="2:26" x14ac:dyDescent="0.25">
      <c r="B74" s="85">
        <v>0.65469999999999995</v>
      </c>
      <c r="C74" s="155">
        <v>1.5592099999999999E-3</v>
      </c>
      <c r="D74" s="26">
        <v>1.55921473992086E-3</v>
      </c>
      <c r="E74" s="52">
        <f t="shared" si="92"/>
        <v>-4.739920860105315E-9</v>
      </c>
      <c r="F74" s="52">
        <f t="shared" si="93"/>
        <v>-3.0399410284858493E-4</v>
      </c>
      <c r="G74" s="155">
        <v>0.118563</v>
      </c>
      <c r="H74" s="26">
        <v>0.11856303950157999</v>
      </c>
      <c r="I74" s="52">
        <f t="shared" si="94"/>
        <v>-3.9501579993106439E-8</v>
      </c>
      <c r="J74" s="52">
        <f t="shared" si="95"/>
        <v>-3.3316942749751309E-5</v>
      </c>
      <c r="K74" s="155">
        <v>1.16271E-3</v>
      </c>
      <c r="L74" s="26">
        <v>1.1627062313281601E-3</v>
      </c>
      <c r="M74" s="52">
        <f t="shared" si="96"/>
        <v>3.7686718398766139E-9</v>
      </c>
      <c r="N74" s="52">
        <f t="shared" si="97"/>
        <v>3.2412932332629351E-4</v>
      </c>
      <c r="O74" s="245">
        <v>1.1627099999999999</v>
      </c>
      <c r="P74" s="26">
        <v>1.16270623132816</v>
      </c>
      <c r="Q74" s="52">
        <f t="shared" si="98"/>
        <v>3.7686718399321251E-6</v>
      </c>
      <c r="R74" s="52">
        <f t="shared" si="99"/>
        <v>3.241293233310678E-4</v>
      </c>
      <c r="S74" s="245">
        <v>1162.71</v>
      </c>
      <c r="T74" s="26">
        <v>1162.7062313281599</v>
      </c>
      <c r="U74" s="52">
        <f t="shared" si="100"/>
        <v>3.7686718401346297E-3</v>
      </c>
      <c r="V74" s="52">
        <f t="shared" si="101"/>
        <v>3.2412932334848453E-4</v>
      </c>
      <c r="W74" s="245">
        <v>30.654699999999998</v>
      </c>
      <c r="X74" s="26">
        <v>30.654699999999998</v>
      </c>
      <c r="Y74" s="52">
        <f t="shared" si="102"/>
        <v>0</v>
      </c>
      <c r="Z74" s="153">
        <f t="shared" si="103"/>
        <v>0</v>
      </c>
    </row>
    <row r="75" spans="2:26" ht="15.75" thickBot="1" x14ac:dyDescent="0.3">
      <c r="B75" s="86">
        <v>-741</v>
      </c>
      <c r="C75" s="158">
        <v>1.0652117091543001E-77</v>
      </c>
      <c r="D75" s="59">
        <v>1.0652117091542799E-77</v>
      </c>
      <c r="E75" s="57">
        <f t="shared" si="92"/>
        <v>2.0134953666260207E-91</v>
      </c>
      <c r="F75" s="57">
        <f t="shared" si="93"/>
        <v>1.8902302230836594E-12</v>
      </c>
      <c r="G75" s="158">
        <v>8.0998937937449801E-76</v>
      </c>
      <c r="H75" s="59">
        <v>8.0998937937448696E-76</v>
      </c>
      <c r="I75" s="57">
        <f t="shared" si="94"/>
        <v>1.1045460296919885E-89</v>
      </c>
      <c r="J75" s="57">
        <f t="shared" si="95"/>
        <v>1.3636549537784958E-12</v>
      </c>
      <c r="K75" s="158">
        <v>7.9432823472429204E-78</v>
      </c>
      <c r="L75" s="59">
        <v>7.9432823472428101E-78</v>
      </c>
      <c r="M75" s="57">
        <f t="shared" si="96"/>
        <v>1.1026284150571066E-91</v>
      </c>
      <c r="N75" s="57">
        <f t="shared" si="97"/>
        <v>1.3881269314817187E-12</v>
      </c>
      <c r="O75" s="246">
        <v>7.9432823472429201E-75</v>
      </c>
      <c r="P75" s="59">
        <v>7.9432823472428101E-75</v>
      </c>
      <c r="Q75" s="57">
        <f t="shared" si="98"/>
        <v>1.0996369362266907E-88</v>
      </c>
      <c r="R75" s="57">
        <f t="shared" si="99"/>
        <v>1.3843608827632638E-12</v>
      </c>
      <c r="S75" s="246">
        <v>7.9432823472429197E-72</v>
      </c>
      <c r="T75" s="59">
        <v>7.9432823472428101E-72</v>
      </c>
      <c r="U75" s="57">
        <f t="shared" si="100"/>
        <v>1.0958667524453421E-85</v>
      </c>
      <c r="V75" s="57">
        <f t="shared" si="101"/>
        <v>1.3796145025937898E-12</v>
      </c>
      <c r="W75" s="232">
        <v>-711</v>
      </c>
      <c r="X75" s="59">
        <v>-711</v>
      </c>
      <c r="Y75" s="57">
        <f t="shared" si="102"/>
        <v>0</v>
      </c>
      <c r="Z75" s="163">
        <f t="shared" si="103"/>
        <v>0</v>
      </c>
    </row>
  </sheetData>
  <mergeCells count="141">
    <mergeCell ref="I37:I40"/>
    <mergeCell ref="J37:J40"/>
    <mergeCell ref="N4:N7"/>
    <mergeCell ref="N15:N18"/>
    <mergeCell ref="N26:N29"/>
    <mergeCell ref="N37:N40"/>
    <mergeCell ref="M4:M7"/>
    <mergeCell ref="M37:M40"/>
    <mergeCell ref="K39:K40"/>
    <mergeCell ref="M15:M18"/>
    <mergeCell ref="M26:M29"/>
    <mergeCell ref="J26:J29"/>
    <mergeCell ref="K28:K29"/>
    <mergeCell ref="C39:C40"/>
    <mergeCell ref="B17:B18"/>
    <mergeCell ref="G28:G29"/>
    <mergeCell ref="G39:G40"/>
    <mergeCell ref="G17:G18"/>
    <mergeCell ref="B28:B29"/>
    <mergeCell ref="E26:E29"/>
    <mergeCell ref="E37:E40"/>
    <mergeCell ref="F15:F18"/>
    <mergeCell ref="F26:F29"/>
    <mergeCell ref="F37:F40"/>
    <mergeCell ref="B39:B40"/>
    <mergeCell ref="B37:B38"/>
    <mergeCell ref="B1:K1"/>
    <mergeCell ref="B4:B5"/>
    <mergeCell ref="B15:B16"/>
    <mergeCell ref="B26:B27"/>
    <mergeCell ref="E4:E7"/>
    <mergeCell ref="I4:I7"/>
    <mergeCell ref="J4:J7"/>
    <mergeCell ref="J15:J18"/>
    <mergeCell ref="B6:B7"/>
    <mergeCell ref="C6:C7"/>
    <mergeCell ref="G6:G7"/>
    <mergeCell ref="K6:K7"/>
    <mergeCell ref="C17:C18"/>
    <mergeCell ref="K17:K18"/>
    <mergeCell ref="E15:E18"/>
    <mergeCell ref="F4:F7"/>
    <mergeCell ref="I26:I29"/>
    <mergeCell ref="I15:I18"/>
    <mergeCell ref="C28:C29"/>
    <mergeCell ref="E59:E62"/>
    <mergeCell ref="F59:F62"/>
    <mergeCell ref="I59:I62"/>
    <mergeCell ref="J59:J62"/>
    <mergeCell ref="M48:M51"/>
    <mergeCell ref="N48:N51"/>
    <mergeCell ref="B50:B51"/>
    <mergeCell ref="C50:C51"/>
    <mergeCell ref="G50:G51"/>
    <mergeCell ref="K50:K51"/>
    <mergeCell ref="B48:B49"/>
    <mergeCell ref="E48:E51"/>
    <mergeCell ref="F48:F51"/>
    <mergeCell ref="I48:I51"/>
    <mergeCell ref="J48:J51"/>
    <mergeCell ref="Q4:Q7"/>
    <mergeCell ref="R4:R7"/>
    <mergeCell ref="O6:O7"/>
    <mergeCell ref="Q15:Q18"/>
    <mergeCell ref="R15:R18"/>
    <mergeCell ref="O17:O18"/>
    <mergeCell ref="M68:M71"/>
    <mergeCell ref="N68:N71"/>
    <mergeCell ref="B70:B71"/>
    <mergeCell ref="C70:C71"/>
    <mergeCell ref="G70:G71"/>
    <mergeCell ref="K70:K71"/>
    <mergeCell ref="B68:B69"/>
    <mergeCell ref="E68:E71"/>
    <mergeCell ref="F68:F71"/>
    <mergeCell ref="I68:I71"/>
    <mergeCell ref="J68:J71"/>
    <mergeCell ref="M59:M62"/>
    <mergeCell ref="N59:N62"/>
    <mergeCell ref="B61:B62"/>
    <mergeCell ref="C61:C62"/>
    <mergeCell ref="G61:G62"/>
    <mergeCell ref="K61:K62"/>
    <mergeCell ref="B59:B60"/>
    <mergeCell ref="Q59:Q62"/>
    <mergeCell ref="R59:R62"/>
    <mergeCell ref="O61:O62"/>
    <mergeCell ref="Q26:Q29"/>
    <mergeCell ref="R26:R29"/>
    <mergeCell ref="O28:O29"/>
    <mergeCell ref="Q37:Q40"/>
    <mergeCell ref="R37:R40"/>
    <mergeCell ref="O39:O40"/>
    <mergeCell ref="Y68:Y71"/>
    <mergeCell ref="Z68:Z71"/>
    <mergeCell ref="W70:W71"/>
    <mergeCell ref="Z48:Z51"/>
    <mergeCell ref="W50:W51"/>
    <mergeCell ref="Q68:Q71"/>
    <mergeCell ref="R68:R71"/>
    <mergeCell ref="O70:O71"/>
    <mergeCell ref="U4:U7"/>
    <mergeCell ref="V4:V7"/>
    <mergeCell ref="S6:S7"/>
    <mergeCell ref="U15:U18"/>
    <mergeCell ref="V15:V18"/>
    <mergeCell ref="S17:S18"/>
    <mergeCell ref="U26:U29"/>
    <mergeCell ref="V26:V29"/>
    <mergeCell ref="S28:S29"/>
    <mergeCell ref="U37:U40"/>
    <mergeCell ref="V37:V40"/>
    <mergeCell ref="S39:S40"/>
    <mergeCell ref="U48:U51"/>
    <mergeCell ref="Q48:Q51"/>
    <mergeCell ref="R48:R51"/>
    <mergeCell ref="O50:O51"/>
    <mergeCell ref="Y59:Y62"/>
    <mergeCell ref="Z59:Z62"/>
    <mergeCell ref="W61:W62"/>
    <mergeCell ref="U68:U71"/>
    <mergeCell ref="V68:V71"/>
    <mergeCell ref="S70:S71"/>
    <mergeCell ref="Y4:Y7"/>
    <mergeCell ref="Z4:Z7"/>
    <mergeCell ref="W6:W7"/>
    <mergeCell ref="Y15:Y18"/>
    <mergeCell ref="Z15:Z18"/>
    <mergeCell ref="W17:W18"/>
    <mergeCell ref="Y26:Y29"/>
    <mergeCell ref="Z26:Z29"/>
    <mergeCell ref="W28:W29"/>
    <mergeCell ref="Y37:Y40"/>
    <mergeCell ref="Z37:Z40"/>
    <mergeCell ref="W39:W40"/>
    <mergeCell ref="Y48:Y51"/>
    <mergeCell ref="V48:V51"/>
    <mergeCell ref="S50:S51"/>
    <mergeCell ref="U59:U62"/>
    <mergeCell ref="V59:V62"/>
    <mergeCell ref="S61:S62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9"/>
  <sheetViews>
    <sheetView zoomScaleNormal="100" workbookViewId="0">
      <selection activeCell="E4" sqref="E4:F6"/>
    </sheetView>
  </sheetViews>
  <sheetFormatPr defaultRowHeight="15" x14ac:dyDescent="0.25"/>
  <cols>
    <col min="1" max="1" width="22.140625" customWidth="1"/>
    <col min="2" max="2" width="9.85546875" customWidth="1"/>
    <col min="3" max="3" width="22.42578125" customWidth="1"/>
    <col min="4" max="4" width="10" customWidth="1"/>
    <col min="5" max="5" width="25.7109375" customWidth="1"/>
    <col min="6" max="6" width="10.85546875" customWidth="1"/>
    <col min="7" max="7" width="21.42578125" customWidth="1"/>
    <col min="8" max="8" width="10.7109375" customWidth="1"/>
    <col min="9" max="9" width="23.140625" customWidth="1"/>
    <col min="10" max="10" width="9.5703125" customWidth="1"/>
    <col min="11" max="11" width="25.5703125" customWidth="1"/>
    <col min="12" max="12" width="9.28515625" customWidth="1"/>
    <col min="13" max="13" width="26.28515625" bestFit="1" customWidth="1"/>
    <col min="14" max="14" width="23.28515625" customWidth="1"/>
    <col min="15" max="15" width="23" bestFit="1" customWidth="1"/>
    <col min="16" max="16" width="20.5703125" bestFit="1" customWidth="1"/>
    <col min="17" max="17" width="25.28515625" customWidth="1"/>
    <col min="18" max="18" width="10.5703125" customWidth="1"/>
    <col min="19" max="19" width="26.5703125" customWidth="1"/>
    <col min="20" max="20" width="9.85546875" customWidth="1"/>
    <col min="21" max="21" width="26.140625" bestFit="1" customWidth="1"/>
    <col min="22" max="22" width="23.7109375" bestFit="1" customWidth="1"/>
  </cols>
  <sheetData>
    <row r="1" spans="1:22" x14ac:dyDescent="0.25">
      <c r="B1" s="422" t="s">
        <v>674</v>
      </c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2"/>
      <c r="P1" s="422"/>
      <c r="Q1" s="422"/>
      <c r="R1" s="422"/>
      <c r="S1" s="422"/>
      <c r="T1" s="422"/>
      <c r="U1" s="422"/>
      <c r="V1" s="422"/>
    </row>
    <row r="2" spans="1:22" x14ac:dyDescent="0.25"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2"/>
      <c r="N2" s="422"/>
      <c r="O2" s="422"/>
      <c r="P2" s="422"/>
      <c r="Q2" s="422"/>
      <c r="R2" s="422"/>
      <c r="S2" s="422"/>
      <c r="T2" s="422"/>
      <c r="U2" s="422"/>
      <c r="V2" s="422"/>
    </row>
    <row r="3" spans="1:22" ht="24.75" customHeight="1" thickBot="1" x14ac:dyDescent="0.55000000000000004">
      <c r="A3" s="305" t="s">
        <v>340</v>
      </c>
      <c r="B3" s="428" t="s">
        <v>680</v>
      </c>
      <c r="C3" s="428"/>
      <c r="D3" s="428"/>
      <c r="E3" s="304" t="s">
        <v>679</v>
      </c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  <c r="U3" s="303"/>
      <c r="V3" s="303"/>
    </row>
    <row r="4" spans="1:22" x14ac:dyDescent="0.25">
      <c r="A4" s="341" t="s">
        <v>640</v>
      </c>
      <c r="B4" s="406"/>
      <c r="C4" s="341" t="s">
        <v>639</v>
      </c>
      <c r="D4" s="406"/>
      <c r="E4" s="341" t="s">
        <v>641</v>
      </c>
      <c r="F4" s="406"/>
      <c r="G4" s="341" t="s">
        <v>643</v>
      </c>
      <c r="H4" s="406"/>
      <c r="I4" s="341" t="s">
        <v>642</v>
      </c>
      <c r="J4" s="406"/>
      <c r="K4" s="431" t="s">
        <v>14</v>
      </c>
      <c r="L4" s="432"/>
      <c r="M4" s="439" t="s">
        <v>645</v>
      </c>
      <c r="N4" s="439" t="s">
        <v>646</v>
      </c>
      <c r="O4" s="439" t="s">
        <v>647</v>
      </c>
      <c r="P4" s="439" t="s">
        <v>651</v>
      </c>
      <c r="Q4" s="431" t="s">
        <v>14</v>
      </c>
      <c r="R4" s="432"/>
      <c r="S4" s="435" t="s">
        <v>654</v>
      </c>
      <c r="T4" s="436"/>
      <c r="U4" s="429" t="s">
        <v>354</v>
      </c>
      <c r="V4" s="429" t="s">
        <v>355</v>
      </c>
    </row>
    <row r="5" spans="1:22" ht="15.75" thickBot="1" x14ac:dyDescent="0.3">
      <c r="A5" s="342"/>
      <c r="B5" s="407"/>
      <c r="C5" s="342"/>
      <c r="D5" s="407"/>
      <c r="E5" s="342"/>
      <c r="F5" s="407"/>
      <c r="G5" s="342"/>
      <c r="H5" s="407"/>
      <c r="I5" s="342"/>
      <c r="J5" s="407"/>
      <c r="K5" s="433" t="s">
        <v>290</v>
      </c>
      <c r="L5" s="434"/>
      <c r="M5" s="366"/>
      <c r="N5" s="366"/>
      <c r="O5" s="366"/>
      <c r="P5" s="366"/>
      <c r="Q5" s="433" t="s">
        <v>291</v>
      </c>
      <c r="R5" s="434"/>
      <c r="S5" s="437" t="s">
        <v>655</v>
      </c>
      <c r="T5" s="438"/>
      <c r="U5" s="430"/>
      <c r="V5" s="430"/>
    </row>
    <row r="6" spans="1:22" x14ac:dyDescent="0.25">
      <c r="A6" s="274">
        <v>50</v>
      </c>
      <c r="B6" s="275" t="s">
        <v>644</v>
      </c>
      <c r="C6" s="275">
        <v>-20</v>
      </c>
      <c r="D6" s="275" t="s">
        <v>649</v>
      </c>
      <c r="E6" s="276">
        <v>1.8</v>
      </c>
      <c r="F6" s="276" t="s">
        <v>652</v>
      </c>
      <c r="G6" s="274">
        <v>50</v>
      </c>
      <c r="H6" s="275" t="s">
        <v>644</v>
      </c>
      <c r="I6" s="286">
        <v>-20</v>
      </c>
      <c r="J6" s="144" t="s">
        <v>649</v>
      </c>
      <c r="K6" s="157">
        <v>228839</v>
      </c>
      <c r="L6" s="55" t="s">
        <v>631</v>
      </c>
      <c r="M6" s="157">
        <v>50000</v>
      </c>
      <c r="N6" s="157">
        <v>253.15</v>
      </c>
      <c r="O6" s="157">
        <v>50000</v>
      </c>
      <c r="P6" s="157">
        <v>253.15</v>
      </c>
      <c r="Q6" s="155">
        <f xml:space="preserve"> (M6*P6/(O6*N6)) *E6</f>
        <v>1.8</v>
      </c>
      <c r="R6" s="157" t="s">
        <v>630</v>
      </c>
      <c r="S6" s="157">
        <v>228839</v>
      </c>
      <c r="T6" s="257" t="s">
        <v>631</v>
      </c>
      <c r="U6" s="124">
        <f t="shared" ref="U6:U23" si="0">K6-S6</f>
        <v>0</v>
      </c>
      <c r="V6" s="262">
        <f t="shared" ref="V6:V23" si="1">(100*U6) /K6</f>
        <v>0</v>
      </c>
    </row>
    <row r="7" spans="1:22" x14ac:dyDescent="0.25">
      <c r="A7" s="277">
        <v>0.5</v>
      </c>
      <c r="B7" s="278" t="s">
        <v>648</v>
      </c>
      <c r="C7" s="278">
        <v>-4.3</v>
      </c>
      <c r="D7" s="278" t="s">
        <v>650</v>
      </c>
      <c r="E7" s="279">
        <v>2550</v>
      </c>
      <c r="F7" s="279" t="s">
        <v>656</v>
      </c>
      <c r="G7" s="277">
        <v>12000</v>
      </c>
      <c r="H7" s="278" t="s">
        <v>657</v>
      </c>
      <c r="I7" s="282">
        <v>-18.88</v>
      </c>
      <c r="J7" s="145" t="s">
        <v>649</v>
      </c>
      <c r="K7" s="155">
        <v>38965.800000000003</v>
      </c>
      <c r="L7" s="143" t="s">
        <v>635</v>
      </c>
      <c r="M7" s="258">
        <v>50662.5</v>
      </c>
      <c r="N7" s="258">
        <v>252.983</v>
      </c>
      <c r="O7" s="258">
        <v>117680</v>
      </c>
      <c r="P7" s="258">
        <v>254.27</v>
      </c>
      <c r="Q7" s="155">
        <f t="shared" ref="Q7:Q23" si="2" xml:space="preserve"> (M7*P7/(O7*N7)) *E7</f>
        <v>1103.3871507057463</v>
      </c>
      <c r="R7" s="155" t="s">
        <v>638</v>
      </c>
      <c r="S7" s="258">
        <v>38965.9</v>
      </c>
      <c r="T7" s="259" t="s">
        <v>635</v>
      </c>
      <c r="U7" s="52">
        <f t="shared" si="0"/>
        <v>-9.9999999998544808E-2</v>
      </c>
      <c r="V7" s="153">
        <f t="shared" si="1"/>
        <v>-2.5663530582855943E-4</v>
      </c>
    </row>
    <row r="8" spans="1:22" x14ac:dyDescent="0.25">
      <c r="A8" s="277">
        <v>101.4</v>
      </c>
      <c r="B8" s="278" t="s">
        <v>644</v>
      </c>
      <c r="C8" s="278">
        <v>255</v>
      </c>
      <c r="D8" s="278" t="s">
        <v>658</v>
      </c>
      <c r="E8" s="279">
        <v>20</v>
      </c>
      <c r="F8" s="289" t="s">
        <v>653</v>
      </c>
      <c r="G8" s="277">
        <v>0.5</v>
      </c>
      <c r="H8" s="278" t="s">
        <v>648</v>
      </c>
      <c r="I8" s="287">
        <v>-4.3</v>
      </c>
      <c r="J8" s="148" t="s">
        <v>650</v>
      </c>
      <c r="K8" s="155">
        <v>0.38957000000000003</v>
      </c>
      <c r="L8" s="143" t="s">
        <v>632</v>
      </c>
      <c r="M8" s="258">
        <v>101400</v>
      </c>
      <c r="N8" s="258">
        <v>255</v>
      </c>
      <c r="O8" s="258">
        <v>50662.5</v>
      </c>
      <c r="P8" s="258">
        <v>252.983</v>
      </c>
      <c r="Q8" s="155">
        <f t="shared" si="2"/>
        <v>39.712981350052971</v>
      </c>
      <c r="R8" s="155" t="s">
        <v>637</v>
      </c>
      <c r="S8" s="258">
        <v>0.38957000000000003</v>
      </c>
      <c r="T8" s="259" t="s">
        <v>632</v>
      </c>
      <c r="U8" s="52">
        <f t="shared" si="0"/>
        <v>0</v>
      </c>
      <c r="V8" s="153">
        <f t="shared" si="1"/>
        <v>0</v>
      </c>
    </row>
    <row r="9" spans="1:22" x14ac:dyDescent="0.25">
      <c r="A9" s="280">
        <v>12000</v>
      </c>
      <c r="B9" s="281" t="s">
        <v>657</v>
      </c>
      <c r="C9" s="282">
        <v>-18.88</v>
      </c>
      <c r="D9" s="278" t="s">
        <v>649</v>
      </c>
      <c r="E9" s="279">
        <v>18</v>
      </c>
      <c r="F9" s="290" t="s">
        <v>652</v>
      </c>
      <c r="G9" s="277">
        <v>760.6</v>
      </c>
      <c r="H9" s="278" t="s">
        <v>659</v>
      </c>
      <c r="I9" s="282">
        <v>255</v>
      </c>
      <c r="J9" s="145" t="s">
        <v>658</v>
      </c>
      <c r="K9" s="155">
        <v>75415844</v>
      </c>
      <c r="L9" s="143" t="s">
        <v>636</v>
      </c>
      <c r="M9" s="258">
        <v>117680</v>
      </c>
      <c r="N9" s="258">
        <v>254.27</v>
      </c>
      <c r="O9" s="258">
        <v>101405</v>
      </c>
      <c r="P9" s="258">
        <v>255</v>
      </c>
      <c r="Q9" s="155">
        <f t="shared" si="2"/>
        <v>20.948882112792628</v>
      </c>
      <c r="R9" s="155" t="s">
        <v>630</v>
      </c>
      <c r="S9" s="258">
        <v>75416040</v>
      </c>
      <c r="T9" s="259" t="s">
        <v>636</v>
      </c>
      <c r="U9" s="52">
        <f t="shared" si="0"/>
        <v>-196</v>
      </c>
      <c r="V9" s="153">
        <f t="shared" si="1"/>
        <v>-2.5989233774271624E-4</v>
      </c>
    </row>
    <row r="10" spans="1:22" x14ac:dyDescent="0.25">
      <c r="A10" s="277">
        <v>0.5</v>
      </c>
      <c r="B10" s="278" t="s">
        <v>648</v>
      </c>
      <c r="C10" s="281">
        <v>55.55</v>
      </c>
      <c r="D10" s="281" t="s">
        <v>650</v>
      </c>
      <c r="E10" s="279">
        <v>30</v>
      </c>
      <c r="F10" s="279" t="s">
        <v>656</v>
      </c>
      <c r="G10" s="277">
        <v>101.4</v>
      </c>
      <c r="H10" s="278" t="s">
        <v>644</v>
      </c>
      <c r="I10" s="282">
        <v>0</v>
      </c>
      <c r="J10" s="145" t="s">
        <v>649</v>
      </c>
      <c r="K10" s="155">
        <v>14303.8</v>
      </c>
      <c r="L10" s="143" t="s">
        <v>634</v>
      </c>
      <c r="M10" s="258">
        <v>50662.5</v>
      </c>
      <c r="N10" s="258">
        <v>286.233</v>
      </c>
      <c r="O10" s="258">
        <v>101400</v>
      </c>
      <c r="P10" s="258">
        <v>273.14999999999998</v>
      </c>
      <c r="Q10" s="155">
        <f t="shared" si="2"/>
        <v>14.303799665464744</v>
      </c>
      <c r="R10" s="155" t="s">
        <v>638</v>
      </c>
      <c r="S10" s="258">
        <v>14303.8</v>
      </c>
      <c r="T10" s="259" t="s">
        <v>634</v>
      </c>
      <c r="U10" s="52">
        <f t="shared" si="0"/>
        <v>0</v>
      </c>
      <c r="V10" s="153">
        <f t="shared" si="1"/>
        <v>0</v>
      </c>
    </row>
    <row r="11" spans="1:22" x14ac:dyDescent="0.25">
      <c r="A11" s="277">
        <v>20.001999999999999</v>
      </c>
      <c r="B11" s="278" t="s">
        <v>660</v>
      </c>
      <c r="C11" s="278">
        <v>0</v>
      </c>
      <c r="D11" s="278" t="s">
        <v>649</v>
      </c>
      <c r="E11" s="279">
        <v>30.4</v>
      </c>
      <c r="F11" s="289" t="s">
        <v>653</v>
      </c>
      <c r="G11" s="280">
        <v>20.001999999999999</v>
      </c>
      <c r="H11" s="281" t="s">
        <v>660</v>
      </c>
      <c r="I11" s="282">
        <v>-4.3</v>
      </c>
      <c r="J11" s="145" t="s">
        <v>650</v>
      </c>
      <c r="K11" s="155">
        <v>7.8209900000000001</v>
      </c>
      <c r="L11" s="143" t="s">
        <v>633</v>
      </c>
      <c r="M11" s="258">
        <v>137909</v>
      </c>
      <c r="N11" s="258">
        <v>273.14999999999998</v>
      </c>
      <c r="O11" s="258">
        <v>137909</v>
      </c>
      <c r="P11" s="258">
        <v>252.983</v>
      </c>
      <c r="Q11" s="155">
        <f t="shared" si="2"/>
        <v>28.155530660809081</v>
      </c>
      <c r="R11" s="155" t="s">
        <v>637</v>
      </c>
      <c r="S11" s="258">
        <v>7.82097</v>
      </c>
      <c r="T11" s="259" t="s">
        <v>633</v>
      </c>
      <c r="U11" s="52">
        <f t="shared" si="0"/>
        <v>2.0000000000131024E-5</v>
      </c>
      <c r="V11" s="153">
        <f t="shared" si="1"/>
        <v>2.5572210167934013E-4</v>
      </c>
    </row>
    <row r="12" spans="1:22" x14ac:dyDescent="0.25">
      <c r="A12" s="277">
        <v>760.6</v>
      </c>
      <c r="B12" s="278" t="s">
        <v>659</v>
      </c>
      <c r="C12" s="278">
        <v>-4.3</v>
      </c>
      <c r="D12" s="278" t="s">
        <v>650</v>
      </c>
      <c r="E12" s="279">
        <v>5</v>
      </c>
      <c r="F12" s="290" t="s">
        <v>652</v>
      </c>
      <c r="G12" s="277">
        <v>12000</v>
      </c>
      <c r="H12" s="278" t="s">
        <v>657</v>
      </c>
      <c r="I12" s="282">
        <v>-18.88</v>
      </c>
      <c r="J12" s="147" t="s">
        <v>649</v>
      </c>
      <c r="K12" s="155">
        <v>15594.4</v>
      </c>
      <c r="L12" s="143" t="s">
        <v>637</v>
      </c>
      <c r="M12" s="258">
        <v>101405</v>
      </c>
      <c r="N12" s="258">
        <v>252.983</v>
      </c>
      <c r="O12" s="258">
        <v>117680</v>
      </c>
      <c r="P12" s="258">
        <v>254.27</v>
      </c>
      <c r="Q12" s="155">
        <f t="shared" si="2"/>
        <v>4.3304247743793258</v>
      </c>
      <c r="R12" s="155" t="s">
        <v>630</v>
      </c>
      <c r="S12" s="258">
        <v>15589.5</v>
      </c>
      <c r="T12" s="259" t="s">
        <v>637</v>
      </c>
      <c r="U12" s="52">
        <f t="shared" si="0"/>
        <v>4.8999999999996362</v>
      </c>
      <c r="V12" s="153">
        <f t="shared" si="1"/>
        <v>3.1421535935974687E-2</v>
      </c>
    </row>
    <row r="13" spans="1:22" x14ac:dyDescent="0.25">
      <c r="A13" s="277">
        <v>0.8</v>
      </c>
      <c r="B13" s="278" t="s">
        <v>661</v>
      </c>
      <c r="C13" s="278">
        <v>0</v>
      </c>
      <c r="D13" s="278" t="s">
        <v>649</v>
      </c>
      <c r="E13" s="279">
        <v>40.36</v>
      </c>
      <c r="F13" s="279" t="s">
        <v>656</v>
      </c>
      <c r="G13" s="277">
        <v>760.6</v>
      </c>
      <c r="H13" s="278" t="s">
        <v>659</v>
      </c>
      <c r="I13" s="287">
        <v>-20</v>
      </c>
      <c r="J13" s="148" t="s">
        <v>649</v>
      </c>
      <c r="K13" s="155">
        <v>29.5093</v>
      </c>
      <c r="L13" s="143" t="s">
        <v>638</v>
      </c>
      <c r="M13" s="258">
        <v>80000</v>
      </c>
      <c r="N13" s="258">
        <v>273.14999999999998</v>
      </c>
      <c r="O13" s="258">
        <v>101405</v>
      </c>
      <c r="P13" s="258">
        <v>253.15</v>
      </c>
      <c r="Q13" s="155">
        <f t="shared" si="2"/>
        <v>29.509272445010502</v>
      </c>
      <c r="R13" s="155" t="s">
        <v>638</v>
      </c>
      <c r="S13" s="258">
        <v>29.5093</v>
      </c>
      <c r="T13" s="259" t="s">
        <v>638</v>
      </c>
      <c r="U13" s="52">
        <f t="shared" si="0"/>
        <v>0</v>
      </c>
      <c r="V13" s="153">
        <f t="shared" si="1"/>
        <v>0</v>
      </c>
    </row>
    <row r="14" spans="1:22" x14ac:dyDescent="0.25">
      <c r="A14" s="277">
        <v>20.001999999999999</v>
      </c>
      <c r="B14" s="278" t="s">
        <v>660</v>
      </c>
      <c r="C14" s="278">
        <v>55.55</v>
      </c>
      <c r="D14" s="278" t="s">
        <v>650</v>
      </c>
      <c r="E14" s="279">
        <v>1</v>
      </c>
      <c r="F14" s="289" t="s">
        <v>653</v>
      </c>
      <c r="G14" s="277">
        <v>0.8</v>
      </c>
      <c r="H14" s="278" t="s">
        <v>661</v>
      </c>
      <c r="I14" s="282">
        <v>55.55</v>
      </c>
      <c r="J14" s="145" t="s">
        <v>650</v>
      </c>
      <c r="K14" s="155">
        <v>4.7885100000000003E-4</v>
      </c>
      <c r="L14" s="143" t="s">
        <v>630</v>
      </c>
      <c r="M14" s="258">
        <v>137909</v>
      </c>
      <c r="N14" s="258">
        <v>286.233</v>
      </c>
      <c r="O14" s="258">
        <v>80000</v>
      </c>
      <c r="P14" s="258">
        <v>286.233</v>
      </c>
      <c r="Q14" s="155">
        <f t="shared" si="2"/>
        <v>1.7238624999999999</v>
      </c>
      <c r="R14" s="155" t="s">
        <v>637</v>
      </c>
      <c r="S14" s="258">
        <v>4.7885000000000001E-4</v>
      </c>
      <c r="T14" s="259" t="s">
        <v>630</v>
      </c>
      <c r="U14" s="52">
        <f t="shared" si="0"/>
        <v>1.0000000000157452E-9</v>
      </c>
      <c r="V14" s="153">
        <f t="shared" si="1"/>
        <v>2.0883322787584136E-4</v>
      </c>
    </row>
    <row r="15" spans="1:22" x14ac:dyDescent="0.25">
      <c r="A15" s="277">
        <v>0.8</v>
      </c>
      <c r="B15" s="278" t="s">
        <v>661</v>
      </c>
      <c r="C15" s="282">
        <v>-18.88</v>
      </c>
      <c r="D15" s="278" t="s">
        <v>649</v>
      </c>
      <c r="E15" s="279">
        <v>0.05</v>
      </c>
      <c r="F15" s="290" t="s">
        <v>652</v>
      </c>
      <c r="G15" s="277">
        <v>0.5</v>
      </c>
      <c r="H15" s="278" t="s">
        <v>648</v>
      </c>
      <c r="I15" s="282">
        <v>0</v>
      </c>
      <c r="J15" s="145" t="s">
        <v>649</v>
      </c>
      <c r="K15" s="155">
        <v>10782.9</v>
      </c>
      <c r="L15" s="143" t="s">
        <v>631</v>
      </c>
      <c r="M15" s="258">
        <v>80000</v>
      </c>
      <c r="N15" s="258">
        <v>254.27</v>
      </c>
      <c r="O15" s="258">
        <v>50662.5</v>
      </c>
      <c r="P15" s="258">
        <v>273.14999999999998</v>
      </c>
      <c r="Q15" s="155">
        <f t="shared" si="2"/>
        <v>8.4816326048209822E-2</v>
      </c>
      <c r="R15" s="155" t="s">
        <v>630</v>
      </c>
      <c r="S15" s="258">
        <v>10782.9</v>
      </c>
      <c r="T15" s="259" t="s">
        <v>631</v>
      </c>
      <c r="U15" s="52">
        <f t="shared" si="0"/>
        <v>0</v>
      </c>
      <c r="V15" s="153">
        <f t="shared" si="1"/>
        <v>0</v>
      </c>
    </row>
    <row r="16" spans="1:22" x14ac:dyDescent="0.25">
      <c r="A16" s="277">
        <v>101.4</v>
      </c>
      <c r="B16" s="278" t="s">
        <v>644</v>
      </c>
      <c r="C16" s="281">
        <v>255</v>
      </c>
      <c r="D16" s="281" t="s">
        <v>658</v>
      </c>
      <c r="E16" s="279">
        <v>100</v>
      </c>
      <c r="F16" s="279" t="s">
        <v>656</v>
      </c>
      <c r="G16" s="277">
        <v>20.001999999999999</v>
      </c>
      <c r="H16" s="278" t="s">
        <v>660</v>
      </c>
      <c r="I16" s="282">
        <v>255</v>
      </c>
      <c r="J16" s="145" t="s">
        <v>658</v>
      </c>
      <c r="K16" s="155">
        <v>2596.5700000000002</v>
      </c>
      <c r="L16" s="143" t="s">
        <v>635</v>
      </c>
      <c r="M16" s="258">
        <v>101400</v>
      </c>
      <c r="N16" s="258">
        <v>255</v>
      </c>
      <c r="O16" s="258">
        <v>137909</v>
      </c>
      <c r="P16" s="258">
        <v>255</v>
      </c>
      <c r="Q16" s="155">
        <f t="shared" si="2"/>
        <v>73.52674589765715</v>
      </c>
      <c r="R16" s="155" t="s">
        <v>638</v>
      </c>
      <c r="S16" s="258">
        <v>2596.5700000000002</v>
      </c>
      <c r="T16" s="259" t="s">
        <v>635</v>
      </c>
      <c r="U16" s="52">
        <f t="shared" si="0"/>
        <v>0</v>
      </c>
      <c r="V16" s="153">
        <f t="shared" si="1"/>
        <v>0</v>
      </c>
    </row>
    <row r="17" spans="1:22" x14ac:dyDescent="0.25">
      <c r="A17" s="280">
        <v>760.6</v>
      </c>
      <c r="B17" s="281" t="s">
        <v>659</v>
      </c>
      <c r="C17" s="282">
        <v>255</v>
      </c>
      <c r="D17" s="278" t="s">
        <v>658</v>
      </c>
      <c r="E17" s="279">
        <v>15.75</v>
      </c>
      <c r="F17" s="289" t="s">
        <v>653</v>
      </c>
      <c r="G17" s="277">
        <v>101.4</v>
      </c>
      <c r="H17" s="278" t="s">
        <v>644</v>
      </c>
      <c r="I17" s="282">
        <v>0</v>
      </c>
      <c r="J17" s="145" t="s">
        <v>649</v>
      </c>
      <c r="K17" s="155">
        <v>0.16550699999999999</v>
      </c>
      <c r="L17" s="143" t="s">
        <v>632</v>
      </c>
      <c r="M17" s="258">
        <v>101405</v>
      </c>
      <c r="N17" s="258">
        <v>255</v>
      </c>
      <c r="O17" s="258">
        <v>101400</v>
      </c>
      <c r="P17" s="258">
        <v>273.14999999999998</v>
      </c>
      <c r="Q17" s="155">
        <f t="shared" si="2"/>
        <v>16.871861316568044</v>
      </c>
      <c r="R17" s="155" t="s">
        <v>637</v>
      </c>
      <c r="S17" s="258">
        <v>0.16550699999999999</v>
      </c>
      <c r="T17" s="259" t="s">
        <v>632</v>
      </c>
      <c r="U17" s="52">
        <f t="shared" si="0"/>
        <v>0</v>
      </c>
      <c r="V17" s="153">
        <f t="shared" si="1"/>
        <v>0</v>
      </c>
    </row>
    <row r="18" spans="1:22" x14ac:dyDescent="0.25">
      <c r="A18" s="277">
        <v>0.8</v>
      </c>
      <c r="B18" s="278" t="s">
        <v>661</v>
      </c>
      <c r="C18" s="281">
        <v>-20</v>
      </c>
      <c r="D18" s="281" t="s">
        <v>649</v>
      </c>
      <c r="E18" s="279">
        <v>1.667</v>
      </c>
      <c r="F18" s="290" t="s">
        <v>652</v>
      </c>
      <c r="G18" s="280">
        <v>20.001999999999999</v>
      </c>
      <c r="H18" s="281" t="s">
        <v>660</v>
      </c>
      <c r="I18" s="282">
        <v>55.55</v>
      </c>
      <c r="J18" s="145" t="s">
        <v>650</v>
      </c>
      <c r="K18" s="155">
        <v>3936206</v>
      </c>
      <c r="L18" s="143" t="s">
        <v>636</v>
      </c>
      <c r="M18" s="258">
        <v>80000</v>
      </c>
      <c r="N18" s="258">
        <v>253.15</v>
      </c>
      <c r="O18" s="258">
        <v>137909</v>
      </c>
      <c r="P18" s="258">
        <v>286.233</v>
      </c>
      <c r="Q18" s="155">
        <f t="shared" si="2"/>
        <v>1.0933891203439323</v>
      </c>
      <c r="R18" s="155" t="s">
        <v>630</v>
      </c>
      <c r="S18" s="258">
        <v>3936204</v>
      </c>
      <c r="T18" s="259" t="s">
        <v>636</v>
      </c>
      <c r="U18" s="52">
        <f t="shared" si="0"/>
        <v>2</v>
      </c>
      <c r="V18" s="153">
        <f t="shared" si="1"/>
        <v>5.0810348848612089E-5</v>
      </c>
    </row>
    <row r="19" spans="1:22" x14ac:dyDescent="0.25">
      <c r="A19" s="277">
        <v>0.5</v>
      </c>
      <c r="B19" s="278" t="s">
        <v>648</v>
      </c>
      <c r="C19" s="278">
        <v>0</v>
      </c>
      <c r="D19" s="278" t="s">
        <v>649</v>
      </c>
      <c r="E19" s="279">
        <v>30</v>
      </c>
      <c r="F19" s="279" t="s">
        <v>656</v>
      </c>
      <c r="G19" s="277">
        <v>0.8</v>
      </c>
      <c r="H19" s="278" t="s">
        <v>661</v>
      </c>
      <c r="I19" s="282">
        <v>-4.3</v>
      </c>
      <c r="J19" s="145" t="s">
        <v>650</v>
      </c>
      <c r="K19" s="155">
        <v>17595.8</v>
      </c>
      <c r="L19" s="143" t="s">
        <v>634</v>
      </c>
      <c r="M19" s="155">
        <v>50662.5</v>
      </c>
      <c r="N19" s="258">
        <v>273.14999999999998</v>
      </c>
      <c r="O19" s="258">
        <v>80000</v>
      </c>
      <c r="P19" s="258">
        <v>252.983</v>
      </c>
      <c r="Q19" s="155">
        <f t="shared" si="2"/>
        <v>17.595759524299837</v>
      </c>
      <c r="R19" s="155" t="s">
        <v>638</v>
      </c>
      <c r="S19" s="258">
        <v>17595.8</v>
      </c>
      <c r="T19" s="259" t="s">
        <v>634</v>
      </c>
      <c r="U19" s="52">
        <f t="shared" si="0"/>
        <v>0</v>
      </c>
      <c r="V19" s="153">
        <f t="shared" si="1"/>
        <v>0</v>
      </c>
    </row>
    <row r="20" spans="1:22" x14ac:dyDescent="0.25">
      <c r="A20" s="280">
        <v>50</v>
      </c>
      <c r="B20" s="281" t="s">
        <v>644</v>
      </c>
      <c r="C20" s="278">
        <v>-4.3</v>
      </c>
      <c r="D20" s="278" t="s">
        <v>650</v>
      </c>
      <c r="E20" s="279">
        <v>30</v>
      </c>
      <c r="F20" s="289" t="s">
        <v>653</v>
      </c>
      <c r="G20" s="277">
        <v>760.6</v>
      </c>
      <c r="H20" s="278" t="s">
        <v>659</v>
      </c>
      <c r="I20" s="282">
        <v>-18.88</v>
      </c>
      <c r="J20" s="147" t="s">
        <v>649</v>
      </c>
      <c r="K20" s="155">
        <v>4.1298300000000001</v>
      </c>
      <c r="L20" s="143" t="s">
        <v>633</v>
      </c>
      <c r="M20" s="258">
        <v>50000</v>
      </c>
      <c r="N20" s="258">
        <v>252.983</v>
      </c>
      <c r="O20" s="258">
        <v>101405</v>
      </c>
      <c r="P20" s="258">
        <v>254.27</v>
      </c>
      <c r="Q20" s="155">
        <f t="shared" si="2"/>
        <v>14.867422193521264</v>
      </c>
      <c r="R20" s="155" t="s">
        <v>637</v>
      </c>
      <c r="S20" s="258">
        <v>4.1298300000000001</v>
      </c>
      <c r="T20" s="259" t="s">
        <v>633</v>
      </c>
      <c r="U20" s="52">
        <f t="shared" si="0"/>
        <v>0</v>
      </c>
      <c r="V20" s="153">
        <f t="shared" si="1"/>
        <v>0</v>
      </c>
    </row>
    <row r="21" spans="1:22" x14ac:dyDescent="0.25">
      <c r="A21" s="277">
        <v>20.001999999999999</v>
      </c>
      <c r="B21" s="278" t="s">
        <v>660</v>
      </c>
      <c r="C21" s="278">
        <v>255</v>
      </c>
      <c r="D21" s="278" t="s">
        <v>658</v>
      </c>
      <c r="E21" s="279">
        <v>44556</v>
      </c>
      <c r="F21" s="290" t="s">
        <v>652</v>
      </c>
      <c r="G21" s="277">
        <v>101.4</v>
      </c>
      <c r="H21" s="278" t="s">
        <v>644</v>
      </c>
      <c r="I21" s="287">
        <v>-20</v>
      </c>
      <c r="J21" s="148" t="s">
        <v>649</v>
      </c>
      <c r="K21" s="155">
        <v>216571354</v>
      </c>
      <c r="L21" s="143" t="s">
        <v>637</v>
      </c>
      <c r="M21" s="258">
        <v>137909</v>
      </c>
      <c r="N21" s="258">
        <v>255</v>
      </c>
      <c r="O21" s="258">
        <v>101400</v>
      </c>
      <c r="P21" s="258">
        <v>253.15</v>
      </c>
      <c r="Q21" s="155">
        <f t="shared" si="2"/>
        <v>60158.721902100013</v>
      </c>
      <c r="R21" s="155" t="s">
        <v>630</v>
      </c>
      <c r="S21" s="258">
        <v>216571320</v>
      </c>
      <c r="T21" s="259" t="s">
        <v>637</v>
      </c>
      <c r="U21" s="52">
        <f t="shared" si="0"/>
        <v>34</v>
      </c>
      <c r="V21" s="153">
        <f t="shared" si="1"/>
        <v>1.5699213848937751E-5</v>
      </c>
    </row>
    <row r="22" spans="1:22" x14ac:dyDescent="0.25">
      <c r="A22" s="277">
        <v>12000</v>
      </c>
      <c r="B22" s="278" t="s">
        <v>657</v>
      </c>
      <c r="C22" s="278">
        <v>0</v>
      </c>
      <c r="D22" s="278" t="s">
        <v>649</v>
      </c>
      <c r="E22" s="279">
        <v>30.33333</v>
      </c>
      <c r="F22" s="279" t="s">
        <v>656</v>
      </c>
      <c r="G22" s="280">
        <v>0.8</v>
      </c>
      <c r="H22" s="281" t="s">
        <v>661</v>
      </c>
      <c r="I22" s="282">
        <v>55.55</v>
      </c>
      <c r="J22" s="145" t="s">
        <v>650</v>
      </c>
      <c r="K22" s="159">
        <v>46.7575</v>
      </c>
      <c r="L22" s="143" t="s">
        <v>638</v>
      </c>
      <c r="M22" s="183">
        <v>117680</v>
      </c>
      <c r="N22" s="183">
        <v>273.14999999999998</v>
      </c>
      <c r="O22" s="183">
        <v>80000</v>
      </c>
      <c r="P22" s="183">
        <v>286.233</v>
      </c>
      <c r="Q22" s="155">
        <f t="shared" si="2"/>
        <v>46.757497592913012</v>
      </c>
      <c r="R22" s="155" t="s">
        <v>638</v>
      </c>
      <c r="S22" s="183">
        <v>46.7575</v>
      </c>
      <c r="T22" s="259" t="s">
        <v>638</v>
      </c>
      <c r="U22" s="52">
        <f t="shared" si="0"/>
        <v>0</v>
      </c>
      <c r="V22" s="153">
        <f t="shared" si="1"/>
        <v>0</v>
      </c>
    </row>
    <row r="23" spans="1:22" ht="15.75" thickBot="1" x14ac:dyDescent="0.3">
      <c r="A23" s="283">
        <v>20.001999999999999</v>
      </c>
      <c r="B23" s="284" t="s">
        <v>660</v>
      </c>
      <c r="C23" s="284">
        <v>55.55</v>
      </c>
      <c r="D23" s="284" t="s">
        <v>650</v>
      </c>
      <c r="E23" s="285">
        <v>1.0007999999999999</v>
      </c>
      <c r="F23" s="285" t="s">
        <v>653</v>
      </c>
      <c r="G23" s="283">
        <v>12000</v>
      </c>
      <c r="H23" s="284" t="s">
        <v>657</v>
      </c>
      <c r="I23" s="288">
        <v>255</v>
      </c>
      <c r="J23" s="146" t="s">
        <v>658</v>
      </c>
      <c r="K23" s="158">
        <v>2.9023900000000002E-4</v>
      </c>
      <c r="L23" s="152" t="s">
        <v>630</v>
      </c>
      <c r="M23" s="260">
        <v>137909</v>
      </c>
      <c r="N23" s="260">
        <v>286.233</v>
      </c>
      <c r="O23" s="260">
        <v>117680</v>
      </c>
      <c r="P23" s="260">
        <v>255</v>
      </c>
      <c r="Q23" s="158">
        <f t="shared" si="2"/>
        <v>1.0448590876092463</v>
      </c>
      <c r="R23" s="158" t="s">
        <v>637</v>
      </c>
      <c r="S23" s="260">
        <v>2.9023900000000002E-4</v>
      </c>
      <c r="T23" s="261" t="s">
        <v>630</v>
      </c>
      <c r="U23" s="57">
        <f t="shared" si="0"/>
        <v>0</v>
      </c>
      <c r="V23" s="163">
        <f t="shared" si="1"/>
        <v>0</v>
      </c>
    </row>
    <row r="24" spans="1:22" x14ac:dyDescent="0.25">
      <c r="B24" s="423" t="s">
        <v>675</v>
      </c>
      <c r="C24" s="423"/>
      <c r="D24" s="423"/>
      <c r="E24" s="423"/>
      <c r="F24" s="423"/>
      <c r="G24" s="423"/>
      <c r="H24" s="423"/>
      <c r="I24" s="423"/>
      <c r="J24" s="423"/>
      <c r="K24" s="423"/>
      <c r="L24" s="423"/>
      <c r="M24" s="423"/>
      <c r="N24" s="423"/>
      <c r="O24" s="423"/>
      <c r="P24" s="423"/>
      <c r="Q24" s="423"/>
      <c r="R24" s="423"/>
      <c r="S24" s="423"/>
      <c r="T24" s="423"/>
      <c r="U24" s="423"/>
      <c r="V24" s="423"/>
    </row>
    <row r="25" spans="1:22" ht="15.75" thickBot="1" x14ac:dyDescent="0.3">
      <c r="B25" s="424"/>
      <c r="C25" s="424"/>
      <c r="D25" s="424"/>
      <c r="E25" s="424"/>
      <c r="F25" s="424"/>
      <c r="G25" s="424"/>
      <c r="H25" s="424"/>
      <c r="I25" s="424"/>
      <c r="J25" s="424"/>
      <c r="K25" s="424"/>
      <c r="L25" s="424"/>
      <c r="M25" s="424"/>
      <c r="N25" s="424"/>
      <c r="O25" s="424"/>
      <c r="P25" s="424"/>
      <c r="Q25" s="424"/>
      <c r="R25" s="424"/>
      <c r="S25" s="424"/>
      <c r="T25" s="424"/>
      <c r="U25" s="424"/>
      <c r="V25" s="424"/>
    </row>
    <row r="26" spans="1:22" x14ac:dyDescent="0.25">
      <c r="A26" s="341" t="s">
        <v>640</v>
      </c>
      <c r="B26" s="406"/>
      <c r="C26" s="341" t="s">
        <v>639</v>
      </c>
      <c r="D26" s="406"/>
      <c r="E26" s="341" t="s">
        <v>641</v>
      </c>
      <c r="F26" s="406"/>
      <c r="G26" s="341" t="s">
        <v>643</v>
      </c>
      <c r="H26" s="406"/>
      <c r="I26" s="341" t="s">
        <v>642</v>
      </c>
      <c r="J26" s="406"/>
      <c r="K26" s="431" t="s">
        <v>14</v>
      </c>
      <c r="L26" s="432"/>
      <c r="M26" s="439" t="s">
        <v>645</v>
      </c>
      <c r="N26" s="439" t="s">
        <v>646</v>
      </c>
      <c r="O26" s="439" t="s">
        <v>647</v>
      </c>
      <c r="P26" s="439" t="s">
        <v>651</v>
      </c>
      <c r="Q26" s="431" t="s">
        <v>14</v>
      </c>
      <c r="R26" s="432"/>
      <c r="S26" s="435" t="s">
        <v>654</v>
      </c>
      <c r="T26" s="432"/>
      <c r="U26" s="440" t="s">
        <v>354</v>
      </c>
      <c r="V26" s="440" t="s">
        <v>355</v>
      </c>
    </row>
    <row r="27" spans="1:22" ht="15.75" thickBot="1" x14ac:dyDescent="0.3">
      <c r="A27" s="342"/>
      <c r="B27" s="407"/>
      <c r="C27" s="342"/>
      <c r="D27" s="407"/>
      <c r="E27" s="342"/>
      <c r="F27" s="425"/>
      <c r="G27" s="342"/>
      <c r="H27" s="407"/>
      <c r="I27" s="342"/>
      <c r="J27" s="407"/>
      <c r="K27" s="433" t="s">
        <v>290</v>
      </c>
      <c r="L27" s="434"/>
      <c r="M27" s="366"/>
      <c r="N27" s="366"/>
      <c r="O27" s="366"/>
      <c r="P27" s="366"/>
      <c r="Q27" s="442" t="s">
        <v>291</v>
      </c>
      <c r="R27" s="443"/>
      <c r="S27" s="444" t="s">
        <v>655</v>
      </c>
      <c r="T27" s="434"/>
      <c r="U27" s="441"/>
      <c r="V27" s="441"/>
    </row>
    <row r="28" spans="1:22" x14ac:dyDescent="0.25">
      <c r="A28" s="274">
        <v>50</v>
      </c>
      <c r="B28" s="275" t="s">
        <v>644</v>
      </c>
      <c r="C28" s="275">
        <v>-20</v>
      </c>
      <c r="D28" s="275" t="s">
        <v>649</v>
      </c>
      <c r="E28" s="276">
        <v>228839</v>
      </c>
      <c r="F28" s="264" t="s">
        <v>631</v>
      </c>
      <c r="G28" s="275">
        <v>50</v>
      </c>
      <c r="H28" s="275" t="s">
        <v>644</v>
      </c>
      <c r="I28" s="286">
        <v>-20</v>
      </c>
      <c r="J28" s="263" t="s">
        <v>649</v>
      </c>
      <c r="K28" s="157">
        <v>1.8</v>
      </c>
      <c r="L28" s="157" t="s">
        <v>652</v>
      </c>
      <c r="M28" s="157">
        <v>50000</v>
      </c>
      <c r="N28" s="157">
        <v>253.15</v>
      </c>
      <c r="O28" s="157">
        <v>50000</v>
      </c>
      <c r="P28" s="157">
        <v>253.15</v>
      </c>
      <c r="Q28" s="258">
        <f xml:space="preserve"> E28 / (P28*M28/(O28*N28))</f>
        <v>228839</v>
      </c>
      <c r="R28" s="265" t="s">
        <v>631</v>
      </c>
      <c r="S28" s="157">
        <v>1.8</v>
      </c>
      <c r="T28" s="157" t="s">
        <v>652</v>
      </c>
      <c r="U28" s="124">
        <f t="shared" ref="U28:U45" si="3">K28-S28</f>
        <v>0</v>
      </c>
      <c r="V28" s="262">
        <f t="shared" ref="V28:V45" si="4">(100*U28) /K28</f>
        <v>0</v>
      </c>
    </row>
    <row r="29" spans="1:22" x14ac:dyDescent="0.25">
      <c r="A29" s="277">
        <v>0.5</v>
      </c>
      <c r="B29" s="278" t="s">
        <v>648</v>
      </c>
      <c r="C29" s="278">
        <v>-4.3</v>
      </c>
      <c r="D29" s="278" t="s">
        <v>650</v>
      </c>
      <c r="E29" s="279">
        <v>38965.800000000003</v>
      </c>
      <c r="F29" s="267" t="s">
        <v>635</v>
      </c>
      <c r="G29" s="278">
        <v>12000</v>
      </c>
      <c r="H29" s="278" t="s">
        <v>657</v>
      </c>
      <c r="I29" s="282">
        <v>-18.88</v>
      </c>
      <c r="J29" s="266" t="s">
        <v>649</v>
      </c>
      <c r="K29" s="155">
        <v>2550</v>
      </c>
      <c r="L29" s="258" t="s">
        <v>656</v>
      </c>
      <c r="M29" s="258">
        <v>50662.5</v>
      </c>
      <c r="N29" s="258">
        <v>252.983</v>
      </c>
      <c r="O29" s="258">
        <v>117680</v>
      </c>
      <c r="P29" s="258">
        <v>254.27</v>
      </c>
      <c r="Q29" s="155">
        <f t="shared" ref="Q29:Q45" si="5" xml:space="preserve"> E29 / (P29*M29/(O29*N29))</f>
        <v>90052.516867217259</v>
      </c>
      <c r="R29" s="269" t="s">
        <v>635</v>
      </c>
      <c r="S29" s="258">
        <v>2550</v>
      </c>
      <c r="T29" s="258" t="s">
        <v>656</v>
      </c>
      <c r="U29" s="52">
        <f t="shared" si="3"/>
        <v>0</v>
      </c>
      <c r="V29" s="153">
        <f t="shared" si="4"/>
        <v>0</v>
      </c>
    </row>
    <row r="30" spans="1:22" x14ac:dyDescent="0.25">
      <c r="A30" s="277">
        <v>101.4</v>
      </c>
      <c r="B30" s="278" t="s">
        <v>644</v>
      </c>
      <c r="C30" s="278">
        <v>255</v>
      </c>
      <c r="D30" s="278" t="s">
        <v>658</v>
      </c>
      <c r="E30" s="279">
        <v>0.38957000000000003</v>
      </c>
      <c r="F30" s="267" t="s">
        <v>632</v>
      </c>
      <c r="G30" s="278">
        <v>0.5</v>
      </c>
      <c r="H30" s="278" t="s">
        <v>648</v>
      </c>
      <c r="I30" s="287">
        <v>-4.3</v>
      </c>
      <c r="J30" s="270" t="s">
        <v>650</v>
      </c>
      <c r="K30" s="155">
        <v>20</v>
      </c>
      <c r="L30" s="258" t="s">
        <v>653</v>
      </c>
      <c r="M30" s="258">
        <v>101400</v>
      </c>
      <c r="N30" s="258">
        <v>255</v>
      </c>
      <c r="O30" s="258">
        <v>50662.5</v>
      </c>
      <c r="P30" s="258">
        <v>252.983</v>
      </c>
      <c r="Q30" s="155">
        <f t="shared" si="5"/>
        <v>0.19619277463261034</v>
      </c>
      <c r="R30" s="269" t="s">
        <v>632</v>
      </c>
      <c r="S30" s="258">
        <v>20</v>
      </c>
      <c r="T30" s="258" t="s">
        <v>653</v>
      </c>
      <c r="U30" s="52">
        <f t="shared" si="3"/>
        <v>0</v>
      </c>
      <c r="V30" s="153">
        <f t="shared" si="4"/>
        <v>0</v>
      </c>
    </row>
    <row r="31" spans="1:22" x14ac:dyDescent="0.25">
      <c r="A31" s="280">
        <v>12000</v>
      </c>
      <c r="B31" s="281" t="s">
        <v>657</v>
      </c>
      <c r="C31" s="282">
        <v>-18.88</v>
      </c>
      <c r="D31" s="278" t="s">
        <v>649</v>
      </c>
      <c r="E31" s="279">
        <v>75415844</v>
      </c>
      <c r="F31" s="267" t="s">
        <v>636</v>
      </c>
      <c r="G31" s="278">
        <v>760.6</v>
      </c>
      <c r="H31" s="278" t="s">
        <v>659</v>
      </c>
      <c r="I31" s="282">
        <v>255</v>
      </c>
      <c r="J31" s="266" t="s">
        <v>658</v>
      </c>
      <c r="K31" s="155">
        <v>18</v>
      </c>
      <c r="L31" s="258" t="s">
        <v>652</v>
      </c>
      <c r="M31" s="258">
        <v>117680</v>
      </c>
      <c r="N31" s="258">
        <v>254.27</v>
      </c>
      <c r="O31" s="258">
        <v>101405</v>
      </c>
      <c r="P31" s="258">
        <v>255</v>
      </c>
      <c r="Q31" s="155">
        <f t="shared" si="5"/>
        <v>64799886.91955258</v>
      </c>
      <c r="R31" s="269" t="s">
        <v>636</v>
      </c>
      <c r="S31" s="258">
        <v>18</v>
      </c>
      <c r="T31" s="258" t="s">
        <v>652</v>
      </c>
      <c r="U31" s="52">
        <f t="shared" si="3"/>
        <v>0</v>
      </c>
      <c r="V31" s="153">
        <f t="shared" si="4"/>
        <v>0</v>
      </c>
    </row>
    <row r="32" spans="1:22" x14ac:dyDescent="0.25">
      <c r="A32" s="277">
        <v>0.5</v>
      </c>
      <c r="B32" s="278" t="s">
        <v>648</v>
      </c>
      <c r="C32" s="281">
        <v>55.55</v>
      </c>
      <c r="D32" s="281" t="s">
        <v>650</v>
      </c>
      <c r="E32" s="279">
        <v>14303.8</v>
      </c>
      <c r="F32" s="267" t="s">
        <v>634</v>
      </c>
      <c r="G32" s="278">
        <v>101.4</v>
      </c>
      <c r="H32" s="278" t="s">
        <v>644</v>
      </c>
      <c r="I32" s="282">
        <v>0</v>
      </c>
      <c r="J32" s="266" t="s">
        <v>649</v>
      </c>
      <c r="K32" s="155">
        <v>30</v>
      </c>
      <c r="L32" s="258" t="s">
        <v>656</v>
      </c>
      <c r="M32" s="258">
        <v>50662.5</v>
      </c>
      <c r="N32" s="258">
        <v>286.233</v>
      </c>
      <c r="O32" s="258">
        <v>101400</v>
      </c>
      <c r="P32" s="258">
        <v>273.14999999999998</v>
      </c>
      <c r="Q32" s="155">
        <f t="shared" si="5"/>
        <v>30000.000701635781</v>
      </c>
      <c r="R32" s="269" t="s">
        <v>634</v>
      </c>
      <c r="S32" s="258">
        <v>30</v>
      </c>
      <c r="T32" s="258" t="s">
        <v>656</v>
      </c>
      <c r="U32" s="52">
        <f t="shared" si="3"/>
        <v>0</v>
      </c>
      <c r="V32" s="153">
        <f t="shared" si="4"/>
        <v>0</v>
      </c>
    </row>
    <row r="33" spans="1:22" x14ac:dyDescent="0.25">
      <c r="A33" s="277">
        <v>20.001999999999999</v>
      </c>
      <c r="B33" s="278" t="s">
        <v>660</v>
      </c>
      <c r="C33" s="278">
        <v>0</v>
      </c>
      <c r="D33" s="278" t="s">
        <v>649</v>
      </c>
      <c r="E33" s="279">
        <v>7.8209900000000001</v>
      </c>
      <c r="F33" s="267" t="s">
        <v>633</v>
      </c>
      <c r="G33" s="281">
        <v>20.001999999999999</v>
      </c>
      <c r="H33" s="281" t="s">
        <v>660</v>
      </c>
      <c r="I33" s="282">
        <v>-4.3</v>
      </c>
      <c r="J33" s="266" t="s">
        <v>650</v>
      </c>
      <c r="K33" s="155">
        <v>30.4</v>
      </c>
      <c r="L33" s="258" t="s">
        <v>653</v>
      </c>
      <c r="M33" s="258">
        <v>137909</v>
      </c>
      <c r="N33" s="258">
        <v>273.14999999999998</v>
      </c>
      <c r="O33" s="258">
        <v>137909</v>
      </c>
      <c r="P33" s="258">
        <v>252.983</v>
      </c>
      <c r="Q33" s="155">
        <f t="shared" si="5"/>
        <v>8.4444544435792128</v>
      </c>
      <c r="R33" s="269" t="s">
        <v>633</v>
      </c>
      <c r="S33" s="258">
        <v>30.4</v>
      </c>
      <c r="T33" s="258" t="s">
        <v>653</v>
      </c>
      <c r="U33" s="52">
        <f t="shared" si="3"/>
        <v>0</v>
      </c>
      <c r="V33" s="153">
        <f t="shared" si="4"/>
        <v>0</v>
      </c>
    </row>
    <row r="34" spans="1:22" x14ac:dyDescent="0.25">
      <c r="A34" s="277">
        <v>760.6</v>
      </c>
      <c r="B34" s="278" t="s">
        <v>659</v>
      </c>
      <c r="C34" s="278">
        <v>-4.3</v>
      </c>
      <c r="D34" s="278" t="s">
        <v>650</v>
      </c>
      <c r="E34" s="279">
        <v>15594.4</v>
      </c>
      <c r="F34" s="267" t="s">
        <v>637</v>
      </c>
      <c r="G34" s="278">
        <v>12000</v>
      </c>
      <c r="H34" s="278" t="s">
        <v>657</v>
      </c>
      <c r="I34" s="282">
        <v>-18.88</v>
      </c>
      <c r="J34" s="268" t="s">
        <v>649</v>
      </c>
      <c r="K34" s="155">
        <v>5.0015599999999996</v>
      </c>
      <c r="L34" s="258" t="s">
        <v>652</v>
      </c>
      <c r="M34" s="258">
        <v>101405</v>
      </c>
      <c r="N34" s="258">
        <v>252.983</v>
      </c>
      <c r="O34" s="258">
        <v>117680</v>
      </c>
      <c r="P34" s="258">
        <v>254.27</v>
      </c>
      <c r="Q34" s="155">
        <f t="shared" si="5"/>
        <v>18005.623942786449</v>
      </c>
      <c r="R34" s="269" t="s">
        <v>637</v>
      </c>
      <c r="S34" s="258">
        <v>5.0015599999999996</v>
      </c>
      <c r="T34" s="258" t="s">
        <v>652</v>
      </c>
      <c r="U34" s="52">
        <f t="shared" si="3"/>
        <v>0</v>
      </c>
      <c r="V34" s="153">
        <f t="shared" si="4"/>
        <v>0</v>
      </c>
    </row>
    <row r="35" spans="1:22" x14ac:dyDescent="0.25">
      <c r="A35" s="277">
        <v>0.8</v>
      </c>
      <c r="B35" s="278" t="s">
        <v>661</v>
      </c>
      <c r="C35" s="278">
        <v>0</v>
      </c>
      <c r="D35" s="278" t="s">
        <v>649</v>
      </c>
      <c r="E35" s="279">
        <v>29.5093</v>
      </c>
      <c r="F35" s="267" t="s">
        <v>638</v>
      </c>
      <c r="G35" s="278">
        <v>760.6</v>
      </c>
      <c r="H35" s="278" t="s">
        <v>659</v>
      </c>
      <c r="I35" s="287">
        <v>-20</v>
      </c>
      <c r="J35" s="270" t="s">
        <v>649</v>
      </c>
      <c r="K35" s="155">
        <v>40.36</v>
      </c>
      <c r="L35" s="258" t="s">
        <v>656</v>
      </c>
      <c r="M35" s="258">
        <v>80000</v>
      </c>
      <c r="N35" s="258">
        <v>273.14999999999998</v>
      </c>
      <c r="O35" s="258">
        <v>101405</v>
      </c>
      <c r="P35" s="258">
        <v>253.15</v>
      </c>
      <c r="Q35" s="155">
        <f t="shared" si="5"/>
        <v>40.360037687116076</v>
      </c>
      <c r="R35" s="269" t="s">
        <v>638</v>
      </c>
      <c r="S35" s="258">
        <v>40.36</v>
      </c>
      <c r="T35" s="258" t="s">
        <v>656</v>
      </c>
      <c r="U35" s="52">
        <f t="shared" si="3"/>
        <v>0</v>
      </c>
      <c r="V35" s="153">
        <f t="shared" si="4"/>
        <v>0</v>
      </c>
    </row>
    <row r="36" spans="1:22" x14ac:dyDescent="0.25">
      <c r="A36" s="277">
        <v>20.001999999999999</v>
      </c>
      <c r="B36" s="278" t="s">
        <v>660</v>
      </c>
      <c r="C36" s="278">
        <v>55.55</v>
      </c>
      <c r="D36" s="278" t="s">
        <v>650</v>
      </c>
      <c r="E36" s="279">
        <v>4.7885100000000003E-4</v>
      </c>
      <c r="F36" s="267" t="s">
        <v>630</v>
      </c>
      <c r="G36" s="278">
        <v>0.8</v>
      </c>
      <c r="H36" s="278" t="s">
        <v>661</v>
      </c>
      <c r="I36" s="282">
        <v>55.55</v>
      </c>
      <c r="J36" s="266" t="s">
        <v>650</v>
      </c>
      <c r="K36" s="155">
        <v>1</v>
      </c>
      <c r="L36" s="258" t="s">
        <v>653</v>
      </c>
      <c r="M36" s="258">
        <v>137909</v>
      </c>
      <c r="N36" s="258">
        <v>286.233</v>
      </c>
      <c r="O36" s="258">
        <v>80000</v>
      </c>
      <c r="P36" s="258">
        <v>286.233</v>
      </c>
      <c r="Q36" s="155">
        <f t="shared" si="5"/>
        <v>2.7777795502831581E-4</v>
      </c>
      <c r="R36" s="269" t="s">
        <v>630</v>
      </c>
      <c r="S36" s="258">
        <v>1</v>
      </c>
      <c r="T36" s="258" t="s">
        <v>653</v>
      </c>
      <c r="U36" s="52">
        <f t="shared" si="3"/>
        <v>0</v>
      </c>
      <c r="V36" s="153">
        <f t="shared" si="4"/>
        <v>0</v>
      </c>
    </row>
    <row r="37" spans="1:22" x14ac:dyDescent="0.25">
      <c r="A37" s="277">
        <v>0.8</v>
      </c>
      <c r="B37" s="278" t="s">
        <v>661</v>
      </c>
      <c r="C37" s="282">
        <v>-18.88</v>
      </c>
      <c r="D37" s="278" t="s">
        <v>649</v>
      </c>
      <c r="E37" s="279">
        <v>10782.9</v>
      </c>
      <c r="F37" s="267" t="s">
        <v>631</v>
      </c>
      <c r="G37" s="278">
        <v>0.5</v>
      </c>
      <c r="H37" s="278" t="s">
        <v>648</v>
      </c>
      <c r="I37" s="282">
        <v>0</v>
      </c>
      <c r="J37" s="266" t="s">
        <v>649</v>
      </c>
      <c r="K37" s="155">
        <v>4.9999799999999997E-2</v>
      </c>
      <c r="L37" s="258" t="s">
        <v>652</v>
      </c>
      <c r="M37" s="258">
        <v>80000</v>
      </c>
      <c r="N37" s="258">
        <v>254.27</v>
      </c>
      <c r="O37" s="258">
        <v>50662.5</v>
      </c>
      <c r="P37" s="258">
        <v>273.14999999999998</v>
      </c>
      <c r="Q37" s="155">
        <f t="shared" si="5"/>
        <v>6356.618178598641</v>
      </c>
      <c r="R37" s="269" t="s">
        <v>631</v>
      </c>
      <c r="S37" s="258">
        <v>4.9999799999999997E-2</v>
      </c>
      <c r="T37" s="258" t="s">
        <v>652</v>
      </c>
      <c r="U37" s="52">
        <f t="shared" si="3"/>
        <v>0</v>
      </c>
      <c r="V37" s="153">
        <f t="shared" si="4"/>
        <v>0</v>
      </c>
    </row>
    <row r="38" spans="1:22" x14ac:dyDescent="0.25">
      <c r="A38" s="277">
        <v>101.4</v>
      </c>
      <c r="B38" s="278" t="s">
        <v>644</v>
      </c>
      <c r="C38" s="281">
        <v>255</v>
      </c>
      <c r="D38" s="281" t="s">
        <v>658</v>
      </c>
      <c r="E38" s="279">
        <v>2596.5700000000002</v>
      </c>
      <c r="F38" s="267" t="s">
        <v>635</v>
      </c>
      <c r="G38" s="278">
        <v>20.001999999999999</v>
      </c>
      <c r="H38" s="278" t="s">
        <v>660</v>
      </c>
      <c r="I38" s="282">
        <v>255</v>
      </c>
      <c r="J38" s="266" t="s">
        <v>658</v>
      </c>
      <c r="K38" s="155">
        <v>99.999899999999997</v>
      </c>
      <c r="L38" s="258" t="s">
        <v>656</v>
      </c>
      <c r="M38" s="258">
        <v>101400</v>
      </c>
      <c r="N38" s="258">
        <v>255</v>
      </c>
      <c r="O38" s="258">
        <v>137909</v>
      </c>
      <c r="P38" s="258">
        <v>255</v>
      </c>
      <c r="Q38" s="155">
        <f t="shared" si="5"/>
        <v>3531.4632359960551</v>
      </c>
      <c r="R38" s="269" t="s">
        <v>635</v>
      </c>
      <c r="S38" s="258">
        <v>99.999799999999993</v>
      </c>
      <c r="T38" s="258" t="s">
        <v>656</v>
      </c>
      <c r="U38" s="52">
        <f t="shared" si="3"/>
        <v>1.0000000000331966E-4</v>
      </c>
      <c r="V38" s="153">
        <f t="shared" si="4"/>
        <v>1.0000010000341967E-4</v>
      </c>
    </row>
    <row r="39" spans="1:22" x14ac:dyDescent="0.25">
      <c r="A39" s="280">
        <v>760.6</v>
      </c>
      <c r="B39" s="281" t="s">
        <v>659</v>
      </c>
      <c r="C39" s="282">
        <v>255</v>
      </c>
      <c r="D39" s="278" t="s">
        <v>658</v>
      </c>
      <c r="E39" s="279">
        <v>0.16550699999999999</v>
      </c>
      <c r="F39" s="267" t="s">
        <v>632</v>
      </c>
      <c r="G39" s="278">
        <v>101.4</v>
      </c>
      <c r="H39" s="278" t="s">
        <v>644</v>
      </c>
      <c r="I39" s="282">
        <v>0</v>
      </c>
      <c r="J39" s="266" t="s">
        <v>649</v>
      </c>
      <c r="K39" s="155">
        <v>15.75</v>
      </c>
      <c r="L39" s="258" t="s">
        <v>653</v>
      </c>
      <c r="M39" s="258">
        <v>101405</v>
      </c>
      <c r="N39" s="258">
        <v>255</v>
      </c>
      <c r="O39" s="258">
        <v>101400</v>
      </c>
      <c r="P39" s="258">
        <v>273.14999999999998</v>
      </c>
      <c r="Q39" s="155">
        <f t="shared" si="5"/>
        <v>0.15450193675076057</v>
      </c>
      <c r="R39" s="269" t="s">
        <v>632</v>
      </c>
      <c r="S39" s="258">
        <v>15.75</v>
      </c>
      <c r="T39" s="258" t="s">
        <v>653</v>
      </c>
      <c r="U39" s="52">
        <f t="shared" si="3"/>
        <v>0</v>
      </c>
      <c r="V39" s="153">
        <f t="shared" si="4"/>
        <v>0</v>
      </c>
    </row>
    <row r="40" spans="1:22" x14ac:dyDescent="0.25">
      <c r="A40" s="277">
        <v>0.8</v>
      </c>
      <c r="B40" s="278" t="s">
        <v>661</v>
      </c>
      <c r="C40" s="281">
        <v>-20</v>
      </c>
      <c r="D40" s="281" t="s">
        <v>649</v>
      </c>
      <c r="E40" s="279">
        <v>3936206</v>
      </c>
      <c r="F40" s="267" t="s">
        <v>636</v>
      </c>
      <c r="G40" s="281">
        <v>20.001999999999999</v>
      </c>
      <c r="H40" s="281" t="s">
        <v>660</v>
      </c>
      <c r="I40" s="282">
        <v>55.55</v>
      </c>
      <c r="J40" s="266" t="s">
        <v>650</v>
      </c>
      <c r="K40" s="155">
        <v>1.667</v>
      </c>
      <c r="L40" s="258" t="s">
        <v>652</v>
      </c>
      <c r="M40" s="258">
        <v>80000</v>
      </c>
      <c r="N40" s="258">
        <v>253.15</v>
      </c>
      <c r="O40" s="258">
        <v>137909</v>
      </c>
      <c r="P40" s="258">
        <v>286.233</v>
      </c>
      <c r="Q40" s="155">
        <f t="shared" si="5"/>
        <v>6001207.8773346413</v>
      </c>
      <c r="R40" s="269" t="s">
        <v>636</v>
      </c>
      <c r="S40" s="258">
        <v>1.667</v>
      </c>
      <c r="T40" s="258" t="s">
        <v>652</v>
      </c>
      <c r="U40" s="52">
        <f t="shared" si="3"/>
        <v>0</v>
      </c>
      <c r="V40" s="153">
        <f t="shared" si="4"/>
        <v>0</v>
      </c>
    </row>
    <row r="41" spans="1:22" x14ac:dyDescent="0.25">
      <c r="A41" s="277">
        <v>0.5</v>
      </c>
      <c r="B41" s="278" t="s">
        <v>648</v>
      </c>
      <c r="C41" s="278">
        <v>0</v>
      </c>
      <c r="D41" s="278" t="s">
        <v>649</v>
      </c>
      <c r="E41" s="279">
        <v>17595.8</v>
      </c>
      <c r="F41" s="267" t="s">
        <v>634</v>
      </c>
      <c r="G41" s="278">
        <v>0.8</v>
      </c>
      <c r="H41" s="278" t="s">
        <v>661</v>
      </c>
      <c r="I41" s="282">
        <v>-4.3</v>
      </c>
      <c r="J41" s="266" t="s">
        <v>650</v>
      </c>
      <c r="K41" s="155">
        <v>30</v>
      </c>
      <c r="L41" s="258" t="s">
        <v>656</v>
      </c>
      <c r="M41" s="155">
        <v>50662.5</v>
      </c>
      <c r="N41" s="258">
        <v>273.14999999999998</v>
      </c>
      <c r="O41" s="258">
        <v>80000</v>
      </c>
      <c r="P41" s="258">
        <v>252.983</v>
      </c>
      <c r="Q41" s="155">
        <f t="shared" si="5"/>
        <v>30000.069009297564</v>
      </c>
      <c r="R41" s="269" t="s">
        <v>634</v>
      </c>
      <c r="S41" s="258">
        <v>30.0001</v>
      </c>
      <c r="T41" s="258" t="s">
        <v>656</v>
      </c>
      <c r="U41" s="52">
        <f t="shared" si="3"/>
        <v>-9.9999999999766942E-5</v>
      </c>
      <c r="V41" s="153">
        <f t="shared" si="4"/>
        <v>-3.3333333333255649E-4</v>
      </c>
    </row>
    <row r="42" spans="1:22" x14ac:dyDescent="0.25">
      <c r="A42" s="280">
        <v>50</v>
      </c>
      <c r="B42" s="281" t="s">
        <v>644</v>
      </c>
      <c r="C42" s="278">
        <v>-4.3</v>
      </c>
      <c r="D42" s="278" t="s">
        <v>650</v>
      </c>
      <c r="E42" s="279">
        <v>4.1298300000000001</v>
      </c>
      <c r="F42" s="267" t="s">
        <v>633</v>
      </c>
      <c r="G42" s="278">
        <v>760.6</v>
      </c>
      <c r="H42" s="278" t="s">
        <v>659</v>
      </c>
      <c r="I42" s="282">
        <v>-18.88</v>
      </c>
      <c r="J42" s="268" t="s">
        <v>649</v>
      </c>
      <c r="K42" s="155">
        <v>30</v>
      </c>
      <c r="L42" s="258" t="s">
        <v>653</v>
      </c>
      <c r="M42" s="258">
        <v>50000</v>
      </c>
      <c r="N42" s="258">
        <v>252.983</v>
      </c>
      <c r="O42" s="258">
        <v>101405</v>
      </c>
      <c r="P42" s="258">
        <v>254.27</v>
      </c>
      <c r="Q42" s="155">
        <f t="shared" si="5"/>
        <v>8.3333141675353346</v>
      </c>
      <c r="R42" s="269" t="s">
        <v>633</v>
      </c>
      <c r="S42" s="258">
        <v>29.9999</v>
      </c>
      <c r="T42" s="258" t="s">
        <v>653</v>
      </c>
      <c r="U42" s="52">
        <f t="shared" si="3"/>
        <v>9.9999999999766942E-5</v>
      </c>
      <c r="V42" s="153">
        <f t="shared" si="4"/>
        <v>3.3333333333255649E-4</v>
      </c>
    </row>
    <row r="43" spans="1:22" x14ac:dyDescent="0.25">
      <c r="A43" s="277">
        <v>20.001999999999999</v>
      </c>
      <c r="B43" s="278" t="s">
        <v>660</v>
      </c>
      <c r="C43" s="278">
        <v>255</v>
      </c>
      <c r="D43" s="278" t="s">
        <v>658</v>
      </c>
      <c r="E43" s="279">
        <v>216571354</v>
      </c>
      <c r="F43" s="267" t="s">
        <v>637</v>
      </c>
      <c r="G43" s="278">
        <v>101.4</v>
      </c>
      <c r="H43" s="278" t="s">
        <v>644</v>
      </c>
      <c r="I43" s="287">
        <v>-20</v>
      </c>
      <c r="J43" s="270" t="s">
        <v>649</v>
      </c>
      <c r="K43" s="155">
        <v>44556</v>
      </c>
      <c r="L43" s="258" t="s">
        <v>652</v>
      </c>
      <c r="M43" s="258">
        <v>137909</v>
      </c>
      <c r="N43" s="258">
        <v>255</v>
      </c>
      <c r="O43" s="258">
        <v>101400</v>
      </c>
      <c r="P43" s="258">
        <v>253.15</v>
      </c>
      <c r="Q43" s="155">
        <f t="shared" si="5"/>
        <v>160401566.78407016</v>
      </c>
      <c r="R43" s="269" t="s">
        <v>637</v>
      </c>
      <c r="S43" s="258">
        <v>44556</v>
      </c>
      <c r="T43" s="258" t="s">
        <v>652</v>
      </c>
      <c r="U43" s="52">
        <f t="shared" si="3"/>
        <v>0</v>
      </c>
      <c r="V43" s="153">
        <f t="shared" si="4"/>
        <v>0</v>
      </c>
    </row>
    <row r="44" spans="1:22" x14ac:dyDescent="0.25">
      <c r="A44" s="277">
        <v>12000</v>
      </c>
      <c r="B44" s="278" t="s">
        <v>657</v>
      </c>
      <c r="C44" s="278">
        <v>0</v>
      </c>
      <c r="D44" s="278" t="s">
        <v>649</v>
      </c>
      <c r="E44" s="279">
        <v>46.7575</v>
      </c>
      <c r="F44" s="267" t="s">
        <v>638</v>
      </c>
      <c r="G44" s="281">
        <v>0.8</v>
      </c>
      <c r="H44" s="281" t="s">
        <v>661</v>
      </c>
      <c r="I44" s="282">
        <v>55.55</v>
      </c>
      <c r="J44" s="266" t="s">
        <v>650</v>
      </c>
      <c r="K44" s="159">
        <v>30.333300000000001</v>
      </c>
      <c r="L44" s="258" t="s">
        <v>656</v>
      </c>
      <c r="M44" s="183">
        <v>117680</v>
      </c>
      <c r="N44" s="183">
        <v>273.14999999999998</v>
      </c>
      <c r="O44" s="183">
        <v>80000</v>
      </c>
      <c r="P44" s="183">
        <v>286.233</v>
      </c>
      <c r="Q44" s="155">
        <f t="shared" si="5"/>
        <v>30.333331561566972</v>
      </c>
      <c r="R44" s="269" t="s">
        <v>638</v>
      </c>
      <c r="S44" s="183">
        <v>30.333300000000001</v>
      </c>
      <c r="T44" s="258" t="s">
        <v>656</v>
      </c>
      <c r="U44" s="52">
        <f t="shared" si="3"/>
        <v>0</v>
      </c>
      <c r="V44" s="153">
        <f t="shared" si="4"/>
        <v>0</v>
      </c>
    </row>
    <row r="45" spans="1:22" ht="15.75" thickBot="1" x14ac:dyDescent="0.3">
      <c r="A45" s="283">
        <v>20.001999999999999</v>
      </c>
      <c r="B45" s="284" t="s">
        <v>660</v>
      </c>
      <c r="C45" s="284">
        <v>55.55</v>
      </c>
      <c r="D45" s="284" t="s">
        <v>650</v>
      </c>
      <c r="E45" s="285">
        <v>2.9023900000000002E-4</v>
      </c>
      <c r="F45" s="272" t="s">
        <v>630</v>
      </c>
      <c r="G45" s="284">
        <v>12000</v>
      </c>
      <c r="H45" s="284" t="s">
        <v>657</v>
      </c>
      <c r="I45" s="288">
        <v>255</v>
      </c>
      <c r="J45" s="271" t="s">
        <v>658</v>
      </c>
      <c r="K45" s="158">
        <v>1.0007999999999999</v>
      </c>
      <c r="L45" s="260" t="s">
        <v>653</v>
      </c>
      <c r="M45" s="260">
        <v>137909</v>
      </c>
      <c r="N45" s="260">
        <v>286.233</v>
      </c>
      <c r="O45" s="260">
        <v>117680</v>
      </c>
      <c r="P45" s="260">
        <v>255</v>
      </c>
      <c r="Q45" s="158">
        <f t="shared" si="5"/>
        <v>2.7800034918070186E-4</v>
      </c>
      <c r="R45" s="273" t="s">
        <v>630</v>
      </c>
      <c r="S45" s="260">
        <v>1.0007999999999999</v>
      </c>
      <c r="T45" s="260" t="s">
        <v>653</v>
      </c>
      <c r="U45" s="57">
        <f t="shared" si="3"/>
        <v>0</v>
      </c>
      <c r="V45" s="163">
        <f t="shared" si="4"/>
        <v>0</v>
      </c>
    </row>
    <row r="47" spans="1:22" x14ac:dyDescent="0.25">
      <c r="H47" s="150"/>
      <c r="J47" s="151"/>
      <c r="L47" s="149"/>
    </row>
    <row r="48" spans="1:22" x14ac:dyDescent="0.25">
      <c r="A48" s="412" t="s">
        <v>677</v>
      </c>
      <c r="B48" s="412"/>
      <c r="C48" s="412"/>
      <c r="D48" s="412"/>
      <c r="E48" s="412"/>
      <c r="F48" s="412"/>
      <c r="G48" s="412"/>
      <c r="H48" s="412"/>
      <c r="I48" s="412"/>
      <c r="J48" s="412"/>
      <c r="K48" s="412"/>
      <c r="L48" s="413"/>
      <c r="M48" s="413"/>
      <c r="N48" s="413"/>
    </row>
    <row r="49" spans="1:14" ht="15.75" thickBot="1" x14ac:dyDescent="0.3">
      <c r="A49" s="412"/>
      <c r="B49" s="412"/>
      <c r="C49" s="412"/>
      <c r="D49" s="412"/>
      <c r="E49" s="412"/>
      <c r="F49" s="412"/>
      <c r="G49" s="412"/>
      <c r="H49" s="412"/>
      <c r="I49" s="412"/>
      <c r="J49" s="412"/>
      <c r="K49" s="412"/>
      <c r="L49" s="413"/>
      <c r="M49" s="413"/>
      <c r="N49" s="413"/>
    </row>
    <row r="50" spans="1:14" x14ac:dyDescent="0.25">
      <c r="A50" s="341" t="s">
        <v>663</v>
      </c>
      <c r="B50" s="406"/>
      <c r="C50" s="431" t="s">
        <v>673</v>
      </c>
      <c r="D50" s="432"/>
      <c r="E50" s="431" t="s">
        <v>14</v>
      </c>
      <c r="F50" s="432"/>
      <c r="G50" s="408" t="s">
        <v>354</v>
      </c>
      <c r="H50" s="409"/>
      <c r="I50" s="408" t="s">
        <v>355</v>
      </c>
      <c r="J50" s="409"/>
      <c r="L50" s="292" t="s">
        <v>676</v>
      </c>
      <c r="M50" s="293"/>
      <c r="N50" s="294"/>
    </row>
    <row r="51" spans="1:14" ht="15.75" thickBot="1" x14ac:dyDescent="0.3">
      <c r="A51" s="389"/>
      <c r="B51" s="425"/>
      <c r="C51" s="433" t="s">
        <v>290</v>
      </c>
      <c r="D51" s="447"/>
      <c r="E51" s="433" t="s">
        <v>291</v>
      </c>
      <c r="F51" s="447"/>
      <c r="G51" s="410"/>
      <c r="H51" s="411"/>
      <c r="I51" s="410"/>
      <c r="J51" s="411"/>
      <c r="L51" s="295" t="s">
        <v>664</v>
      </c>
      <c r="M51" s="291">
        <v>101325</v>
      </c>
      <c r="N51" s="296" t="s">
        <v>665</v>
      </c>
    </row>
    <row r="52" spans="1:14" x14ac:dyDescent="0.25">
      <c r="A52" s="426">
        <v>50000</v>
      </c>
      <c r="B52" s="427"/>
      <c r="C52" s="157">
        <v>5647.27</v>
      </c>
      <c r="D52" s="157" t="s">
        <v>662</v>
      </c>
      <c r="E52" s="155">
        <f>LN(A52/$M$51)*$M$54*$M$52/(-$M$55*$M$53)</f>
        <v>5647.2652405235522</v>
      </c>
      <c r="F52" s="55" t="s">
        <v>662</v>
      </c>
      <c r="G52" s="401">
        <f>E52-C52</f>
        <v>-4.7594764482710161E-3</v>
      </c>
      <c r="H52" s="402"/>
      <c r="I52" s="394">
        <f t="shared" ref="I52:I63" si="6">(100*G52) /E52</f>
        <v>-8.4279314775549129E-5</v>
      </c>
      <c r="J52" s="395"/>
      <c r="L52" s="297" t="s">
        <v>666</v>
      </c>
      <c r="M52" s="291">
        <v>273.14999999999998</v>
      </c>
      <c r="N52" s="296" t="s">
        <v>658</v>
      </c>
    </row>
    <row r="53" spans="1:14" x14ac:dyDescent="0.25">
      <c r="A53" s="418">
        <v>41041.410000000003</v>
      </c>
      <c r="B53" s="419"/>
      <c r="C53" s="155">
        <v>7225.9</v>
      </c>
      <c r="D53" s="155" t="s">
        <v>662</v>
      </c>
      <c r="E53" s="155">
        <f t="shared" ref="E53:E63" si="7">LN(A53/$M$51)*$M$54*$M$52/(-$M$55*$M$53)</f>
        <v>7225.8978027035528</v>
      </c>
      <c r="F53" s="53" t="s">
        <v>662</v>
      </c>
      <c r="G53" s="414">
        <f t="shared" ref="G53:G63" si="8">E53-C53</f>
        <v>-2.1972964468659484E-3</v>
      </c>
      <c r="H53" s="415"/>
      <c r="I53" s="396">
        <f t="shared" si="6"/>
        <v>-3.0408628890984801E-5</v>
      </c>
      <c r="J53" s="397"/>
      <c r="L53" s="298" t="s">
        <v>671</v>
      </c>
      <c r="M53" s="291">
        <v>2.8964400000000001E-2</v>
      </c>
      <c r="N53" s="299" t="s">
        <v>672</v>
      </c>
    </row>
    <row r="54" spans="1:14" x14ac:dyDescent="0.25">
      <c r="A54" s="418">
        <v>30003</v>
      </c>
      <c r="B54" s="419"/>
      <c r="C54" s="155">
        <v>9730.74</v>
      </c>
      <c r="D54" s="155" t="s">
        <v>662</v>
      </c>
      <c r="E54" s="155">
        <f t="shared" si="7"/>
        <v>9730.744744536878</v>
      </c>
      <c r="F54" s="53" t="s">
        <v>662</v>
      </c>
      <c r="G54" s="414">
        <f t="shared" si="8"/>
        <v>4.7445368782064179E-3</v>
      </c>
      <c r="H54" s="415"/>
      <c r="I54" s="396">
        <f t="shared" si="6"/>
        <v>4.8758209189179877E-5</v>
      </c>
      <c r="J54" s="397"/>
      <c r="L54" s="295" t="s">
        <v>667</v>
      </c>
      <c r="M54" s="291">
        <v>8.3143200000000004</v>
      </c>
      <c r="N54" s="299" t="s">
        <v>668</v>
      </c>
    </row>
    <row r="55" spans="1:14" ht="18" thickBot="1" x14ac:dyDescent="0.3">
      <c r="A55" s="418">
        <v>48000.002</v>
      </c>
      <c r="B55" s="419"/>
      <c r="C55" s="155">
        <v>5973.65</v>
      </c>
      <c r="D55" s="155" t="s">
        <v>662</v>
      </c>
      <c r="E55" s="155">
        <f t="shared" si="7"/>
        <v>5973.6549856285837</v>
      </c>
      <c r="F55" s="53" t="s">
        <v>662</v>
      </c>
      <c r="G55" s="414">
        <f t="shared" si="8"/>
        <v>4.9856285841087811E-3</v>
      </c>
      <c r="H55" s="415"/>
      <c r="I55" s="396">
        <f t="shared" si="6"/>
        <v>8.346027007088966E-5</v>
      </c>
      <c r="J55" s="397"/>
      <c r="L55" s="300" t="s">
        <v>669</v>
      </c>
      <c r="M55" s="301">
        <v>9.8066499999999994</v>
      </c>
      <c r="N55" s="302" t="s">
        <v>670</v>
      </c>
    </row>
    <row r="56" spans="1:14" x14ac:dyDescent="0.25">
      <c r="A56" s="418">
        <v>50662.5</v>
      </c>
      <c r="B56" s="419"/>
      <c r="C56" s="155">
        <v>5542.02</v>
      </c>
      <c r="D56" s="155" t="s">
        <v>662</v>
      </c>
      <c r="E56" s="155">
        <f t="shared" si="7"/>
        <v>5542.0212843477493</v>
      </c>
      <c r="F56" s="53" t="s">
        <v>662</v>
      </c>
      <c r="G56" s="414">
        <f t="shared" si="8"/>
        <v>1.2843477488786448E-3</v>
      </c>
      <c r="H56" s="415"/>
      <c r="I56" s="396">
        <f t="shared" si="6"/>
        <v>2.3174717002729845E-5</v>
      </c>
      <c r="J56" s="397"/>
    </row>
    <row r="57" spans="1:14" x14ac:dyDescent="0.25">
      <c r="A57" s="418">
        <v>37909</v>
      </c>
      <c r="B57" s="419"/>
      <c r="C57" s="155">
        <v>7860.68</v>
      </c>
      <c r="D57" s="155" t="s">
        <v>662</v>
      </c>
      <c r="E57" s="155">
        <f t="shared" si="7"/>
        <v>7860.6803451014939</v>
      </c>
      <c r="F57" s="53" t="s">
        <v>662</v>
      </c>
      <c r="G57" s="414">
        <f t="shared" si="8"/>
        <v>3.451014936217689E-4</v>
      </c>
      <c r="H57" s="415"/>
      <c r="I57" s="396">
        <f t="shared" si="6"/>
        <v>4.3902242359571877E-6</v>
      </c>
      <c r="J57" s="397"/>
    </row>
    <row r="58" spans="1:14" x14ac:dyDescent="0.25">
      <c r="A58" s="418">
        <v>55555.55</v>
      </c>
      <c r="B58" s="419"/>
      <c r="C58" s="155">
        <v>4804.8599999999997</v>
      </c>
      <c r="D58" s="155" t="s">
        <v>662</v>
      </c>
      <c r="E58" s="155">
        <f t="shared" si="7"/>
        <v>4804.8616609090859</v>
      </c>
      <c r="F58" s="53" t="s">
        <v>662</v>
      </c>
      <c r="G58" s="414">
        <f t="shared" si="8"/>
        <v>1.6609090862402809E-3</v>
      </c>
      <c r="H58" s="415"/>
      <c r="I58" s="396">
        <f t="shared" si="6"/>
        <v>3.4567261316864526E-5</v>
      </c>
      <c r="J58" s="397"/>
    </row>
    <row r="59" spans="1:14" x14ac:dyDescent="0.25">
      <c r="A59" s="418">
        <v>80000</v>
      </c>
      <c r="B59" s="419"/>
      <c r="C59" s="155">
        <v>1889.38</v>
      </c>
      <c r="D59" s="155" t="s">
        <v>662</v>
      </c>
      <c r="E59" s="155">
        <f t="shared" si="7"/>
        <v>1889.3763100710855</v>
      </c>
      <c r="F59" s="53" t="s">
        <v>662</v>
      </c>
      <c r="G59" s="414">
        <f t="shared" si="8"/>
        <v>-3.6899289145821967E-3</v>
      </c>
      <c r="H59" s="415"/>
      <c r="I59" s="396">
        <f t="shared" si="6"/>
        <v>-1.952987816621543E-4</v>
      </c>
      <c r="J59" s="397"/>
    </row>
    <row r="60" spans="1:14" x14ac:dyDescent="0.25">
      <c r="A60" s="418">
        <v>87200.35</v>
      </c>
      <c r="B60" s="419"/>
      <c r="C60" s="155">
        <v>1200.32</v>
      </c>
      <c r="D60" s="155" t="s">
        <v>662</v>
      </c>
      <c r="E60" s="155">
        <f t="shared" si="7"/>
        <v>1200.3150478944517</v>
      </c>
      <c r="F60" s="53" t="s">
        <v>662</v>
      </c>
      <c r="G60" s="414">
        <f t="shared" si="8"/>
        <v>-4.9521055482273368E-3</v>
      </c>
      <c r="H60" s="415"/>
      <c r="I60" s="396">
        <f t="shared" si="6"/>
        <v>-4.1256714700979027E-4</v>
      </c>
      <c r="J60" s="397"/>
    </row>
    <row r="61" spans="1:14" x14ac:dyDescent="0.25">
      <c r="A61" s="418">
        <v>98010</v>
      </c>
      <c r="B61" s="419"/>
      <c r="C61" s="155">
        <v>265.95800000000003</v>
      </c>
      <c r="D61" s="155" t="s">
        <v>662</v>
      </c>
      <c r="E61" s="155">
        <f t="shared" si="7"/>
        <v>265.95780390422414</v>
      </c>
      <c r="F61" s="53" t="s">
        <v>662</v>
      </c>
      <c r="G61" s="414">
        <f t="shared" si="8"/>
        <v>-1.9609577589108085E-4</v>
      </c>
      <c r="H61" s="415"/>
      <c r="I61" s="396">
        <f t="shared" si="6"/>
        <v>-7.3731912736690457E-5</v>
      </c>
      <c r="J61" s="397"/>
    </row>
    <row r="62" spans="1:14" x14ac:dyDescent="0.25">
      <c r="A62" s="418">
        <v>10000</v>
      </c>
      <c r="B62" s="419"/>
      <c r="C62" s="155">
        <v>18515.400000000001</v>
      </c>
      <c r="D62" s="155" t="s">
        <v>662</v>
      </c>
      <c r="E62" s="155">
        <f t="shared" si="7"/>
        <v>18515.440163114334</v>
      </c>
      <c r="F62" s="53" t="s">
        <v>662</v>
      </c>
      <c r="G62" s="414">
        <f t="shared" si="8"/>
        <v>4.0163114332244731E-2</v>
      </c>
      <c r="H62" s="415"/>
      <c r="I62" s="396">
        <f t="shared" si="6"/>
        <v>2.1691687574490378E-4</v>
      </c>
      <c r="J62" s="397"/>
    </row>
    <row r="63" spans="1:14" ht="15.75" thickBot="1" x14ac:dyDescent="0.3">
      <c r="A63" s="420">
        <v>101000</v>
      </c>
      <c r="B63" s="421"/>
      <c r="C63" s="158">
        <v>25.686599999999999</v>
      </c>
      <c r="D63" s="260" t="s">
        <v>662</v>
      </c>
      <c r="E63" s="158">
        <f t="shared" si="7"/>
        <v>25.686616953831763</v>
      </c>
      <c r="F63" s="56" t="s">
        <v>662</v>
      </c>
      <c r="G63" s="416">
        <f t="shared" si="8"/>
        <v>1.6953831764254801E-5</v>
      </c>
      <c r="H63" s="417"/>
      <c r="I63" s="392">
        <f t="shared" si="6"/>
        <v>6.6002587241157648E-5</v>
      </c>
      <c r="J63" s="398"/>
    </row>
    <row r="64" spans="1:14" x14ac:dyDescent="0.25">
      <c r="A64" s="412" t="s">
        <v>678</v>
      </c>
      <c r="B64" s="412"/>
      <c r="C64" s="412"/>
      <c r="D64" s="412"/>
      <c r="E64" s="412"/>
      <c r="F64" s="412"/>
      <c r="G64" s="412"/>
      <c r="H64" s="412"/>
      <c r="I64" s="412"/>
      <c r="J64" s="412"/>
      <c r="K64" s="412"/>
      <c r="L64" s="413"/>
      <c r="M64" s="413"/>
      <c r="N64" s="413"/>
    </row>
    <row r="65" spans="1:14" ht="15.75" thickBot="1" x14ac:dyDescent="0.3">
      <c r="A65" s="412"/>
      <c r="B65" s="412"/>
      <c r="C65" s="412"/>
      <c r="D65" s="412"/>
      <c r="E65" s="412"/>
      <c r="F65" s="412"/>
      <c r="G65" s="412"/>
      <c r="H65" s="412"/>
      <c r="I65" s="412"/>
      <c r="J65" s="412"/>
      <c r="K65" s="412"/>
      <c r="L65" s="413"/>
      <c r="M65" s="413"/>
      <c r="N65" s="413"/>
    </row>
    <row r="66" spans="1:14" x14ac:dyDescent="0.25">
      <c r="A66" s="341" t="s">
        <v>673</v>
      </c>
      <c r="B66" s="406"/>
      <c r="C66" s="431" t="s">
        <v>663</v>
      </c>
      <c r="D66" s="432"/>
      <c r="E66" s="431" t="s">
        <v>14</v>
      </c>
      <c r="F66" s="432"/>
      <c r="G66" s="408" t="s">
        <v>354</v>
      </c>
      <c r="H66" s="409"/>
      <c r="I66" s="408" t="s">
        <v>355</v>
      </c>
      <c r="J66" s="409"/>
    </row>
    <row r="67" spans="1:14" ht="15.75" thickBot="1" x14ac:dyDescent="0.3">
      <c r="A67" s="342"/>
      <c r="B67" s="407"/>
      <c r="C67" s="433" t="s">
        <v>290</v>
      </c>
      <c r="D67" s="434"/>
      <c r="E67" s="433" t="s">
        <v>291</v>
      </c>
      <c r="F67" s="434"/>
      <c r="G67" s="410"/>
      <c r="H67" s="411"/>
      <c r="I67" s="410"/>
      <c r="J67" s="411"/>
    </row>
    <row r="68" spans="1:14" x14ac:dyDescent="0.25">
      <c r="A68" s="404">
        <v>0</v>
      </c>
      <c r="B68" s="405"/>
      <c r="C68" s="258">
        <v>101325</v>
      </c>
      <c r="D68" s="258" t="s">
        <v>662</v>
      </c>
      <c r="E68" s="258">
        <f>$M$51*EXP(-$M$55*$M$53*A68/ ($M$54*$M$52))</f>
        <v>101325</v>
      </c>
      <c r="F68" s="258" t="s">
        <v>662</v>
      </c>
      <c r="G68" s="401">
        <f>E68-C68</f>
        <v>0</v>
      </c>
      <c r="H68" s="402"/>
      <c r="I68" s="394">
        <f t="shared" ref="I68:I79" si="9">(100*G68) /E68</f>
        <v>0</v>
      </c>
      <c r="J68" s="395"/>
    </row>
    <row r="69" spans="1:14" x14ac:dyDescent="0.25">
      <c r="A69" s="399">
        <v>28</v>
      </c>
      <c r="B69" s="400"/>
      <c r="C69" s="155">
        <v>100971</v>
      </c>
      <c r="D69" s="155" t="s">
        <v>662</v>
      </c>
      <c r="E69" s="258">
        <f t="shared" ref="E69:E79" si="10">$M$51*EXP(-$M$55*$M$53*A69/ ($M$54*$M$52))</f>
        <v>100970.78113333491</v>
      </c>
      <c r="F69" s="155" t="s">
        <v>662</v>
      </c>
      <c r="G69" s="396">
        <f t="shared" ref="G69:G79" si="11">E69-C69</f>
        <v>-0.21886666509089991</v>
      </c>
      <c r="H69" s="403"/>
      <c r="I69" s="396">
        <f t="shared" si="9"/>
        <v>-2.1676237683244224E-4</v>
      </c>
      <c r="J69" s="397"/>
    </row>
    <row r="70" spans="1:14" x14ac:dyDescent="0.25">
      <c r="A70" s="399">
        <v>123</v>
      </c>
      <c r="B70" s="400"/>
      <c r="C70" s="155">
        <v>99778.2</v>
      </c>
      <c r="D70" s="155" t="s">
        <v>662</v>
      </c>
      <c r="E70" s="258">
        <f t="shared" si="10"/>
        <v>99778.169460615696</v>
      </c>
      <c r="F70" s="155" t="s">
        <v>662</v>
      </c>
      <c r="G70" s="396">
        <f t="shared" si="11"/>
        <v>-3.0539384300936945E-2</v>
      </c>
      <c r="H70" s="403"/>
      <c r="I70" s="396">
        <f t="shared" si="9"/>
        <v>-3.0607280596575198E-5</v>
      </c>
      <c r="J70" s="397"/>
    </row>
    <row r="71" spans="1:14" x14ac:dyDescent="0.25">
      <c r="A71" s="399">
        <v>555</v>
      </c>
      <c r="B71" s="400"/>
      <c r="C71" s="155">
        <v>94530.1</v>
      </c>
      <c r="D71" s="155" t="s">
        <v>662</v>
      </c>
      <c r="E71" s="258">
        <f t="shared" si="10"/>
        <v>94530.134164380957</v>
      </c>
      <c r="F71" s="155" t="s">
        <v>662</v>
      </c>
      <c r="G71" s="396">
        <f t="shared" si="11"/>
        <v>3.416438095155172E-2</v>
      </c>
      <c r="H71" s="403"/>
      <c r="I71" s="396">
        <f t="shared" si="9"/>
        <v>3.6141259349259332E-5</v>
      </c>
      <c r="J71" s="397"/>
    </row>
    <row r="72" spans="1:14" x14ac:dyDescent="0.25">
      <c r="A72" s="399">
        <v>1188</v>
      </c>
      <c r="B72" s="400"/>
      <c r="C72" s="155">
        <v>87334.8</v>
      </c>
      <c r="D72" s="155" t="s">
        <v>662</v>
      </c>
      <c r="E72" s="258">
        <f t="shared" si="10"/>
        <v>87334.764496812262</v>
      </c>
      <c r="F72" s="155" t="s">
        <v>662</v>
      </c>
      <c r="G72" s="396">
        <f t="shared" si="11"/>
        <v>-3.5503187740687281E-2</v>
      </c>
      <c r="H72" s="403"/>
      <c r="I72" s="396">
        <f t="shared" si="9"/>
        <v>-4.0651838869941827E-5</v>
      </c>
      <c r="J72" s="397"/>
    </row>
    <row r="73" spans="1:14" x14ac:dyDescent="0.25">
      <c r="A73" s="399">
        <v>246</v>
      </c>
      <c r="B73" s="400"/>
      <c r="C73" s="155">
        <v>98255</v>
      </c>
      <c r="D73" s="155" t="s">
        <v>662</v>
      </c>
      <c r="E73" s="258">
        <f t="shared" si="10"/>
        <v>98254.952883408259</v>
      </c>
      <c r="F73" s="155" t="s">
        <v>662</v>
      </c>
      <c r="G73" s="396">
        <f t="shared" si="11"/>
        <v>-4.711659174063243E-2</v>
      </c>
      <c r="H73" s="403"/>
      <c r="I73" s="396">
        <f t="shared" si="9"/>
        <v>-4.7953401185324605E-5</v>
      </c>
      <c r="J73" s="397"/>
    </row>
    <row r="74" spans="1:14" x14ac:dyDescent="0.25">
      <c r="A74" s="399">
        <v>1991</v>
      </c>
      <c r="B74" s="400"/>
      <c r="C74" s="155">
        <v>78989.600000000006</v>
      </c>
      <c r="D74" s="155" t="s">
        <v>662</v>
      </c>
      <c r="E74" s="258">
        <f t="shared" si="10"/>
        <v>78989.61902963079</v>
      </c>
      <c r="F74" s="155" t="s">
        <v>662</v>
      </c>
      <c r="G74" s="396">
        <f t="shared" si="11"/>
        <v>1.9029630784643814E-2</v>
      </c>
      <c r="H74" s="403"/>
      <c r="I74" s="396">
        <f t="shared" si="9"/>
        <v>2.4091305944272714E-5</v>
      </c>
      <c r="J74" s="397"/>
    </row>
    <row r="75" spans="1:14" x14ac:dyDescent="0.25">
      <c r="A75" s="399">
        <v>28.88</v>
      </c>
      <c r="B75" s="400"/>
      <c r="C75" s="155">
        <v>100960</v>
      </c>
      <c r="D75" s="155" t="s">
        <v>662</v>
      </c>
      <c r="E75" s="258">
        <f t="shared" si="10"/>
        <v>100959.6686336845</v>
      </c>
      <c r="F75" s="155" t="s">
        <v>662</v>
      </c>
      <c r="G75" s="396">
        <f t="shared" si="11"/>
        <v>-0.33136631549859885</v>
      </c>
      <c r="H75" s="403"/>
      <c r="I75" s="396">
        <f t="shared" si="9"/>
        <v>-3.2821652446276032E-4</v>
      </c>
      <c r="J75" s="397"/>
    </row>
    <row r="76" spans="1:14" x14ac:dyDescent="0.25">
      <c r="A76" s="399">
        <v>1233.654</v>
      </c>
      <c r="B76" s="400"/>
      <c r="C76" s="155">
        <v>86837.5</v>
      </c>
      <c r="D76" s="155" t="s">
        <v>662</v>
      </c>
      <c r="E76" s="258">
        <f t="shared" si="10"/>
        <v>86837.504023640329</v>
      </c>
      <c r="F76" s="155" t="s">
        <v>662</v>
      </c>
      <c r="G76" s="396">
        <f t="shared" si="11"/>
        <v>4.0236403292510659E-3</v>
      </c>
      <c r="H76" s="403"/>
      <c r="I76" s="396">
        <f t="shared" si="9"/>
        <v>4.6335283061057171E-6</v>
      </c>
      <c r="J76" s="397"/>
    </row>
    <row r="77" spans="1:14" x14ac:dyDescent="0.25">
      <c r="A77" s="399">
        <v>2999.99</v>
      </c>
      <c r="B77" s="400"/>
      <c r="C77" s="155">
        <v>69624.800000000003</v>
      </c>
      <c r="D77" s="155" t="s">
        <v>662</v>
      </c>
      <c r="E77" s="258">
        <f t="shared" si="10"/>
        <v>69624.802536751653</v>
      </c>
      <c r="F77" s="155" t="s">
        <v>662</v>
      </c>
      <c r="G77" s="396">
        <f t="shared" si="11"/>
        <v>2.5367516500409693E-3</v>
      </c>
      <c r="H77" s="403"/>
      <c r="I77" s="396">
        <f t="shared" si="9"/>
        <v>3.6434597408042019E-6</v>
      </c>
      <c r="J77" s="397"/>
    </row>
    <row r="78" spans="1:14" x14ac:dyDescent="0.25">
      <c r="A78" s="399">
        <v>5000</v>
      </c>
      <c r="B78" s="400"/>
      <c r="C78" s="155">
        <v>54216.1</v>
      </c>
      <c r="D78" s="155" t="s">
        <v>662</v>
      </c>
      <c r="E78" s="258">
        <f t="shared" si="10"/>
        <v>54216.063408233</v>
      </c>
      <c r="F78" s="155" t="s">
        <v>662</v>
      </c>
      <c r="G78" s="396">
        <f t="shared" si="11"/>
        <v>-3.6591766998753883E-2</v>
      </c>
      <c r="H78" s="403"/>
      <c r="I78" s="396">
        <f t="shared" si="9"/>
        <v>-6.7492482298516022E-5</v>
      </c>
      <c r="J78" s="397"/>
    </row>
    <row r="79" spans="1:14" ht="15.75" thickBot="1" x14ac:dyDescent="0.3">
      <c r="A79" s="445">
        <v>10135</v>
      </c>
      <c r="B79" s="446"/>
      <c r="C79" s="158">
        <v>28523.7</v>
      </c>
      <c r="D79" s="158" t="s">
        <v>662</v>
      </c>
      <c r="E79" s="158">
        <f t="shared" si="10"/>
        <v>28523.739115951936</v>
      </c>
      <c r="F79" s="158" t="s">
        <v>662</v>
      </c>
      <c r="G79" s="392">
        <f t="shared" si="11"/>
        <v>3.911595193494577E-2</v>
      </c>
      <c r="H79" s="393"/>
      <c r="I79" s="392">
        <f t="shared" si="9"/>
        <v>1.3713472758930867E-4</v>
      </c>
      <c r="J79" s="398"/>
    </row>
  </sheetData>
  <mergeCells count="125">
    <mergeCell ref="I54:J54"/>
    <mergeCell ref="I55:J55"/>
    <mergeCell ref="C66:D66"/>
    <mergeCell ref="E66:F66"/>
    <mergeCell ref="C67:D67"/>
    <mergeCell ref="E67:F67"/>
    <mergeCell ref="A79:B79"/>
    <mergeCell ref="G50:H51"/>
    <mergeCell ref="C50:D50"/>
    <mergeCell ref="C51:D51"/>
    <mergeCell ref="E50:F50"/>
    <mergeCell ref="E51:F51"/>
    <mergeCell ref="G52:H52"/>
    <mergeCell ref="G53:H53"/>
    <mergeCell ref="G54:H54"/>
    <mergeCell ref="G55:H55"/>
    <mergeCell ref="A54:B54"/>
    <mergeCell ref="A55:B55"/>
    <mergeCell ref="A56:B56"/>
    <mergeCell ref="A57:B57"/>
    <mergeCell ref="A58:B58"/>
    <mergeCell ref="I61:J61"/>
    <mergeCell ref="I62:J62"/>
    <mergeCell ref="I63:J63"/>
    <mergeCell ref="S26:T26"/>
    <mergeCell ref="U26:U27"/>
    <mergeCell ref="V26:V27"/>
    <mergeCell ref="K27:L27"/>
    <mergeCell ref="Q27:R27"/>
    <mergeCell ref="S27:T27"/>
    <mergeCell ref="M26:M27"/>
    <mergeCell ref="N26:N27"/>
    <mergeCell ref="O26:O27"/>
    <mergeCell ref="P26:P27"/>
    <mergeCell ref="K26:L26"/>
    <mergeCell ref="G26:H27"/>
    <mergeCell ref="I26:J27"/>
    <mergeCell ref="C4:D5"/>
    <mergeCell ref="E4:F5"/>
    <mergeCell ref="G4:H5"/>
    <mergeCell ref="I4:J5"/>
    <mergeCell ref="K4:L4"/>
    <mergeCell ref="K5:L5"/>
    <mergeCell ref="Q26:R26"/>
    <mergeCell ref="B1:V2"/>
    <mergeCell ref="B24:V25"/>
    <mergeCell ref="A50:B51"/>
    <mergeCell ref="A52:B52"/>
    <mergeCell ref="A53:B53"/>
    <mergeCell ref="I50:J51"/>
    <mergeCell ref="I52:J52"/>
    <mergeCell ref="I53:J53"/>
    <mergeCell ref="A48:N49"/>
    <mergeCell ref="B3:D3"/>
    <mergeCell ref="U4:U5"/>
    <mergeCell ref="V4:V5"/>
    <mergeCell ref="A4:B5"/>
    <mergeCell ref="Q4:R4"/>
    <mergeCell ref="Q5:R5"/>
    <mergeCell ref="S4:T4"/>
    <mergeCell ref="S5:T5"/>
    <mergeCell ref="N4:N5"/>
    <mergeCell ref="O4:O5"/>
    <mergeCell ref="P4:P5"/>
    <mergeCell ref="M4:M5"/>
    <mergeCell ref="A26:B27"/>
    <mergeCell ref="C26:D27"/>
    <mergeCell ref="E26:F27"/>
    <mergeCell ref="A66:B67"/>
    <mergeCell ref="G66:H67"/>
    <mergeCell ref="I66:J67"/>
    <mergeCell ref="A64:N65"/>
    <mergeCell ref="I56:J56"/>
    <mergeCell ref="I57:J57"/>
    <mergeCell ref="I58:J58"/>
    <mergeCell ref="I59:J59"/>
    <mergeCell ref="I60:J60"/>
    <mergeCell ref="G59:H59"/>
    <mergeCell ref="G60:H60"/>
    <mergeCell ref="G61:H61"/>
    <mergeCell ref="G62:H62"/>
    <mergeCell ref="G63:H63"/>
    <mergeCell ref="A59:B59"/>
    <mergeCell ref="A60:B60"/>
    <mergeCell ref="A61:B61"/>
    <mergeCell ref="A62:B62"/>
    <mergeCell ref="A63:B63"/>
    <mergeCell ref="G57:H57"/>
    <mergeCell ref="G58:H58"/>
    <mergeCell ref="G56:H56"/>
    <mergeCell ref="A78:B78"/>
    <mergeCell ref="G68:H68"/>
    <mergeCell ref="G69:H69"/>
    <mergeCell ref="G70:H70"/>
    <mergeCell ref="G71:H71"/>
    <mergeCell ref="G72:H72"/>
    <mergeCell ref="G73:H73"/>
    <mergeCell ref="G74:H74"/>
    <mergeCell ref="G75:H75"/>
    <mergeCell ref="G76:H76"/>
    <mergeCell ref="G77:H77"/>
    <mergeCell ref="G78:H78"/>
    <mergeCell ref="A73:B73"/>
    <mergeCell ref="A74:B74"/>
    <mergeCell ref="A75:B75"/>
    <mergeCell ref="A76:B76"/>
    <mergeCell ref="A77:B77"/>
    <mergeCell ref="A68:B68"/>
    <mergeCell ref="A69:B69"/>
    <mergeCell ref="A70:B70"/>
    <mergeCell ref="A71:B71"/>
    <mergeCell ref="A72:B72"/>
    <mergeCell ref="G79:H79"/>
    <mergeCell ref="I68:J68"/>
    <mergeCell ref="I69:J69"/>
    <mergeCell ref="I70:J70"/>
    <mergeCell ref="I71:J71"/>
    <mergeCell ref="I72:J72"/>
    <mergeCell ref="I73:J73"/>
    <mergeCell ref="I74:J74"/>
    <mergeCell ref="I75:J75"/>
    <mergeCell ref="I76:J76"/>
    <mergeCell ref="I77:J77"/>
    <mergeCell ref="I78:J78"/>
    <mergeCell ref="I79:J79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R57"/>
  <sheetViews>
    <sheetView workbookViewId="0">
      <pane xSplit="2" ySplit="1" topLeftCell="M38" activePane="bottomRight" state="frozen"/>
      <selection pane="topRight" activeCell="C1" sqref="C1"/>
      <selection pane="bottomLeft" activeCell="A2" sqref="A2"/>
      <selection pane="bottomRight" activeCell="M58" sqref="M58"/>
    </sheetView>
  </sheetViews>
  <sheetFormatPr defaultRowHeight="15" x14ac:dyDescent="0.25"/>
  <cols>
    <col min="1" max="1" width="3.42578125" customWidth="1"/>
    <col min="2" max="2" width="15.42578125" bestFit="1" customWidth="1"/>
    <col min="3" max="3" width="30.28515625" bestFit="1" customWidth="1"/>
    <col min="4" max="4" width="35.140625" bestFit="1" customWidth="1"/>
    <col min="5" max="5" width="23.140625" bestFit="1" customWidth="1"/>
    <col min="6" max="6" width="23" bestFit="1" customWidth="1"/>
    <col min="7" max="8" width="36.42578125" bestFit="1" customWidth="1"/>
    <col min="9" max="9" width="23.140625" bestFit="1" customWidth="1"/>
    <col min="10" max="10" width="23" bestFit="1" customWidth="1"/>
    <col min="11" max="12" width="39.5703125" bestFit="1" customWidth="1"/>
    <col min="13" max="13" width="23.140625" bestFit="1" customWidth="1"/>
    <col min="14" max="14" width="23" bestFit="1" customWidth="1"/>
    <col min="15" max="15" width="33.28515625" bestFit="1" customWidth="1"/>
    <col min="16" max="16" width="62.28515625" bestFit="1" customWidth="1"/>
    <col min="17" max="17" width="23.140625" bestFit="1" customWidth="1"/>
    <col min="18" max="18" width="23" bestFit="1" customWidth="1"/>
  </cols>
  <sheetData>
    <row r="1" spans="2:18" ht="31.5" x14ac:dyDescent="0.5">
      <c r="B1" s="340" t="s">
        <v>289</v>
      </c>
      <c r="C1" s="340"/>
      <c r="D1" s="340"/>
      <c r="E1" s="340"/>
      <c r="F1" s="340"/>
      <c r="G1" s="340"/>
      <c r="H1" s="340"/>
      <c r="I1" s="340"/>
      <c r="J1" s="340"/>
      <c r="K1" s="340"/>
    </row>
    <row r="2" spans="2:18" x14ac:dyDescent="0.25">
      <c r="B2" s="70" t="s">
        <v>340</v>
      </c>
      <c r="C2" t="s">
        <v>341</v>
      </c>
      <c r="D2" t="s">
        <v>356</v>
      </c>
    </row>
    <row r="3" spans="2:18" ht="15.75" thickBot="1" x14ac:dyDescent="0.3"/>
    <row r="4" spans="2:18" x14ac:dyDescent="0.25">
      <c r="B4" s="341" t="s">
        <v>10</v>
      </c>
      <c r="C4" s="62" t="s">
        <v>14</v>
      </c>
      <c r="D4" s="65" t="s">
        <v>14</v>
      </c>
      <c r="E4" s="330" t="s">
        <v>354</v>
      </c>
      <c r="F4" s="324" t="s">
        <v>355</v>
      </c>
      <c r="G4" s="62" t="s">
        <v>14</v>
      </c>
      <c r="H4" s="65" t="s">
        <v>14</v>
      </c>
      <c r="I4" s="330" t="s">
        <v>354</v>
      </c>
      <c r="J4" s="324" t="s">
        <v>355</v>
      </c>
      <c r="K4" s="62" t="s">
        <v>14</v>
      </c>
      <c r="L4" s="65" t="s">
        <v>14</v>
      </c>
      <c r="M4" s="330" t="s">
        <v>354</v>
      </c>
      <c r="N4" s="321" t="s">
        <v>355</v>
      </c>
      <c r="O4" s="62" t="s">
        <v>14</v>
      </c>
      <c r="P4" s="65" t="s">
        <v>14</v>
      </c>
      <c r="Q4" s="330" t="s">
        <v>354</v>
      </c>
      <c r="R4" s="321" t="s">
        <v>355</v>
      </c>
    </row>
    <row r="5" spans="2:18" ht="15.75" thickBot="1" x14ac:dyDescent="0.3">
      <c r="B5" s="342"/>
      <c r="C5" s="63" t="s">
        <v>290</v>
      </c>
      <c r="D5" s="27" t="s">
        <v>291</v>
      </c>
      <c r="E5" s="331"/>
      <c r="F5" s="325"/>
      <c r="G5" s="63" t="s">
        <v>290</v>
      </c>
      <c r="H5" s="27" t="s">
        <v>291</v>
      </c>
      <c r="I5" s="331"/>
      <c r="J5" s="325"/>
      <c r="K5" s="63" t="s">
        <v>290</v>
      </c>
      <c r="L5" s="27" t="s">
        <v>291</v>
      </c>
      <c r="M5" s="331"/>
      <c r="N5" s="322"/>
      <c r="O5" s="63" t="s">
        <v>290</v>
      </c>
      <c r="P5" s="27" t="s">
        <v>291</v>
      </c>
      <c r="Q5" s="331"/>
      <c r="R5" s="322"/>
    </row>
    <row r="6" spans="2:18" ht="15.75" thickBot="1" x14ac:dyDescent="0.3">
      <c r="B6" s="346" t="s">
        <v>357</v>
      </c>
      <c r="C6" s="346" t="s">
        <v>358</v>
      </c>
      <c r="D6" s="16" t="s">
        <v>358</v>
      </c>
      <c r="E6" s="331"/>
      <c r="F6" s="326"/>
      <c r="G6" s="346" t="s">
        <v>359</v>
      </c>
      <c r="H6" s="16" t="s">
        <v>359</v>
      </c>
      <c r="I6" s="331"/>
      <c r="J6" s="326"/>
      <c r="K6" s="346" t="s">
        <v>360</v>
      </c>
      <c r="L6" s="16" t="s">
        <v>360</v>
      </c>
      <c r="M6" s="331"/>
      <c r="N6" s="322"/>
      <c r="O6" s="346" t="s">
        <v>361</v>
      </c>
      <c r="P6" s="16" t="s">
        <v>361</v>
      </c>
      <c r="Q6" s="331"/>
      <c r="R6" s="322"/>
    </row>
    <row r="7" spans="2:18" ht="30.75" thickBot="1" x14ac:dyDescent="0.3">
      <c r="B7" s="347"/>
      <c r="C7" s="347"/>
      <c r="D7" s="120" t="s">
        <v>363</v>
      </c>
      <c r="E7" s="327"/>
      <c r="F7" s="327"/>
      <c r="G7" s="347"/>
      <c r="H7" s="120" t="s">
        <v>364</v>
      </c>
      <c r="I7" s="327"/>
      <c r="J7" s="327"/>
      <c r="K7" s="347"/>
      <c r="L7" s="120" t="s">
        <v>365</v>
      </c>
      <c r="M7" s="327"/>
      <c r="N7" s="323"/>
      <c r="O7" s="347"/>
      <c r="P7" s="122" t="s">
        <v>362</v>
      </c>
      <c r="Q7" s="327"/>
      <c r="R7" s="323"/>
    </row>
    <row r="8" spans="2:18" x14ac:dyDescent="0.25">
      <c r="B8" s="44">
        <v>1</v>
      </c>
      <c r="C8" s="154">
        <v>1000</v>
      </c>
      <c r="D8" s="123">
        <f>O8/1000</f>
        <v>1000</v>
      </c>
      <c r="E8" s="54">
        <f>C8-D8</f>
        <v>0</v>
      </c>
      <c r="F8" s="54">
        <f>(100*E8)/D8</f>
        <v>0</v>
      </c>
      <c r="G8" s="154">
        <v>1000000000</v>
      </c>
      <c r="H8" s="123">
        <f>O8*1000</f>
        <v>1000000000</v>
      </c>
      <c r="I8" s="54">
        <f>G8-H8</f>
        <v>0</v>
      </c>
      <c r="J8" s="54">
        <f>(100*I8)/H8</f>
        <v>0</v>
      </c>
      <c r="K8" s="154">
        <v>1000000000000</v>
      </c>
      <c r="L8" s="123">
        <f>O8*1000000</f>
        <v>1000000000000</v>
      </c>
      <c r="M8" s="54">
        <f>K8-L8</f>
        <v>0</v>
      </c>
      <c r="N8" s="117">
        <f>(100*M8)/L8</f>
        <v>0</v>
      </c>
      <c r="O8" s="154">
        <v>1000000</v>
      </c>
      <c r="P8" s="123">
        <f>B8*1000000</f>
        <v>1000000</v>
      </c>
      <c r="Q8" s="54">
        <f>O8-P8</f>
        <v>0</v>
      </c>
      <c r="R8" s="162">
        <f>(100*Q8)/P8</f>
        <v>0</v>
      </c>
    </row>
    <row r="9" spans="2:18" x14ac:dyDescent="0.25">
      <c r="B9" s="47">
        <v>987</v>
      </c>
      <c r="C9" s="159">
        <v>987000</v>
      </c>
      <c r="D9" s="26">
        <f t="shared" ref="D9:D13" si="0">O9/1000</f>
        <v>987000</v>
      </c>
      <c r="E9" s="52">
        <f t="shared" ref="E9:E13" si="1">C9-D9</f>
        <v>0</v>
      </c>
      <c r="F9" s="52">
        <f t="shared" ref="F9:F13" si="2">(100*E9)/D9</f>
        <v>0</v>
      </c>
      <c r="G9" s="159">
        <v>987000000000</v>
      </c>
      <c r="H9" s="26">
        <f t="shared" ref="H9:H13" si="3">O9*1000</f>
        <v>987000000000</v>
      </c>
      <c r="I9" s="52">
        <f t="shared" ref="I9:I13" si="4">G9-H9</f>
        <v>0</v>
      </c>
      <c r="J9" s="52">
        <f t="shared" ref="J9:J13" si="5">(100*I9)/H9</f>
        <v>0</v>
      </c>
      <c r="K9" s="159">
        <v>987000000000000</v>
      </c>
      <c r="L9" s="26">
        <f t="shared" ref="L9:L13" si="6">O9*1000000</f>
        <v>987000000000000</v>
      </c>
      <c r="M9" s="52">
        <f t="shared" ref="M9:M13" si="7">K9-L9</f>
        <v>0</v>
      </c>
      <c r="N9" s="118">
        <f t="shared" ref="N9:N13" si="8">(100*M9)/L9</f>
        <v>0</v>
      </c>
      <c r="O9" s="159">
        <v>987000000</v>
      </c>
      <c r="P9" s="26">
        <f t="shared" ref="P9:P13" si="9">B9*1000000</f>
        <v>987000000</v>
      </c>
      <c r="Q9" s="52">
        <f t="shared" ref="Q9:Q13" si="10">O9-P9</f>
        <v>0</v>
      </c>
      <c r="R9" s="153">
        <f t="shared" ref="R9:R13" si="11">(100*Q9)/P9</f>
        <v>0</v>
      </c>
    </row>
    <row r="10" spans="2:18" x14ac:dyDescent="0.25">
      <c r="B10" s="47">
        <v>5987</v>
      </c>
      <c r="C10" s="159">
        <v>5987000</v>
      </c>
      <c r="D10" s="26">
        <f t="shared" si="0"/>
        <v>5987000</v>
      </c>
      <c r="E10" s="52">
        <f t="shared" si="1"/>
        <v>0</v>
      </c>
      <c r="F10" s="52">
        <f t="shared" si="2"/>
        <v>0</v>
      </c>
      <c r="G10" s="159">
        <v>5987000000000</v>
      </c>
      <c r="H10" s="26">
        <f t="shared" si="3"/>
        <v>5987000000000</v>
      </c>
      <c r="I10" s="52">
        <f t="shared" si="4"/>
        <v>0</v>
      </c>
      <c r="J10" s="52">
        <f t="shared" si="5"/>
        <v>0</v>
      </c>
      <c r="K10" s="159">
        <v>5987000000000000</v>
      </c>
      <c r="L10" s="26">
        <f t="shared" si="6"/>
        <v>5987000000000000</v>
      </c>
      <c r="M10" s="52">
        <f t="shared" si="7"/>
        <v>0</v>
      </c>
      <c r="N10" s="118">
        <f t="shared" si="8"/>
        <v>0</v>
      </c>
      <c r="O10" s="159">
        <v>5987000000</v>
      </c>
      <c r="P10" s="26">
        <f t="shared" si="9"/>
        <v>5987000000</v>
      </c>
      <c r="Q10" s="52">
        <f t="shared" si="10"/>
        <v>0</v>
      </c>
      <c r="R10" s="153">
        <f t="shared" si="11"/>
        <v>0</v>
      </c>
    </row>
    <row r="11" spans="2:18" x14ac:dyDescent="0.25">
      <c r="B11" s="47">
        <v>4455667788</v>
      </c>
      <c r="C11" s="159">
        <v>4455667788000</v>
      </c>
      <c r="D11" s="26">
        <v>4455667788000</v>
      </c>
      <c r="E11" s="52">
        <f t="shared" si="1"/>
        <v>0</v>
      </c>
      <c r="F11" s="52">
        <f t="shared" si="2"/>
        <v>0</v>
      </c>
      <c r="G11" s="159">
        <v>4.455667788E+18</v>
      </c>
      <c r="H11" s="26">
        <f t="shared" si="3"/>
        <v>4.455667788E+18</v>
      </c>
      <c r="I11" s="52">
        <f t="shared" si="4"/>
        <v>0</v>
      </c>
      <c r="J11" s="52">
        <f t="shared" si="5"/>
        <v>0</v>
      </c>
      <c r="K11" s="159">
        <v>4.455667788E+21</v>
      </c>
      <c r="L11" s="26">
        <f t="shared" si="6"/>
        <v>4.455667788E+21</v>
      </c>
      <c r="M11" s="52">
        <f t="shared" si="7"/>
        <v>0</v>
      </c>
      <c r="N11" s="118">
        <f t="shared" si="8"/>
        <v>0</v>
      </c>
      <c r="O11" s="155">
        <v>4455667788000000</v>
      </c>
      <c r="P11" s="26">
        <f t="shared" si="9"/>
        <v>4455667788000000</v>
      </c>
      <c r="Q11" s="52">
        <f t="shared" si="10"/>
        <v>0</v>
      </c>
      <c r="R11" s="153">
        <f t="shared" si="11"/>
        <v>0</v>
      </c>
    </row>
    <row r="12" spans="2:18" x14ac:dyDescent="0.25">
      <c r="B12" s="47">
        <v>-654</v>
      </c>
      <c r="C12" s="159">
        <v>-654000</v>
      </c>
      <c r="D12" s="26">
        <f t="shared" si="0"/>
        <v>-654000</v>
      </c>
      <c r="E12" s="52">
        <f t="shared" si="1"/>
        <v>0</v>
      </c>
      <c r="F12" s="52">
        <f t="shared" si="2"/>
        <v>0</v>
      </c>
      <c r="G12" s="159">
        <v>-654000000000</v>
      </c>
      <c r="H12" s="26">
        <f t="shared" si="3"/>
        <v>-654000000000</v>
      </c>
      <c r="I12" s="52">
        <f t="shared" si="4"/>
        <v>0</v>
      </c>
      <c r="J12" s="52">
        <f t="shared" si="5"/>
        <v>0</v>
      </c>
      <c r="K12" s="159">
        <v>-654000000000000</v>
      </c>
      <c r="L12" s="26">
        <f t="shared" si="6"/>
        <v>-654000000000000</v>
      </c>
      <c r="M12" s="52">
        <f t="shared" si="7"/>
        <v>0</v>
      </c>
      <c r="N12" s="118">
        <f t="shared" si="8"/>
        <v>0</v>
      </c>
      <c r="O12" s="159">
        <v>-654000000</v>
      </c>
      <c r="P12" s="26">
        <f t="shared" si="9"/>
        <v>-654000000</v>
      </c>
      <c r="Q12" s="52">
        <f t="shared" si="10"/>
        <v>0</v>
      </c>
      <c r="R12" s="153">
        <f t="shared" si="11"/>
        <v>0</v>
      </c>
    </row>
    <row r="13" spans="2:18" ht="15.75" thickBot="1" x14ac:dyDescent="0.3">
      <c r="B13" s="74">
        <v>0.65469999999999995</v>
      </c>
      <c r="C13" s="156">
        <v>654.70000000000005</v>
      </c>
      <c r="D13" s="59">
        <f t="shared" si="0"/>
        <v>654.70000000000005</v>
      </c>
      <c r="E13" s="57">
        <f t="shared" si="1"/>
        <v>0</v>
      </c>
      <c r="F13" s="57">
        <f t="shared" si="2"/>
        <v>0</v>
      </c>
      <c r="G13" s="156">
        <v>654700000</v>
      </c>
      <c r="H13" s="59">
        <f t="shared" si="3"/>
        <v>654700000</v>
      </c>
      <c r="I13" s="57">
        <f t="shared" si="4"/>
        <v>0</v>
      </c>
      <c r="J13" s="57">
        <f t="shared" si="5"/>
        <v>0</v>
      </c>
      <c r="K13" s="156">
        <v>654700000000</v>
      </c>
      <c r="L13" s="59">
        <f t="shared" si="6"/>
        <v>654700000000</v>
      </c>
      <c r="M13" s="57">
        <f t="shared" si="7"/>
        <v>0</v>
      </c>
      <c r="N13" s="119">
        <f t="shared" si="8"/>
        <v>0</v>
      </c>
      <c r="O13" s="156">
        <v>654700</v>
      </c>
      <c r="P13" s="59">
        <f t="shared" si="9"/>
        <v>654700</v>
      </c>
      <c r="Q13" s="57">
        <f t="shared" si="10"/>
        <v>0</v>
      </c>
      <c r="R13" s="163">
        <f t="shared" si="11"/>
        <v>0</v>
      </c>
    </row>
    <row r="14" spans="2:18" ht="15.75" thickBot="1" x14ac:dyDescent="0.3">
      <c r="C14" s="165"/>
      <c r="D14" s="165"/>
      <c r="E14" s="164"/>
      <c r="F14" s="164"/>
      <c r="G14" s="165"/>
      <c r="H14" s="165"/>
      <c r="I14" s="164"/>
      <c r="J14" s="164"/>
      <c r="K14" s="165"/>
      <c r="L14" s="165"/>
      <c r="M14" s="164"/>
      <c r="N14" s="164"/>
      <c r="O14" s="165"/>
      <c r="P14" s="165"/>
      <c r="Q14" s="164"/>
      <c r="R14" s="164"/>
    </row>
    <row r="15" spans="2:18" x14ac:dyDescent="0.25">
      <c r="B15" s="341" t="s">
        <v>10</v>
      </c>
      <c r="C15" s="166" t="s">
        <v>14</v>
      </c>
      <c r="D15" s="168" t="s">
        <v>14</v>
      </c>
      <c r="E15" s="343" t="s">
        <v>354</v>
      </c>
      <c r="F15" s="352" t="s">
        <v>355</v>
      </c>
      <c r="G15" s="166" t="s">
        <v>14</v>
      </c>
      <c r="H15" s="168" t="s">
        <v>14</v>
      </c>
      <c r="I15" s="343" t="s">
        <v>354</v>
      </c>
      <c r="J15" s="352" t="s">
        <v>355</v>
      </c>
      <c r="K15" s="166" t="s">
        <v>14</v>
      </c>
      <c r="L15" s="168" t="s">
        <v>14</v>
      </c>
      <c r="M15" s="343" t="s">
        <v>354</v>
      </c>
      <c r="N15" s="357" t="s">
        <v>355</v>
      </c>
      <c r="O15" s="166" t="s">
        <v>14</v>
      </c>
      <c r="P15" s="168" t="s">
        <v>14</v>
      </c>
      <c r="Q15" s="343" t="s">
        <v>354</v>
      </c>
      <c r="R15" s="357" t="s">
        <v>355</v>
      </c>
    </row>
    <row r="16" spans="2:18" ht="15.75" thickBot="1" x14ac:dyDescent="0.3">
      <c r="B16" s="342"/>
      <c r="C16" s="167" t="s">
        <v>290</v>
      </c>
      <c r="D16" s="169" t="s">
        <v>291</v>
      </c>
      <c r="E16" s="344"/>
      <c r="F16" s="353"/>
      <c r="G16" s="167" t="s">
        <v>290</v>
      </c>
      <c r="H16" s="169" t="s">
        <v>291</v>
      </c>
      <c r="I16" s="344"/>
      <c r="J16" s="353"/>
      <c r="K16" s="167" t="s">
        <v>290</v>
      </c>
      <c r="L16" s="169" t="s">
        <v>291</v>
      </c>
      <c r="M16" s="344"/>
      <c r="N16" s="358"/>
      <c r="O16" s="167" t="s">
        <v>290</v>
      </c>
      <c r="P16" s="169" t="s">
        <v>291</v>
      </c>
      <c r="Q16" s="344"/>
      <c r="R16" s="358"/>
    </row>
    <row r="17" spans="2:18" ht="15.75" thickBot="1" x14ac:dyDescent="0.3">
      <c r="B17" s="346" t="s">
        <v>358</v>
      </c>
      <c r="C17" s="363" t="s">
        <v>357</v>
      </c>
      <c r="D17" s="177" t="s">
        <v>357</v>
      </c>
      <c r="E17" s="344"/>
      <c r="F17" s="354"/>
      <c r="G17" s="363" t="s">
        <v>359</v>
      </c>
      <c r="H17" s="177" t="s">
        <v>359</v>
      </c>
      <c r="I17" s="344"/>
      <c r="J17" s="354"/>
      <c r="K17" s="363" t="s">
        <v>360</v>
      </c>
      <c r="L17" s="177" t="s">
        <v>360</v>
      </c>
      <c r="M17" s="344"/>
      <c r="N17" s="358"/>
      <c r="O17" s="363" t="s">
        <v>361</v>
      </c>
      <c r="P17" s="177" t="s">
        <v>361</v>
      </c>
      <c r="Q17" s="344"/>
      <c r="R17" s="358"/>
    </row>
    <row r="18" spans="2:18" ht="30.75" thickBot="1" x14ac:dyDescent="0.3">
      <c r="B18" s="362"/>
      <c r="C18" s="364"/>
      <c r="D18" s="178" t="s">
        <v>367</v>
      </c>
      <c r="E18" s="345"/>
      <c r="F18" s="345"/>
      <c r="G18" s="364"/>
      <c r="H18" s="178" t="s">
        <v>368</v>
      </c>
      <c r="I18" s="345"/>
      <c r="J18" s="345"/>
      <c r="K18" s="364"/>
      <c r="L18" s="178" t="s">
        <v>369</v>
      </c>
      <c r="M18" s="345"/>
      <c r="N18" s="359"/>
      <c r="O18" s="364"/>
      <c r="P18" s="179" t="s">
        <v>366</v>
      </c>
      <c r="Q18" s="345"/>
      <c r="R18" s="359"/>
    </row>
    <row r="19" spans="2:18" x14ac:dyDescent="0.25">
      <c r="B19" s="44">
        <v>1</v>
      </c>
      <c r="C19" s="154">
        <v>1E-3</v>
      </c>
      <c r="D19" s="123">
        <f>P19/1000000</f>
        <v>1E-3</v>
      </c>
      <c r="E19" s="54">
        <f>C19-D19</f>
        <v>0</v>
      </c>
      <c r="F19" s="54">
        <f>(100*E19)/D19</f>
        <v>0</v>
      </c>
      <c r="G19" s="154">
        <v>1000000</v>
      </c>
      <c r="H19" s="123">
        <f>P19*1000</f>
        <v>1000000</v>
      </c>
      <c r="I19" s="54">
        <f>G19-H19</f>
        <v>0</v>
      </c>
      <c r="J19" s="54">
        <f>(100*I19)/H19</f>
        <v>0</v>
      </c>
      <c r="K19" s="154">
        <v>1000000000</v>
      </c>
      <c r="L19" s="123">
        <f>P19*1000000</f>
        <v>1000000000</v>
      </c>
      <c r="M19" s="54">
        <f>K19-L19</f>
        <v>0</v>
      </c>
      <c r="N19" s="117">
        <f>(100*M19)/L19</f>
        <v>0</v>
      </c>
      <c r="O19" s="154">
        <v>1000</v>
      </c>
      <c r="P19" s="123">
        <f>B19*1000</f>
        <v>1000</v>
      </c>
      <c r="Q19" s="54">
        <f>O19-P19</f>
        <v>0</v>
      </c>
      <c r="R19" s="162">
        <f>(100*Q19)/P19</f>
        <v>0</v>
      </c>
    </row>
    <row r="20" spans="2:18" x14ac:dyDescent="0.25">
      <c r="B20" s="47">
        <v>987</v>
      </c>
      <c r="C20" s="159">
        <v>0.98699999999999999</v>
      </c>
      <c r="D20" s="26">
        <f t="shared" ref="D20:D24" si="12">P20/1000000</f>
        <v>0.98699999999999999</v>
      </c>
      <c r="E20" s="52">
        <f t="shared" ref="E20:E24" si="13">C20-D20</f>
        <v>0</v>
      </c>
      <c r="F20" s="52">
        <f t="shared" ref="F20:F24" si="14">(100*E20)/D20</f>
        <v>0</v>
      </c>
      <c r="G20" s="159">
        <v>987000000</v>
      </c>
      <c r="H20" s="26">
        <f t="shared" ref="H20:H24" si="15">P20*1000</f>
        <v>987000000</v>
      </c>
      <c r="I20" s="52">
        <f t="shared" ref="I20:I24" si="16">G20-H20</f>
        <v>0</v>
      </c>
      <c r="J20" s="52">
        <f t="shared" ref="J20:J24" si="17">(100*I20)/H20</f>
        <v>0</v>
      </c>
      <c r="K20" s="159">
        <v>987000000000</v>
      </c>
      <c r="L20" s="26">
        <f t="shared" ref="L20:L24" si="18">P20*1000000</f>
        <v>987000000000</v>
      </c>
      <c r="M20" s="52">
        <f t="shared" ref="M20:M24" si="19">K20-L20</f>
        <v>0</v>
      </c>
      <c r="N20" s="118">
        <f t="shared" ref="N20:N24" si="20">(100*M20)/L20</f>
        <v>0</v>
      </c>
      <c r="O20" s="159">
        <v>987000</v>
      </c>
      <c r="P20" s="26">
        <f t="shared" ref="P20:P24" si="21">B20*1000</f>
        <v>987000</v>
      </c>
      <c r="Q20" s="52">
        <f t="shared" ref="Q20:Q24" si="22">O20-P20</f>
        <v>0</v>
      </c>
      <c r="R20" s="153">
        <f t="shared" ref="R20:R24" si="23">(100*Q20)/P20</f>
        <v>0</v>
      </c>
    </row>
    <row r="21" spans="2:18" x14ac:dyDescent="0.25">
      <c r="B21" s="47">
        <v>5987</v>
      </c>
      <c r="C21" s="159">
        <v>5.9870000000000001</v>
      </c>
      <c r="D21" s="26">
        <f t="shared" si="12"/>
        <v>5.9870000000000001</v>
      </c>
      <c r="E21" s="52">
        <f t="shared" si="13"/>
        <v>0</v>
      </c>
      <c r="F21" s="52">
        <f t="shared" si="14"/>
        <v>0</v>
      </c>
      <c r="G21" s="159">
        <v>5987000000</v>
      </c>
      <c r="H21" s="26">
        <f t="shared" si="15"/>
        <v>5987000000</v>
      </c>
      <c r="I21" s="52">
        <f t="shared" si="16"/>
        <v>0</v>
      </c>
      <c r="J21" s="52">
        <f t="shared" si="17"/>
        <v>0</v>
      </c>
      <c r="K21" s="159">
        <v>5987000000000</v>
      </c>
      <c r="L21" s="26">
        <f t="shared" si="18"/>
        <v>5987000000000</v>
      </c>
      <c r="M21" s="52">
        <f t="shared" si="19"/>
        <v>0</v>
      </c>
      <c r="N21" s="118">
        <f t="shared" si="20"/>
        <v>0</v>
      </c>
      <c r="O21" s="159">
        <v>5987000</v>
      </c>
      <c r="P21" s="26">
        <f t="shared" si="21"/>
        <v>5987000</v>
      </c>
      <c r="Q21" s="52">
        <f t="shared" si="22"/>
        <v>0</v>
      </c>
      <c r="R21" s="153">
        <f t="shared" si="23"/>
        <v>0</v>
      </c>
    </row>
    <row r="22" spans="2:18" x14ac:dyDescent="0.25">
      <c r="B22" s="47">
        <v>4455667788</v>
      </c>
      <c r="C22" s="159">
        <v>4455668</v>
      </c>
      <c r="D22" s="26">
        <f t="shared" si="12"/>
        <v>4455667.7879999997</v>
      </c>
      <c r="E22" s="52">
        <f t="shared" si="13"/>
        <v>0.21200000029057264</v>
      </c>
      <c r="F22" s="52">
        <f t="shared" si="14"/>
        <v>4.7579848942403393E-6</v>
      </c>
      <c r="G22" s="159">
        <v>4455667788000000</v>
      </c>
      <c r="H22" s="26">
        <f t="shared" si="15"/>
        <v>4455667788000000</v>
      </c>
      <c r="I22" s="52">
        <f t="shared" si="16"/>
        <v>0</v>
      </c>
      <c r="J22" s="52">
        <f t="shared" si="17"/>
        <v>0</v>
      </c>
      <c r="K22" s="159">
        <v>4.455667788E+18</v>
      </c>
      <c r="L22" s="26">
        <f t="shared" si="18"/>
        <v>4.455667788E+18</v>
      </c>
      <c r="M22" s="52">
        <f t="shared" si="19"/>
        <v>0</v>
      </c>
      <c r="N22" s="118">
        <f t="shared" si="20"/>
        <v>0</v>
      </c>
      <c r="O22" s="159">
        <v>4455667788000</v>
      </c>
      <c r="P22" s="26">
        <f t="shared" si="21"/>
        <v>4455667788000</v>
      </c>
      <c r="Q22" s="52">
        <f t="shared" si="22"/>
        <v>0</v>
      </c>
      <c r="R22" s="153">
        <f t="shared" si="23"/>
        <v>0</v>
      </c>
    </row>
    <row r="23" spans="2:18" x14ac:dyDescent="0.25">
      <c r="B23" s="47">
        <v>-654</v>
      </c>
      <c r="C23" s="159">
        <v>-0.65400000000000003</v>
      </c>
      <c r="D23" s="26">
        <f t="shared" si="12"/>
        <v>-0.65400000000000003</v>
      </c>
      <c r="E23" s="52">
        <f t="shared" si="13"/>
        <v>0</v>
      </c>
      <c r="F23" s="52">
        <f t="shared" si="14"/>
        <v>0</v>
      </c>
      <c r="G23" s="159">
        <v>-654000000</v>
      </c>
      <c r="H23" s="26">
        <f t="shared" si="15"/>
        <v>-654000000</v>
      </c>
      <c r="I23" s="52">
        <f t="shared" si="16"/>
        <v>0</v>
      </c>
      <c r="J23" s="52">
        <f t="shared" si="17"/>
        <v>0</v>
      </c>
      <c r="K23" s="159">
        <v>-654000000000</v>
      </c>
      <c r="L23" s="26">
        <f t="shared" si="18"/>
        <v>-654000000000</v>
      </c>
      <c r="M23" s="52">
        <f t="shared" si="19"/>
        <v>0</v>
      </c>
      <c r="N23" s="118">
        <f t="shared" si="20"/>
        <v>0</v>
      </c>
      <c r="O23" s="159">
        <v>-654000</v>
      </c>
      <c r="P23" s="26">
        <f t="shared" si="21"/>
        <v>-654000</v>
      </c>
      <c r="Q23" s="52">
        <f t="shared" si="22"/>
        <v>0</v>
      </c>
      <c r="R23" s="153">
        <f t="shared" si="23"/>
        <v>0</v>
      </c>
    </row>
    <row r="24" spans="2:18" ht="15.75" thickBot="1" x14ac:dyDescent="0.3">
      <c r="B24" s="74">
        <v>0.65469999999999995</v>
      </c>
      <c r="C24" s="156">
        <v>6.5470000000000003E-4</v>
      </c>
      <c r="D24" s="59">
        <f t="shared" si="12"/>
        <v>6.5469999999999992E-4</v>
      </c>
      <c r="E24" s="57">
        <f t="shared" si="13"/>
        <v>0</v>
      </c>
      <c r="F24" s="57">
        <f t="shared" si="14"/>
        <v>0</v>
      </c>
      <c r="G24" s="156">
        <v>654700</v>
      </c>
      <c r="H24" s="59">
        <f t="shared" si="15"/>
        <v>654699.99999999988</v>
      </c>
      <c r="I24" s="57">
        <f t="shared" si="16"/>
        <v>0</v>
      </c>
      <c r="J24" s="57">
        <f t="shared" si="17"/>
        <v>0</v>
      </c>
      <c r="K24" s="156">
        <v>654700000</v>
      </c>
      <c r="L24" s="59">
        <f t="shared" si="18"/>
        <v>654699999.99999988</v>
      </c>
      <c r="M24" s="57">
        <f t="shared" si="19"/>
        <v>0</v>
      </c>
      <c r="N24" s="119">
        <f t="shared" si="20"/>
        <v>0</v>
      </c>
      <c r="O24" s="156">
        <v>654.70000000000005</v>
      </c>
      <c r="P24" s="59">
        <f t="shared" si="21"/>
        <v>654.69999999999993</v>
      </c>
      <c r="Q24" s="57">
        <f t="shared" si="22"/>
        <v>0</v>
      </c>
      <c r="R24" s="163">
        <f t="shared" si="23"/>
        <v>0</v>
      </c>
    </row>
    <row r="25" spans="2:18" ht="15.75" thickBot="1" x14ac:dyDescent="0.3">
      <c r="C25" s="165"/>
      <c r="D25" s="165"/>
      <c r="E25" s="164"/>
      <c r="F25" s="164"/>
      <c r="G25" s="165"/>
      <c r="H25" s="165"/>
      <c r="I25" s="164"/>
      <c r="J25" s="164"/>
      <c r="K25" s="165"/>
      <c r="L25" s="165"/>
      <c r="M25" s="164"/>
      <c r="N25" s="164"/>
      <c r="O25" s="165"/>
      <c r="P25" s="165"/>
      <c r="Q25" s="164"/>
      <c r="R25" s="164"/>
    </row>
    <row r="26" spans="2:18" x14ac:dyDescent="0.25">
      <c r="B26" s="341" t="s">
        <v>10</v>
      </c>
      <c r="C26" s="166" t="s">
        <v>14</v>
      </c>
      <c r="D26" s="168" t="s">
        <v>14</v>
      </c>
      <c r="E26" s="343" t="s">
        <v>354</v>
      </c>
      <c r="F26" s="352" t="s">
        <v>355</v>
      </c>
      <c r="G26" s="166" t="s">
        <v>14</v>
      </c>
      <c r="H26" s="168" t="s">
        <v>14</v>
      </c>
      <c r="I26" s="343" t="s">
        <v>354</v>
      </c>
      <c r="J26" s="352" t="s">
        <v>355</v>
      </c>
      <c r="K26" s="166" t="s">
        <v>14</v>
      </c>
      <c r="L26" s="168" t="s">
        <v>14</v>
      </c>
      <c r="M26" s="343" t="s">
        <v>354</v>
      </c>
      <c r="N26" s="357" t="s">
        <v>355</v>
      </c>
      <c r="O26" s="166" t="s">
        <v>14</v>
      </c>
      <c r="P26" s="168" t="s">
        <v>14</v>
      </c>
      <c r="Q26" s="343" t="s">
        <v>354</v>
      </c>
      <c r="R26" s="357" t="s">
        <v>355</v>
      </c>
    </row>
    <row r="27" spans="2:18" ht="15.75" thickBot="1" x14ac:dyDescent="0.3">
      <c r="B27" s="342"/>
      <c r="C27" s="167" t="s">
        <v>290</v>
      </c>
      <c r="D27" s="169" t="s">
        <v>291</v>
      </c>
      <c r="E27" s="344"/>
      <c r="F27" s="353"/>
      <c r="G27" s="167" t="s">
        <v>290</v>
      </c>
      <c r="H27" s="169" t="s">
        <v>291</v>
      </c>
      <c r="I27" s="344"/>
      <c r="J27" s="353"/>
      <c r="K27" s="167" t="s">
        <v>290</v>
      </c>
      <c r="L27" s="169" t="s">
        <v>291</v>
      </c>
      <c r="M27" s="344"/>
      <c r="N27" s="358"/>
      <c r="O27" s="167" t="s">
        <v>290</v>
      </c>
      <c r="P27" s="169" t="s">
        <v>291</v>
      </c>
      <c r="Q27" s="344"/>
      <c r="R27" s="358"/>
    </row>
    <row r="28" spans="2:18" ht="15.75" thickBot="1" x14ac:dyDescent="0.3">
      <c r="B28" s="346" t="s">
        <v>359</v>
      </c>
      <c r="C28" s="363" t="s">
        <v>357</v>
      </c>
      <c r="D28" s="177" t="s">
        <v>357</v>
      </c>
      <c r="E28" s="344"/>
      <c r="F28" s="354"/>
      <c r="G28" s="363" t="s">
        <v>358</v>
      </c>
      <c r="H28" s="177" t="s">
        <v>358</v>
      </c>
      <c r="I28" s="344"/>
      <c r="J28" s="354"/>
      <c r="K28" s="363" t="s">
        <v>360</v>
      </c>
      <c r="L28" s="177" t="s">
        <v>360</v>
      </c>
      <c r="M28" s="344"/>
      <c r="N28" s="358"/>
      <c r="O28" s="363" t="s">
        <v>361</v>
      </c>
      <c r="P28" s="177" t="s">
        <v>361</v>
      </c>
      <c r="Q28" s="344"/>
      <c r="R28" s="358"/>
    </row>
    <row r="29" spans="2:18" ht="30.75" thickBot="1" x14ac:dyDescent="0.3">
      <c r="B29" s="347"/>
      <c r="C29" s="364"/>
      <c r="D29" s="178" t="s">
        <v>371</v>
      </c>
      <c r="E29" s="345"/>
      <c r="F29" s="345"/>
      <c r="G29" s="364"/>
      <c r="H29" s="178" t="s">
        <v>372</v>
      </c>
      <c r="I29" s="345"/>
      <c r="J29" s="345"/>
      <c r="K29" s="364"/>
      <c r="L29" s="178" t="s">
        <v>373</v>
      </c>
      <c r="M29" s="345"/>
      <c r="N29" s="359"/>
      <c r="O29" s="364"/>
      <c r="P29" s="182" t="s">
        <v>370</v>
      </c>
      <c r="Q29" s="345"/>
      <c r="R29" s="359"/>
    </row>
    <row r="30" spans="2:18" x14ac:dyDescent="0.25">
      <c r="B30" s="44">
        <v>1</v>
      </c>
      <c r="C30" s="154">
        <v>1.0000000000000001E-9</v>
      </c>
      <c r="D30" s="123">
        <f>P30/1000000</f>
        <v>1.0000000000000001E-9</v>
      </c>
      <c r="E30" s="54">
        <f>C30-D30</f>
        <v>0</v>
      </c>
      <c r="F30" s="54">
        <f>(100*E30)/D30</f>
        <v>0</v>
      </c>
      <c r="G30" s="154">
        <v>9.9999999999999995E-7</v>
      </c>
      <c r="H30" s="123">
        <f>P30/1000</f>
        <v>9.9999999999999995E-7</v>
      </c>
      <c r="I30" s="54">
        <f>G30-H30</f>
        <v>0</v>
      </c>
      <c r="J30" s="54">
        <f>(100*I30)/H30</f>
        <v>0</v>
      </c>
      <c r="K30" s="154">
        <v>1000</v>
      </c>
      <c r="L30" s="123">
        <f>P30*1000000</f>
        <v>1000</v>
      </c>
      <c r="M30" s="54">
        <f>K30-L30</f>
        <v>0</v>
      </c>
      <c r="N30" s="117">
        <f>(100*M30)/L30</f>
        <v>0</v>
      </c>
      <c r="O30" s="154">
        <v>1E-3</v>
      </c>
      <c r="P30" s="123">
        <f>B30/1000</f>
        <v>1E-3</v>
      </c>
      <c r="Q30" s="54">
        <f>O30-P30</f>
        <v>0</v>
      </c>
      <c r="R30" s="162">
        <f>(100*Q30)/P30</f>
        <v>0</v>
      </c>
    </row>
    <row r="31" spans="2:18" x14ac:dyDescent="0.25">
      <c r="B31" s="47">
        <v>987</v>
      </c>
      <c r="C31" s="159">
        <v>9.8700000000000004E-7</v>
      </c>
      <c r="D31" s="26">
        <f t="shared" ref="D31:D35" si="24">P31/1000000</f>
        <v>9.8700000000000004E-7</v>
      </c>
      <c r="E31" s="52">
        <f t="shared" ref="E31:E35" si="25">C31-D31</f>
        <v>0</v>
      </c>
      <c r="F31" s="52">
        <f t="shared" ref="F31:F35" si="26">(100*E31)/D31</f>
        <v>0</v>
      </c>
      <c r="G31" s="159">
        <v>9.8700000000000003E-4</v>
      </c>
      <c r="H31" s="26">
        <f t="shared" ref="H31:H35" si="27">P31/1000</f>
        <v>9.8700000000000003E-4</v>
      </c>
      <c r="I31" s="52">
        <f t="shared" ref="I31:I35" si="28">G31-H31</f>
        <v>0</v>
      </c>
      <c r="J31" s="52">
        <f t="shared" ref="J31:J35" si="29">(100*I31)/H31</f>
        <v>0</v>
      </c>
      <c r="K31" s="159">
        <v>987000</v>
      </c>
      <c r="L31" s="26">
        <f t="shared" ref="L31:L35" si="30">P31*1000000</f>
        <v>987000</v>
      </c>
      <c r="M31" s="52">
        <f t="shared" ref="M31:M35" si="31">K31-L31</f>
        <v>0</v>
      </c>
      <c r="N31" s="118">
        <f t="shared" ref="N31:N35" si="32">(100*M31)/L31</f>
        <v>0</v>
      </c>
      <c r="O31" s="159">
        <v>0.98699999999999999</v>
      </c>
      <c r="P31" s="26">
        <f t="shared" ref="P31:P35" si="33">B31/1000</f>
        <v>0.98699999999999999</v>
      </c>
      <c r="Q31" s="52">
        <f t="shared" ref="Q31:Q35" si="34">O31-P31</f>
        <v>0</v>
      </c>
      <c r="R31" s="153">
        <f t="shared" ref="R31:R35" si="35">(100*Q31)/P31</f>
        <v>0</v>
      </c>
    </row>
    <row r="32" spans="2:18" x14ac:dyDescent="0.25">
      <c r="B32" s="47">
        <v>5987</v>
      </c>
      <c r="C32" s="159">
        <v>5.9869999999999996E-6</v>
      </c>
      <c r="D32" s="26">
        <f t="shared" si="24"/>
        <v>5.9870000000000004E-6</v>
      </c>
      <c r="E32" s="52">
        <f t="shared" si="25"/>
        <v>0</v>
      </c>
      <c r="F32" s="52">
        <f t="shared" si="26"/>
        <v>0</v>
      </c>
      <c r="G32" s="159">
        <v>5.9870000000000001E-3</v>
      </c>
      <c r="H32" s="26">
        <f t="shared" si="27"/>
        <v>5.9870000000000001E-3</v>
      </c>
      <c r="I32" s="52">
        <f t="shared" si="28"/>
        <v>0</v>
      </c>
      <c r="J32" s="52">
        <f t="shared" si="29"/>
        <v>0</v>
      </c>
      <c r="K32" s="159">
        <v>5987000</v>
      </c>
      <c r="L32" s="26">
        <f t="shared" si="30"/>
        <v>5987000</v>
      </c>
      <c r="M32" s="52">
        <f t="shared" si="31"/>
        <v>0</v>
      </c>
      <c r="N32" s="118">
        <f t="shared" si="32"/>
        <v>0</v>
      </c>
      <c r="O32" s="159">
        <v>5.9870000000000001</v>
      </c>
      <c r="P32" s="26">
        <f t="shared" si="33"/>
        <v>5.9870000000000001</v>
      </c>
      <c r="Q32" s="52">
        <f t="shared" si="34"/>
        <v>0</v>
      </c>
      <c r="R32" s="153">
        <f t="shared" si="35"/>
        <v>0</v>
      </c>
    </row>
    <row r="33" spans="2:18" x14ac:dyDescent="0.25">
      <c r="B33" s="47">
        <v>4455667788</v>
      </c>
      <c r="C33" s="159">
        <v>4.4556677880000004</v>
      </c>
      <c r="D33" s="26">
        <f t="shared" si="24"/>
        <v>4.4556677879999995</v>
      </c>
      <c r="E33" s="52">
        <f t="shared" si="25"/>
        <v>0</v>
      </c>
      <c r="F33" s="52">
        <f t="shared" si="26"/>
        <v>0</v>
      </c>
      <c r="G33" s="159">
        <v>4455.67</v>
      </c>
      <c r="H33" s="26">
        <f t="shared" si="27"/>
        <v>4455.6677879999997</v>
      </c>
      <c r="I33" s="52">
        <f t="shared" si="28"/>
        <v>2.2120000003269524E-3</v>
      </c>
      <c r="J33" s="52">
        <f t="shared" si="29"/>
        <v>4.9644634779197604E-5</v>
      </c>
      <c r="K33" s="159">
        <v>4455667788000</v>
      </c>
      <c r="L33" s="26">
        <f t="shared" si="30"/>
        <v>4455667788000</v>
      </c>
      <c r="M33" s="52">
        <f t="shared" si="31"/>
        <v>0</v>
      </c>
      <c r="N33" s="118">
        <f t="shared" si="32"/>
        <v>0</v>
      </c>
      <c r="O33" s="159">
        <v>4455668</v>
      </c>
      <c r="P33" s="26">
        <f t="shared" si="33"/>
        <v>4455667.7879999997</v>
      </c>
      <c r="Q33" s="52">
        <f t="shared" si="34"/>
        <v>0.21200000029057264</v>
      </c>
      <c r="R33" s="153">
        <f t="shared" si="35"/>
        <v>4.7579848942403393E-6</v>
      </c>
    </row>
    <row r="34" spans="2:18" x14ac:dyDescent="0.25">
      <c r="B34" s="47">
        <v>-654</v>
      </c>
      <c r="C34" s="159">
        <v>-6.5400000000000001E-7</v>
      </c>
      <c r="D34" s="26">
        <f t="shared" si="24"/>
        <v>-6.5400000000000001E-7</v>
      </c>
      <c r="E34" s="52">
        <f t="shared" si="25"/>
        <v>0</v>
      </c>
      <c r="F34" s="52">
        <f t="shared" si="26"/>
        <v>0</v>
      </c>
      <c r="G34" s="159">
        <v>-6.5399999999999996E-4</v>
      </c>
      <c r="H34" s="26">
        <f t="shared" si="27"/>
        <v>-6.5400000000000007E-4</v>
      </c>
      <c r="I34" s="52">
        <f t="shared" si="28"/>
        <v>0</v>
      </c>
      <c r="J34" s="52">
        <f t="shared" si="29"/>
        <v>0</v>
      </c>
      <c r="K34" s="159">
        <v>-654000</v>
      </c>
      <c r="L34" s="26">
        <f t="shared" si="30"/>
        <v>-654000</v>
      </c>
      <c r="M34" s="52">
        <f t="shared" si="31"/>
        <v>0</v>
      </c>
      <c r="N34" s="118">
        <f t="shared" si="32"/>
        <v>0</v>
      </c>
      <c r="O34" s="159">
        <v>-0.65400000000000003</v>
      </c>
      <c r="P34" s="26">
        <f t="shared" si="33"/>
        <v>-0.65400000000000003</v>
      </c>
      <c r="Q34" s="52">
        <f t="shared" si="34"/>
        <v>0</v>
      </c>
      <c r="R34" s="153">
        <f t="shared" si="35"/>
        <v>0</v>
      </c>
    </row>
    <row r="35" spans="2:18" ht="15.75" thickBot="1" x14ac:dyDescent="0.3">
      <c r="B35" s="74">
        <v>0.65469999999999995</v>
      </c>
      <c r="C35" s="156">
        <v>6.5470000000000002E-10</v>
      </c>
      <c r="D35" s="59">
        <f t="shared" si="24"/>
        <v>6.5469999999999992E-10</v>
      </c>
      <c r="E35" s="57">
        <f t="shared" si="25"/>
        <v>0</v>
      </c>
      <c r="F35" s="57">
        <f t="shared" si="26"/>
        <v>0</v>
      </c>
      <c r="G35" s="156">
        <v>6.5469999999999995E-7</v>
      </c>
      <c r="H35" s="59">
        <f t="shared" si="27"/>
        <v>6.5469999999999995E-7</v>
      </c>
      <c r="I35" s="57">
        <f t="shared" si="28"/>
        <v>0</v>
      </c>
      <c r="J35" s="57">
        <f t="shared" si="29"/>
        <v>0</v>
      </c>
      <c r="K35" s="156">
        <v>654.70000000000005</v>
      </c>
      <c r="L35" s="59">
        <f t="shared" si="30"/>
        <v>654.69999999999993</v>
      </c>
      <c r="M35" s="57">
        <f t="shared" si="31"/>
        <v>0</v>
      </c>
      <c r="N35" s="119">
        <f t="shared" si="32"/>
        <v>0</v>
      </c>
      <c r="O35" s="156">
        <v>6.5470000000000003E-4</v>
      </c>
      <c r="P35" s="59">
        <f t="shared" si="33"/>
        <v>6.5469999999999992E-4</v>
      </c>
      <c r="Q35" s="57">
        <f t="shared" si="34"/>
        <v>0</v>
      </c>
      <c r="R35" s="163">
        <f t="shared" si="35"/>
        <v>0</v>
      </c>
    </row>
    <row r="36" spans="2:18" ht="15.75" thickBot="1" x14ac:dyDescent="0.3">
      <c r="C36" s="165"/>
      <c r="D36" s="165"/>
      <c r="E36" s="164"/>
      <c r="F36" s="164"/>
      <c r="G36" s="165"/>
      <c r="H36" s="165"/>
      <c r="I36" s="164"/>
      <c r="J36" s="164"/>
      <c r="K36" s="165"/>
      <c r="L36" s="165"/>
      <c r="M36" s="164"/>
      <c r="N36" s="164"/>
      <c r="O36" s="165"/>
      <c r="P36" s="165"/>
      <c r="Q36" s="164"/>
      <c r="R36" s="164"/>
    </row>
    <row r="37" spans="2:18" x14ac:dyDescent="0.25">
      <c r="B37" s="341" t="s">
        <v>10</v>
      </c>
      <c r="C37" s="166" t="s">
        <v>14</v>
      </c>
      <c r="D37" s="168" t="s">
        <v>14</v>
      </c>
      <c r="E37" s="343" t="s">
        <v>354</v>
      </c>
      <c r="F37" s="352" t="s">
        <v>355</v>
      </c>
      <c r="G37" s="166" t="s">
        <v>14</v>
      </c>
      <c r="H37" s="168" t="s">
        <v>14</v>
      </c>
      <c r="I37" s="343" t="s">
        <v>354</v>
      </c>
      <c r="J37" s="352" t="s">
        <v>355</v>
      </c>
      <c r="K37" s="166" t="s">
        <v>14</v>
      </c>
      <c r="L37" s="168" t="s">
        <v>14</v>
      </c>
      <c r="M37" s="343" t="s">
        <v>354</v>
      </c>
      <c r="N37" s="357" t="s">
        <v>355</v>
      </c>
      <c r="O37" s="166" t="s">
        <v>14</v>
      </c>
      <c r="P37" s="168" t="s">
        <v>14</v>
      </c>
      <c r="Q37" s="343" t="s">
        <v>354</v>
      </c>
      <c r="R37" s="357" t="s">
        <v>355</v>
      </c>
    </row>
    <row r="38" spans="2:18" ht="15.75" thickBot="1" x14ac:dyDescent="0.3">
      <c r="B38" s="342"/>
      <c r="C38" s="167" t="s">
        <v>290</v>
      </c>
      <c r="D38" s="169" t="s">
        <v>291</v>
      </c>
      <c r="E38" s="344"/>
      <c r="F38" s="353"/>
      <c r="G38" s="167" t="s">
        <v>290</v>
      </c>
      <c r="H38" s="169" t="s">
        <v>291</v>
      </c>
      <c r="I38" s="344"/>
      <c r="J38" s="353"/>
      <c r="K38" s="167" t="s">
        <v>290</v>
      </c>
      <c r="L38" s="169" t="s">
        <v>291</v>
      </c>
      <c r="M38" s="344"/>
      <c r="N38" s="358"/>
      <c r="O38" s="167" t="s">
        <v>290</v>
      </c>
      <c r="P38" s="169" t="s">
        <v>291</v>
      </c>
      <c r="Q38" s="344"/>
      <c r="R38" s="358"/>
    </row>
    <row r="39" spans="2:18" ht="15.75" thickBot="1" x14ac:dyDescent="0.3">
      <c r="B39" s="346" t="s">
        <v>360</v>
      </c>
      <c r="C39" s="363" t="s">
        <v>357</v>
      </c>
      <c r="D39" s="177" t="s">
        <v>357</v>
      </c>
      <c r="E39" s="344"/>
      <c r="F39" s="354"/>
      <c r="G39" s="363" t="s">
        <v>358</v>
      </c>
      <c r="H39" s="177" t="s">
        <v>358</v>
      </c>
      <c r="I39" s="344"/>
      <c r="J39" s="354"/>
      <c r="K39" s="363" t="s">
        <v>359</v>
      </c>
      <c r="L39" s="177" t="s">
        <v>359</v>
      </c>
      <c r="M39" s="344"/>
      <c r="N39" s="358"/>
      <c r="O39" s="363" t="s">
        <v>361</v>
      </c>
      <c r="P39" s="177" t="s">
        <v>361</v>
      </c>
      <c r="Q39" s="344"/>
      <c r="R39" s="358"/>
    </row>
    <row r="40" spans="2:18" ht="30.75" thickBot="1" x14ac:dyDescent="0.3">
      <c r="B40" s="347"/>
      <c r="C40" s="364"/>
      <c r="D40" s="178" t="s">
        <v>376</v>
      </c>
      <c r="E40" s="345"/>
      <c r="F40" s="345"/>
      <c r="G40" s="364"/>
      <c r="H40" s="178" t="s">
        <v>377</v>
      </c>
      <c r="I40" s="345"/>
      <c r="J40" s="345"/>
      <c r="K40" s="364"/>
      <c r="L40" s="178" t="s">
        <v>378</v>
      </c>
      <c r="M40" s="345"/>
      <c r="N40" s="359"/>
      <c r="O40" s="365"/>
      <c r="P40" s="179" t="s">
        <v>375</v>
      </c>
      <c r="Q40" s="345"/>
      <c r="R40" s="359"/>
    </row>
    <row r="41" spans="2:18" x14ac:dyDescent="0.25">
      <c r="B41" s="44">
        <v>1</v>
      </c>
      <c r="C41" s="154">
        <v>9.9999999999999998E-13</v>
      </c>
      <c r="D41" s="123">
        <f>P41/1000000</f>
        <v>9.9999999999999998E-13</v>
      </c>
      <c r="E41" s="54">
        <f>C41-D41</f>
        <v>0</v>
      </c>
      <c r="F41" s="54">
        <f>(100*E41)/D41</f>
        <v>0</v>
      </c>
      <c r="G41" s="154">
        <v>1.0000000000000001E-9</v>
      </c>
      <c r="H41" s="123">
        <f>P41/1000</f>
        <v>9.9999999999999986E-10</v>
      </c>
      <c r="I41" s="54">
        <f>G41-H41</f>
        <v>0</v>
      </c>
      <c r="J41" s="54">
        <f>(100*I41)/H41</f>
        <v>0</v>
      </c>
      <c r="K41" s="154">
        <v>1E-3</v>
      </c>
      <c r="L41" s="123">
        <f>P41*1000</f>
        <v>1E-3</v>
      </c>
      <c r="M41" s="54">
        <f>K41-L41</f>
        <v>0</v>
      </c>
      <c r="N41" s="117">
        <f>(100*M41)/L41</f>
        <v>0</v>
      </c>
      <c r="O41" s="183">
        <v>9.9999999999999995E-7</v>
      </c>
      <c r="P41" s="123">
        <f>B41/1000000</f>
        <v>9.9999999999999995E-7</v>
      </c>
      <c r="Q41" s="54">
        <f>O41-P41</f>
        <v>0</v>
      </c>
      <c r="R41" s="162">
        <f>(100*Q41)/P41</f>
        <v>0</v>
      </c>
    </row>
    <row r="42" spans="2:18" x14ac:dyDescent="0.25">
      <c r="B42" s="47">
        <v>987</v>
      </c>
      <c r="C42" s="159">
        <v>9.87E-10</v>
      </c>
      <c r="D42" s="26">
        <f t="shared" ref="D42:D46" si="36">P42/1000000</f>
        <v>9.87E-10</v>
      </c>
      <c r="E42" s="52">
        <f t="shared" ref="E42:E46" si="37">C42-D42</f>
        <v>0</v>
      </c>
      <c r="F42" s="52">
        <f t="shared" ref="F42:F46" si="38">(100*E42)/D42</f>
        <v>0</v>
      </c>
      <c r="G42" s="159">
        <v>9.8700000000000004E-7</v>
      </c>
      <c r="H42" s="26">
        <f t="shared" ref="H42:H46" si="39">P42/1000</f>
        <v>9.8700000000000004E-7</v>
      </c>
      <c r="I42" s="52">
        <f t="shared" ref="I42:I46" si="40">G42-H42</f>
        <v>0</v>
      </c>
      <c r="J42" s="52">
        <f t="shared" ref="J42:J46" si="41">(100*I42)/H42</f>
        <v>0</v>
      </c>
      <c r="K42" s="159">
        <v>0.98699999999999999</v>
      </c>
      <c r="L42" s="26">
        <f t="shared" ref="L42:L46" si="42">P42*1000</f>
        <v>0.98699999999999999</v>
      </c>
      <c r="M42" s="52">
        <f t="shared" ref="M42:M46" si="43">K42-L42</f>
        <v>0</v>
      </c>
      <c r="N42" s="118">
        <f t="shared" ref="N42:N46" si="44">(100*M42)/L42</f>
        <v>0</v>
      </c>
      <c r="O42" s="159">
        <v>9.8700000000000003E-4</v>
      </c>
      <c r="P42" s="26">
        <f t="shared" ref="P42:P46" si="45">B42/1000000</f>
        <v>9.8700000000000003E-4</v>
      </c>
      <c r="Q42" s="52">
        <f t="shared" ref="Q42:Q46" si="46">O42-P42</f>
        <v>0</v>
      </c>
      <c r="R42" s="153">
        <f t="shared" ref="R42:R46" si="47">(100*Q42)/P42</f>
        <v>0</v>
      </c>
    </row>
    <row r="43" spans="2:18" x14ac:dyDescent="0.25">
      <c r="B43" s="47">
        <v>5987</v>
      </c>
      <c r="C43" s="159">
        <v>5.9870000000000001E-9</v>
      </c>
      <c r="D43" s="26">
        <f t="shared" si="36"/>
        <v>5.9870000000000001E-9</v>
      </c>
      <c r="E43" s="52">
        <f t="shared" si="37"/>
        <v>0</v>
      </c>
      <c r="F43" s="52">
        <f t="shared" si="38"/>
        <v>0</v>
      </c>
      <c r="G43" s="159">
        <v>5.9869999999999996E-6</v>
      </c>
      <c r="H43" s="26">
        <f t="shared" si="39"/>
        <v>5.9870000000000004E-6</v>
      </c>
      <c r="I43" s="52">
        <f t="shared" si="40"/>
        <v>0</v>
      </c>
      <c r="J43" s="52">
        <f t="shared" si="41"/>
        <v>0</v>
      </c>
      <c r="K43" s="159">
        <v>5.9870000000000001</v>
      </c>
      <c r="L43" s="26">
        <f t="shared" si="42"/>
        <v>5.9870000000000001</v>
      </c>
      <c r="M43" s="52">
        <f t="shared" si="43"/>
        <v>0</v>
      </c>
      <c r="N43" s="118">
        <f t="shared" si="44"/>
        <v>0</v>
      </c>
      <c r="O43" s="159">
        <v>5.9870000000000001E-3</v>
      </c>
      <c r="P43" s="26">
        <f t="shared" si="45"/>
        <v>5.9870000000000001E-3</v>
      </c>
      <c r="Q43" s="52">
        <f t="shared" si="46"/>
        <v>0</v>
      </c>
      <c r="R43" s="153">
        <f t="shared" si="47"/>
        <v>0</v>
      </c>
    </row>
    <row r="44" spans="2:18" x14ac:dyDescent="0.25">
      <c r="B44" s="47">
        <v>4455667788</v>
      </c>
      <c r="C44" s="159">
        <v>4.4556700000000001E-3</v>
      </c>
      <c r="D44" s="26">
        <f t="shared" si="36"/>
        <v>4.4556677879999994E-3</v>
      </c>
      <c r="E44" s="52">
        <f t="shared" si="37"/>
        <v>2.2120000007022633E-9</v>
      </c>
      <c r="F44" s="52">
        <f t="shared" si="38"/>
        <v>4.9644634787620832E-5</v>
      </c>
      <c r="G44" s="159">
        <v>4.4556699999999996</v>
      </c>
      <c r="H44" s="26">
        <f t="shared" si="39"/>
        <v>4.4556677879999995</v>
      </c>
      <c r="I44" s="52">
        <f t="shared" si="40"/>
        <v>2.2120000000569462E-6</v>
      </c>
      <c r="J44" s="52">
        <f t="shared" si="41"/>
        <v>4.9644634773137768E-5</v>
      </c>
      <c r="K44" s="159">
        <v>4455668</v>
      </c>
      <c r="L44" s="26">
        <f t="shared" si="42"/>
        <v>4455667.7879999997</v>
      </c>
      <c r="M44" s="52">
        <f t="shared" si="43"/>
        <v>0.21200000029057264</v>
      </c>
      <c r="N44" s="118">
        <f t="shared" si="44"/>
        <v>4.7579848942403393E-6</v>
      </c>
      <c r="O44" s="159">
        <v>4455.67</v>
      </c>
      <c r="P44" s="26">
        <f t="shared" si="45"/>
        <v>4455.6677879999997</v>
      </c>
      <c r="Q44" s="52">
        <f t="shared" si="46"/>
        <v>2.2120000003269524E-3</v>
      </c>
      <c r="R44" s="153">
        <f t="shared" si="47"/>
        <v>4.9644634779197604E-5</v>
      </c>
    </row>
    <row r="45" spans="2:18" x14ac:dyDescent="0.25">
      <c r="B45" s="47">
        <v>-654</v>
      </c>
      <c r="C45" s="159">
        <v>-6.5400000000000002E-10</v>
      </c>
      <c r="D45" s="26">
        <f t="shared" si="36"/>
        <v>-6.5399999999999991E-10</v>
      </c>
      <c r="E45" s="52">
        <f t="shared" si="37"/>
        <v>0</v>
      </c>
      <c r="F45" s="52">
        <f t="shared" si="38"/>
        <v>0</v>
      </c>
      <c r="G45" s="159">
        <v>-6.5400000000000001E-7</v>
      </c>
      <c r="H45" s="26">
        <f t="shared" si="39"/>
        <v>-6.5400000000000001E-7</v>
      </c>
      <c r="I45" s="52">
        <f t="shared" si="40"/>
        <v>0</v>
      </c>
      <c r="J45" s="52">
        <f t="shared" si="41"/>
        <v>0</v>
      </c>
      <c r="K45" s="159">
        <v>-0.65400000000000003</v>
      </c>
      <c r="L45" s="26">
        <f t="shared" si="42"/>
        <v>-0.65399999999999991</v>
      </c>
      <c r="M45" s="52">
        <f t="shared" si="43"/>
        <v>0</v>
      </c>
      <c r="N45" s="118">
        <f t="shared" si="44"/>
        <v>0</v>
      </c>
      <c r="O45" s="159">
        <v>-6.5399999999999996E-4</v>
      </c>
      <c r="P45" s="26">
        <f t="shared" si="45"/>
        <v>-6.5399999999999996E-4</v>
      </c>
      <c r="Q45" s="52">
        <f t="shared" si="46"/>
        <v>0</v>
      </c>
      <c r="R45" s="153">
        <f t="shared" si="47"/>
        <v>0</v>
      </c>
    </row>
    <row r="46" spans="2:18" ht="15.75" thickBot="1" x14ac:dyDescent="0.3">
      <c r="B46" s="74">
        <v>0.65469999999999995</v>
      </c>
      <c r="C46" s="156">
        <v>6.5470000000000003E-13</v>
      </c>
      <c r="D46" s="59">
        <f t="shared" si="36"/>
        <v>6.5469999999999993E-13</v>
      </c>
      <c r="E46" s="57">
        <f t="shared" si="37"/>
        <v>0</v>
      </c>
      <c r="F46" s="57">
        <f t="shared" si="38"/>
        <v>0</v>
      </c>
      <c r="G46" s="156">
        <v>6.5470000000000002E-10</v>
      </c>
      <c r="H46" s="59">
        <f t="shared" si="39"/>
        <v>6.5469999999999992E-10</v>
      </c>
      <c r="I46" s="57">
        <f t="shared" si="40"/>
        <v>0</v>
      </c>
      <c r="J46" s="57">
        <f t="shared" si="41"/>
        <v>0</v>
      </c>
      <c r="K46" s="156">
        <v>6.5470000000000003E-4</v>
      </c>
      <c r="L46" s="59">
        <f t="shared" si="42"/>
        <v>6.5469999999999992E-4</v>
      </c>
      <c r="M46" s="57">
        <f t="shared" si="43"/>
        <v>0</v>
      </c>
      <c r="N46" s="119">
        <f t="shared" si="44"/>
        <v>0</v>
      </c>
      <c r="O46" s="156">
        <v>6.5469999999999995E-7</v>
      </c>
      <c r="P46" s="59">
        <f t="shared" si="45"/>
        <v>6.5469999999999995E-7</v>
      </c>
      <c r="Q46" s="57">
        <f t="shared" si="46"/>
        <v>0</v>
      </c>
      <c r="R46" s="163">
        <f t="shared" si="47"/>
        <v>0</v>
      </c>
    </row>
    <row r="47" spans="2:18" ht="15.75" thickBot="1" x14ac:dyDescent="0.3">
      <c r="C47" s="165"/>
      <c r="D47" s="165"/>
      <c r="E47" s="180"/>
      <c r="F47" s="180"/>
      <c r="G47" s="181"/>
      <c r="H47" s="165"/>
      <c r="I47" s="164"/>
      <c r="J47" s="164"/>
      <c r="K47" s="165"/>
      <c r="L47" s="165"/>
      <c r="M47" s="164"/>
      <c r="N47" s="164"/>
      <c r="O47" s="165"/>
      <c r="P47" s="165"/>
      <c r="Q47" s="164"/>
      <c r="R47" s="164"/>
    </row>
    <row r="48" spans="2:18" x14ac:dyDescent="0.25">
      <c r="B48" s="341" t="s">
        <v>10</v>
      </c>
      <c r="C48" s="166" t="s">
        <v>14</v>
      </c>
      <c r="D48" s="168" t="s">
        <v>14</v>
      </c>
      <c r="E48" s="343" t="s">
        <v>354</v>
      </c>
      <c r="F48" s="352" t="s">
        <v>355</v>
      </c>
      <c r="G48" s="166" t="s">
        <v>14</v>
      </c>
      <c r="H48" s="168" t="s">
        <v>14</v>
      </c>
      <c r="I48" s="343" t="s">
        <v>354</v>
      </c>
      <c r="J48" s="352" t="s">
        <v>355</v>
      </c>
      <c r="K48" s="166" t="s">
        <v>14</v>
      </c>
      <c r="L48" s="168" t="s">
        <v>14</v>
      </c>
      <c r="M48" s="343" t="s">
        <v>354</v>
      </c>
      <c r="N48" s="357" t="s">
        <v>355</v>
      </c>
      <c r="O48" s="166" t="s">
        <v>14</v>
      </c>
      <c r="P48" s="168" t="s">
        <v>14</v>
      </c>
      <c r="Q48" s="343" t="s">
        <v>354</v>
      </c>
      <c r="R48" s="357" t="s">
        <v>355</v>
      </c>
    </row>
    <row r="49" spans="2:18" ht="15.75" thickBot="1" x14ac:dyDescent="0.3">
      <c r="B49" s="342"/>
      <c r="C49" s="167" t="s">
        <v>290</v>
      </c>
      <c r="D49" s="169" t="s">
        <v>291</v>
      </c>
      <c r="E49" s="344"/>
      <c r="F49" s="353"/>
      <c r="G49" s="167" t="s">
        <v>290</v>
      </c>
      <c r="H49" s="169" t="s">
        <v>291</v>
      </c>
      <c r="I49" s="344"/>
      <c r="J49" s="353"/>
      <c r="K49" s="167" t="s">
        <v>290</v>
      </c>
      <c r="L49" s="169" t="s">
        <v>291</v>
      </c>
      <c r="M49" s="344"/>
      <c r="N49" s="358"/>
      <c r="O49" s="167" t="s">
        <v>290</v>
      </c>
      <c r="P49" s="169" t="s">
        <v>291</v>
      </c>
      <c r="Q49" s="344"/>
      <c r="R49" s="358"/>
    </row>
    <row r="50" spans="2:18" ht="15.75" thickBot="1" x14ac:dyDescent="0.3">
      <c r="B50" s="346" t="s">
        <v>361</v>
      </c>
      <c r="C50" s="363" t="s">
        <v>357</v>
      </c>
      <c r="D50" s="177" t="s">
        <v>357</v>
      </c>
      <c r="E50" s="344"/>
      <c r="F50" s="354"/>
      <c r="G50" s="363" t="s">
        <v>358</v>
      </c>
      <c r="H50" s="177" t="s">
        <v>358</v>
      </c>
      <c r="I50" s="344"/>
      <c r="J50" s="354"/>
      <c r="K50" s="363" t="s">
        <v>359</v>
      </c>
      <c r="L50" s="177" t="s">
        <v>359</v>
      </c>
      <c r="M50" s="344"/>
      <c r="N50" s="358"/>
      <c r="O50" s="363" t="s">
        <v>360</v>
      </c>
      <c r="P50" s="177" t="s">
        <v>360</v>
      </c>
      <c r="Q50" s="344"/>
      <c r="R50" s="358"/>
    </row>
    <row r="51" spans="2:18" ht="15.75" thickBot="1" x14ac:dyDescent="0.3">
      <c r="B51" s="347"/>
      <c r="C51" s="364"/>
      <c r="D51" s="179" t="s">
        <v>379</v>
      </c>
      <c r="E51" s="345"/>
      <c r="F51" s="345"/>
      <c r="G51" s="364"/>
      <c r="H51" s="179" t="s">
        <v>380</v>
      </c>
      <c r="I51" s="345"/>
      <c r="J51" s="345"/>
      <c r="K51" s="364"/>
      <c r="L51" s="179" t="s">
        <v>381</v>
      </c>
      <c r="M51" s="345"/>
      <c r="N51" s="359"/>
      <c r="O51" s="364"/>
      <c r="P51" s="179" t="s">
        <v>374</v>
      </c>
      <c r="Q51" s="345"/>
      <c r="R51" s="359"/>
    </row>
    <row r="52" spans="2:18" x14ac:dyDescent="0.25">
      <c r="B52" s="44">
        <v>1</v>
      </c>
      <c r="C52" s="154">
        <v>9.9999999999999995E-7</v>
      </c>
      <c r="D52" s="123">
        <f>B52/1000000</f>
        <v>9.9999999999999995E-7</v>
      </c>
      <c r="E52" s="54">
        <f>C52-D52</f>
        <v>0</v>
      </c>
      <c r="F52" s="54">
        <f>(100*E52)/D52</f>
        <v>0</v>
      </c>
      <c r="G52" s="154">
        <v>1E-3</v>
      </c>
      <c r="H52" s="123">
        <f>B52/1000</f>
        <v>1E-3</v>
      </c>
      <c r="I52" s="54">
        <f>G52-H52</f>
        <v>0</v>
      </c>
      <c r="J52" s="54">
        <f>(100*I52)/H52</f>
        <v>0</v>
      </c>
      <c r="K52" s="154">
        <v>1000</v>
      </c>
      <c r="L52" s="123">
        <f>B52*1000</f>
        <v>1000</v>
      </c>
      <c r="M52" s="54">
        <f>K52-L52</f>
        <v>0</v>
      </c>
      <c r="N52" s="117">
        <f>(100*M52)/L52</f>
        <v>0</v>
      </c>
      <c r="O52" s="154">
        <v>1000000</v>
      </c>
      <c r="P52" s="123">
        <f>B52*1000000</f>
        <v>1000000</v>
      </c>
      <c r="Q52" s="54">
        <f>O52-P52</f>
        <v>0</v>
      </c>
      <c r="R52" s="162">
        <f>(100*Q52)/P52</f>
        <v>0</v>
      </c>
    </row>
    <row r="53" spans="2:18" x14ac:dyDescent="0.25">
      <c r="B53" s="47">
        <v>987</v>
      </c>
      <c r="C53" s="159">
        <v>9.8700000000000003E-4</v>
      </c>
      <c r="D53" s="26">
        <f t="shared" ref="D53:D57" si="48">B53/1000000</f>
        <v>9.8700000000000003E-4</v>
      </c>
      <c r="E53" s="52">
        <f t="shared" ref="E53:E57" si="49">C53-D53</f>
        <v>0</v>
      </c>
      <c r="F53" s="52">
        <f t="shared" ref="F53:F57" si="50">(100*E53)/D53</f>
        <v>0</v>
      </c>
      <c r="G53" s="159">
        <v>0.98699999999999999</v>
      </c>
      <c r="H53" s="26">
        <f t="shared" ref="H53:H57" si="51">B53/1000</f>
        <v>0.98699999999999999</v>
      </c>
      <c r="I53" s="52">
        <f t="shared" ref="I53:I57" si="52">G53-H53</f>
        <v>0</v>
      </c>
      <c r="J53" s="52">
        <f t="shared" ref="J53:J57" si="53">(100*I53)/H53</f>
        <v>0</v>
      </c>
      <c r="K53" s="159">
        <v>987000</v>
      </c>
      <c r="L53" s="26">
        <f t="shared" ref="L53:L57" si="54">B53*1000</f>
        <v>987000</v>
      </c>
      <c r="M53" s="52">
        <f t="shared" ref="M53:M57" si="55">K53-L53</f>
        <v>0</v>
      </c>
      <c r="N53" s="118">
        <f t="shared" ref="N53:N57" si="56">(100*M53)/L53</f>
        <v>0</v>
      </c>
      <c r="O53" s="159">
        <v>987000000</v>
      </c>
      <c r="P53" s="26">
        <f t="shared" ref="P53:P57" si="57">B53*1000000</f>
        <v>987000000</v>
      </c>
      <c r="Q53" s="52">
        <f t="shared" ref="Q53:Q57" si="58">O53-P53</f>
        <v>0</v>
      </c>
      <c r="R53" s="153">
        <f t="shared" ref="R53:R57" si="59">(100*Q53)/P53</f>
        <v>0</v>
      </c>
    </row>
    <row r="54" spans="2:18" x14ac:dyDescent="0.25">
      <c r="B54" s="47">
        <v>5987</v>
      </c>
      <c r="C54" s="159">
        <v>5.9870000000000001E-3</v>
      </c>
      <c r="D54" s="26">
        <f t="shared" si="48"/>
        <v>5.9870000000000001E-3</v>
      </c>
      <c r="E54" s="52">
        <f t="shared" si="49"/>
        <v>0</v>
      </c>
      <c r="F54" s="52">
        <f t="shared" si="50"/>
        <v>0</v>
      </c>
      <c r="G54" s="159">
        <v>5.9870000000000001</v>
      </c>
      <c r="H54" s="26">
        <f t="shared" si="51"/>
        <v>5.9870000000000001</v>
      </c>
      <c r="I54" s="52">
        <f t="shared" si="52"/>
        <v>0</v>
      </c>
      <c r="J54" s="52">
        <f t="shared" si="53"/>
        <v>0</v>
      </c>
      <c r="K54" s="159">
        <v>5987000</v>
      </c>
      <c r="L54" s="26">
        <f t="shared" si="54"/>
        <v>5987000</v>
      </c>
      <c r="M54" s="52">
        <f t="shared" si="55"/>
        <v>0</v>
      </c>
      <c r="N54" s="118">
        <f t="shared" si="56"/>
        <v>0</v>
      </c>
      <c r="O54" s="159">
        <v>5987000000</v>
      </c>
      <c r="P54" s="26">
        <f t="shared" si="57"/>
        <v>5987000000</v>
      </c>
      <c r="Q54" s="52">
        <f t="shared" si="58"/>
        <v>0</v>
      </c>
      <c r="R54" s="153">
        <f t="shared" si="59"/>
        <v>0</v>
      </c>
    </row>
    <row r="55" spans="2:18" x14ac:dyDescent="0.25">
      <c r="B55" s="47">
        <v>4455667788</v>
      </c>
      <c r="C55" s="159">
        <v>4455.67</v>
      </c>
      <c r="D55" s="26">
        <f t="shared" si="48"/>
        <v>4455.6677879999997</v>
      </c>
      <c r="E55" s="52">
        <f t="shared" si="49"/>
        <v>2.2120000003269524E-3</v>
      </c>
      <c r="F55" s="52">
        <f t="shared" si="50"/>
        <v>4.9644634779197604E-5</v>
      </c>
      <c r="G55" s="159">
        <v>4455668</v>
      </c>
      <c r="H55" s="26">
        <f t="shared" si="51"/>
        <v>4455667.7879999997</v>
      </c>
      <c r="I55" s="52">
        <f t="shared" si="52"/>
        <v>0.21200000029057264</v>
      </c>
      <c r="J55" s="52">
        <f t="shared" si="53"/>
        <v>4.7579848942403393E-6</v>
      </c>
      <c r="K55" s="159">
        <v>4455667788000</v>
      </c>
      <c r="L55" s="26">
        <f t="shared" si="54"/>
        <v>4455667788000</v>
      </c>
      <c r="M55" s="52">
        <f t="shared" si="55"/>
        <v>0</v>
      </c>
      <c r="N55" s="118">
        <f t="shared" si="56"/>
        <v>0</v>
      </c>
      <c r="O55" s="159">
        <v>4455667788000000</v>
      </c>
      <c r="P55" s="26">
        <f t="shared" si="57"/>
        <v>4455667788000000</v>
      </c>
      <c r="Q55" s="52">
        <f t="shared" si="58"/>
        <v>0</v>
      </c>
      <c r="R55" s="153">
        <f t="shared" si="59"/>
        <v>0</v>
      </c>
    </row>
    <row r="56" spans="2:18" x14ac:dyDescent="0.25">
      <c r="B56" s="47">
        <v>-654</v>
      </c>
      <c r="C56" s="159">
        <v>-6.5399999999999996E-4</v>
      </c>
      <c r="D56" s="26">
        <f t="shared" si="48"/>
        <v>-6.5399999999999996E-4</v>
      </c>
      <c r="E56" s="52">
        <f t="shared" si="49"/>
        <v>0</v>
      </c>
      <c r="F56" s="52">
        <f t="shared" si="50"/>
        <v>0</v>
      </c>
      <c r="G56" s="159">
        <v>-0.65400000000000003</v>
      </c>
      <c r="H56" s="26">
        <f t="shared" si="51"/>
        <v>-0.65400000000000003</v>
      </c>
      <c r="I56" s="52">
        <f t="shared" si="52"/>
        <v>0</v>
      </c>
      <c r="J56" s="52">
        <f t="shared" si="53"/>
        <v>0</v>
      </c>
      <c r="K56" s="159">
        <v>-654000</v>
      </c>
      <c r="L56" s="26">
        <f t="shared" si="54"/>
        <v>-654000</v>
      </c>
      <c r="M56" s="52">
        <f t="shared" si="55"/>
        <v>0</v>
      </c>
      <c r="N56" s="118">
        <f t="shared" si="56"/>
        <v>0</v>
      </c>
      <c r="O56" s="159">
        <v>-654000000</v>
      </c>
      <c r="P56" s="26">
        <f t="shared" si="57"/>
        <v>-654000000</v>
      </c>
      <c r="Q56" s="52">
        <f t="shared" si="58"/>
        <v>0</v>
      </c>
      <c r="R56" s="153">
        <f t="shared" si="59"/>
        <v>0</v>
      </c>
    </row>
    <row r="57" spans="2:18" ht="15.75" thickBot="1" x14ac:dyDescent="0.3">
      <c r="B57" s="74">
        <v>0.65469999999999995</v>
      </c>
      <c r="C57" s="156">
        <v>6.5469999999999995E-7</v>
      </c>
      <c r="D57" s="59">
        <f t="shared" si="48"/>
        <v>6.5469999999999995E-7</v>
      </c>
      <c r="E57" s="57">
        <f t="shared" si="49"/>
        <v>0</v>
      </c>
      <c r="F57" s="57">
        <f t="shared" si="50"/>
        <v>0</v>
      </c>
      <c r="G57" s="156">
        <v>6.5470000000000003E-4</v>
      </c>
      <c r="H57" s="59">
        <f t="shared" si="51"/>
        <v>6.5469999999999992E-4</v>
      </c>
      <c r="I57" s="57">
        <f t="shared" si="52"/>
        <v>0</v>
      </c>
      <c r="J57" s="57">
        <f t="shared" si="53"/>
        <v>0</v>
      </c>
      <c r="K57" s="156">
        <v>654.70000000000005</v>
      </c>
      <c r="L57" s="59">
        <f t="shared" si="54"/>
        <v>654.69999999999993</v>
      </c>
      <c r="M57" s="57">
        <f t="shared" si="55"/>
        <v>0</v>
      </c>
      <c r="N57" s="119">
        <f t="shared" si="56"/>
        <v>0</v>
      </c>
      <c r="O57" s="156">
        <v>654700</v>
      </c>
      <c r="P57" s="59">
        <f t="shared" si="57"/>
        <v>654700</v>
      </c>
      <c r="Q57" s="57">
        <f t="shared" si="58"/>
        <v>0</v>
      </c>
      <c r="R57" s="163">
        <f t="shared" si="59"/>
        <v>0</v>
      </c>
    </row>
  </sheetData>
  <mergeCells count="71">
    <mergeCell ref="R37:R40"/>
    <mergeCell ref="O39:O40"/>
    <mergeCell ref="B48:B49"/>
    <mergeCell ref="E48:E51"/>
    <mergeCell ref="F48:F51"/>
    <mergeCell ref="I48:I51"/>
    <mergeCell ref="J48:J51"/>
    <mergeCell ref="M48:M51"/>
    <mergeCell ref="N48:N51"/>
    <mergeCell ref="Q48:Q51"/>
    <mergeCell ref="R48:R51"/>
    <mergeCell ref="B50:B51"/>
    <mergeCell ref="C50:C51"/>
    <mergeCell ref="G50:G51"/>
    <mergeCell ref="K50:K51"/>
    <mergeCell ref="O50:O51"/>
    <mergeCell ref="R4:R7"/>
    <mergeCell ref="O6:O7"/>
    <mergeCell ref="Q15:Q18"/>
    <mergeCell ref="R15:R18"/>
    <mergeCell ref="O17:O18"/>
    <mergeCell ref="Q4:Q7"/>
    <mergeCell ref="Q26:Q29"/>
    <mergeCell ref="R26:R29"/>
    <mergeCell ref="O28:O29"/>
    <mergeCell ref="N37:N40"/>
    <mergeCell ref="B39:B40"/>
    <mergeCell ref="C39:C40"/>
    <mergeCell ref="G39:G40"/>
    <mergeCell ref="K39:K40"/>
    <mergeCell ref="Q37:Q40"/>
    <mergeCell ref="B37:B38"/>
    <mergeCell ref="E37:E40"/>
    <mergeCell ref="F37:F40"/>
    <mergeCell ref="I37:I40"/>
    <mergeCell ref="J37:J40"/>
    <mergeCell ref="M37:M40"/>
    <mergeCell ref="M26:M29"/>
    <mergeCell ref="N26:N29"/>
    <mergeCell ref="B28:B29"/>
    <mergeCell ref="C28:C29"/>
    <mergeCell ref="G28:G29"/>
    <mergeCell ref="K28:K29"/>
    <mergeCell ref="B26:B27"/>
    <mergeCell ref="E26:E29"/>
    <mergeCell ref="F26:F29"/>
    <mergeCell ref="I26:I29"/>
    <mergeCell ref="J26:J29"/>
    <mergeCell ref="N15:N18"/>
    <mergeCell ref="B17:B18"/>
    <mergeCell ref="C17:C18"/>
    <mergeCell ref="G17:G18"/>
    <mergeCell ref="K17:K18"/>
    <mergeCell ref="B15:B16"/>
    <mergeCell ref="E15:E18"/>
    <mergeCell ref="F15:F18"/>
    <mergeCell ref="I15:I18"/>
    <mergeCell ref="J15:J18"/>
    <mergeCell ref="M15:M18"/>
    <mergeCell ref="M4:M7"/>
    <mergeCell ref="N4:N7"/>
    <mergeCell ref="B6:B7"/>
    <mergeCell ref="C6:C7"/>
    <mergeCell ref="G6:G7"/>
    <mergeCell ref="K6:K7"/>
    <mergeCell ref="B1:K1"/>
    <mergeCell ref="B4:B5"/>
    <mergeCell ref="E4:E7"/>
    <mergeCell ref="F4:F7"/>
    <mergeCell ref="I4:I7"/>
    <mergeCell ref="J4:J7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N47"/>
  <sheetViews>
    <sheetView workbookViewId="0">
      <pane xSplit="2" ySplit="1" topLeftCell="I20" activePane="bottomRight" state="frozen"/>
      <selection pane="topRight" activeCell="C1" sqref="C1"/>
      <selection pane="bottomLeft" activeCell="A2" sqref="A2"/>
      <selection pane="bottomRight" activeCell="J48" sqref="J48"/>
    </sheetView>
  </sheetViews>
  <sheetFormatPr defaultRowHeight="15" x14ac:dyDescent="0.25"/>
  <cols>
    <col min="1" max="1" width="4" customWidth="1"/>
    <col min="2" max="2" width="17.85546875" bestFit="1" customWidth="1"/>
    <col min="3" max="3" width="33.28515625" bestFit="1" customWidth="1"/>
    <col min="4" max="4" width="45.140625" customWidth="1"/>
    <col min="5" max="5" width="26" customWidth="1"/>
    <col min="6" max="6" width="23.5703125" customWidth="1"/>
    <col min="7" max="7" width="30.28515625" bestFit="1" customWidth="1"/>
    <col min="8" max="8" width="40.42578125" customWidth="1"/>
    <col min="9" max="9" width="23.140625" bestFit="1" customWidth="1"/>
    <col min="10" max="10" width="23" bestFit="1" customWidth="1"/>
    <col min="11" max="11" width="36.42578125" bestFit="1" customWidth="1"/>
    <col min="12" max="12" width="43.7109375" customWidth="1"/>
    <col min="13" max="13" width="23.140625" bestFit="1" customWidth="1"/>
    <col min="14" max="14" width="23" bestFit="1" customWidth="1"/>
  </cols>
  <sheetData>
    <row r="1" spans="2:14" ht="31.5" x14ac:dyDescent="0.5">
      <c r="B1" s="340" t="s">
        <v>289</v>
      </c>
      <c r="C1" s="340"/>
      <c r="D1" s="340"/>
      <c r="E1" s="340"/>
      <c r="F1" s="340"/>
      <c r="G1" s="340"/>
      <c r="H1" s="340"/>
      <c r="I1" s="340"/>
      <c r="J1" s="340"/>
      <c r="K1" s="340"/>
    </row>
    <row r="2" spans="2:14" x14ac:dyDescent="0.25">
      <c r="B2" s="70" t="s">
        <v>340</v>
      </c>
      <c r="C2" t="s">
        <v>341</v>
      </c>
      <c r="D2" t="s">
        <v>398</v>
      </c>
    </row>
    <row r="3" spans="2:14" ht="15.75" thickBot="1" x14ac:dyDescent="0.3"/>
    <row r="4" spans="2:14" x14ac:dyDescent="0.25">
      <c r="B4" s="341" t="s">
        <v>10</v>
      </c>
      <c r="C4" s="62" t="s">
        <v>14</v>
      </c>
      <c r="D4" s="65" t="s">
        <v>14</v>
      </c>
      <c r="E4" s="330" t="s">
        <v>354</v>
      </c>
      <c r="F4" s="324" t="s">
        <v>355</v>
      </c>
      <c r="G4" s="62" t="s">
        <v>14</v>
      </c>
      <c r="H4" s="65" t="s">
        <v>14</v>
      </c>
      <c r="I4" s="330" t="s">
        <v>354</v>
      </c>
      <c r="J4" s="324" t="s">
        <v>355</v>
      </c>
      <c r="K4" s="62" t="s">
        <v>14</v>
      </c>
      <c r="L4" s="65" t="s">
        <v>14</v>
      </c>
      <c r="M4" s="330" t="s">
        <v>354</v>
      </c>
      <c r="N4" s="321" t="s">
        <v>355</v>
      </c>
    </row>
    <row r="5" spans="2:14" ht="15.75" thickBot="1" x14ac:dyDescent="0.3">
      <c r="B5" s="342"/>
      <c r="C5" s="63" t="s">
        <v>290</v>
      </c>
      <c r="D5" s="27" t="s">
        <v>291</v>
      </c>
      <c r="E5" s="331"/>
      <c r="F5" s="325"/>
      <c r="G5" s="63" t="s">
        <v>290</v>
      </c>
      <c r="H5" s="27" t="s">
        <v>291</v>
      </c>
      <c r="I5" s="331"/>
      <c r="J5" s="325"/>
      <c r="K5" s="63" t="s">
        <v>290</v>
      </c>
      <c r="L5" s="27" t="s">
        <v>291</v>
      </c>
      <c r="M5" s="331"/>
      <c r="N5" s="322"/>
    </row>
    <row r="6" spans="2:14" ht="15.75" thickBot="1" x14ac:dyDescent="0.3">
      <c r="B6" s="346" t="s">
        <v>382</v>
      </c>
      <c r="C6" s="346" t="s">
        <v>383</v>
      </c>
      <c r="D6" s="16" t="s">
        <v>383</v>
      </c>
      <c r="E6" s="331"/>
      <c r="F6" s="326"/>
      <c r="G6" s="346" t="s">
        <v>384</v>
      </c>
      <c r="H6" s="16" t="s">
        <v>384</v>
      </c>
      <c r="I6" s="331"/>
      <c r="J6" s="326"/>
      <c r="K6" s="346" t="s">
        <v>385</v>
      </c>
      <c r="L6" s="16" t="s">
        <v>385</v>
      </c>
      <c r="M6" s="331"/>
      <c r="N6" s="322"/>
    </row>
    <row r="7" spans="2:14" ht="30.75" thickBot="1" x14ac:dyDescent="0.3">
      <c r="B7" s="347"/>
      <c r="C7" s="347"/>
      <c r="D7" s="120" t="s">
        <v>387</v>
      </c>
      <c r="E7" s="327"/>
      <c r="F7" s="327"/>
      <c r="G7" s="347"/>
      <c r="H7" s="121" t="s">
        <v>386</v>
      </c>
      <c r="I7" s="327"/>
      <c r="J7" s="327"/>
      <c r="K7" s="347"/>
      <c r="L7" s="120" t="s">
        <v>388</v>
      </c>
      <c r="M7" s="327"/>
      <c r="N7" s="323"/>
    </row>
    <row r="8" spans="2:14" x14ac:dyDescent="0.25">
      <c r="B8" s="44">
        <v>1</v>
      </c>
      <c r="C8" s="154">
        <v>1000000</v>
      </c>
      <c r="D8" s="123">
        <f>H8*1000</f>
        <v>1000000</v>
      </c>
      <c r="E8" s="54">
        <f>C8-D8</f>
        <v>0</v>
      </c>
      <c r="F8" s="54">
        <f>(100*E8)/D8</f>
        <v>0</v>
      </c>
      <c r="G8" s="154">
        <v>1000</v>
      </c>
      <c r="H8" s="123">
        <f>B8*1000</f>
        <v>1000</v>
      </c>
      <c r="I8" s="54">
        <f>G8-H8</f>
        <v>0</v>
      </c>
      <c r="J8" s="54">
        <f>(100*I8)/H8</f>
        <v>0</v>
      </c>
      <c r="K8" s="154">
        <v>1000000000</v>
      </c>
      <c r="L8" s="123">
        <f>H8*1000000</f>
        <v>1000000000</v>
      </c>
      <c r="M8" s="117">
        <f>K8-L8</f>
        <v>0</v>
      </c>
      <c r="N8" s="162">
        <f>(100*M8)/L8</f>
        <v>0</v>
      </c>
    </row>
    <row r="9" spans="2:14" x14ac:dyDescent="0.25">
      <c r="B9" s="47">
        <v>987</v>
      </c>
      <c r="C9" s="159">
        <v>987000000</v>
      </c>
      <c r="D9" s="123">
        <f t="shared" ref="D9:D13" si="0">H9*1000</f>
        <v>987000000</v>
      </c>
      <c r="E9" s="52">
        <f t="shared" ref="E9:E13" si="1">C9-D9</f>
        <v>0</v>
      </c>
      <c r="F9" s="52">
        <f t="shared" ref="F9:F13" si="2">(100*E9)/D9</f>
        <v>0</v>
      </c>
      <c r="G9" s="159">
        <v>987000</v>
      </c>
      <c r="H9" s="123">
        <f t="shared" ref="H9:H13" si="3">B9*1000</f>
        <v>987000</v>
      </c>
      <c r="I9" s="52">
        <f t="shared" ref="I9:I13" si="4">G9-H9</f>
        <v>0</v>
      </c>
      <c r="J9" s="52">
        <f t="shared" ref="J9:J13" si="5">(100*I9)/H9</f>
        <v>0</v>
      </c>
      <c r="K9" s="159">
        <v>987000000000</v>
      </c>
      <c r="L9" s="123">
        <f t="shared" ref="L9:L13" si="6">H9*1000000</f>
        <v>987000000000</v>
      </c>
      <c r="M9" s="118">
        <f t="shared" ref="M9:M13" si="7">K9-L9</f>
        <v>0</v>
      </c>
      <c r="N9" s="153">
        <f t="shared" ref="N9:N13" si="8">(100*M9)/L9</f>
        <v>0</v>
      </c>
    </row>
    <row r="10" spans="2:14" x14ac:dyDescent="0.25">
      <c r="B10" s="47">
        <v>5987</v>
      </c>
      <c r="C10" s="159">
        <v>5987000000</v>
      </c>
      <c r="D10" s="123">
        <f t="shared" si="0"/>
        <v>5987000000</v>
      </c>
      <c r="E10" s="52">
        <f t="shared" si="1"/>
        <v>0</v>
      </c>
      <c r="F10" s="52">
        <f t="shared" si="2"/>
        <v>0</v>
      </c>
      <c r="G10" s="159">
        <v>5987000</v>
      </c>
      <c r="H10" s="123">
        <f t="shared" si="3"/>
        <v>5987000</v>
      </c>
      <c r="I10" s="52">
        <f t="shared" si="4"/>
        <v>0</v>
      </c>
      <c r="J10" s="52">
        <f t="shared" si="5"/>
        <v>0</v>
      </c>
      <c r="K10" s="159">
        <v>5987000000000</v>
      </c>
      <c r="L10" s="123">
        <f t="shared" si="6"/>
        <v>5987000000000</v>
      </c>
      <c r="M10" s="118">
        <f t="shared" si="7"/>
        <v>0</v>
      </c>
      <c r="N10" s="153">
        <f t="shared" si="8"/>
        <v>0</v>
      </c>
    </row>
    <row r="11" spans="2:14" x14ac:dyDescent="0.25">
      <c r="B11" s="47">
        <v>4455667788</v>
      </c>
      <c r="C11" s="159">
        <v>4455667788000000</v>
      </c>
      <c r="D11" s="123">
        <f t="shared" si="0"/>
        <v>4455667788000000</v>
      </c>
      <c r="E11" s="52">
        <f t="shared" si="1"/>
        <v>0</v>
      </c>
      <c r="F11" s="52">
        <f t="shared" si="2"/>
        <v>0</v>
      </c>
      <c r="G11" s="159">
        <v>4455667788000</v>
      </c>
      <c r="H11" s="123">
        <f t="shared" si="3"/>
        <v>4455667788000</v>
      </c>
      <c r="I11" s="52">
        <f t="shared" si="4"/>
        <v>0</v>
      </c>
      <c r="J11" s="52">
        <f t="shared" si="5"/>
        <v>0</v>
      </c>
      <c r="K11" s="159">
        <v>4.455667788E+18</v>
      </c>
      <c r="L11" s="123">
        <f t="shared" si="6"/>
        <v>4.455667788E+18</v>
      </c>
      <c r="M11" s="118">
        <f t="shared" si="7"/>
        <v>0</v>
      </c>
      <c r="N11" s="153">
        <f t="shared" si="8"/>
        <v>0</v>
      </c>
    </row>
    <row r="12" spans="2:14" x14ac:dyDescent="0.25">
      <c r="B12" s="47">
        <v>-654</v>
      </c>
      <c r="C12" s="159">
        <v>-654000000</v>
      </c>
      <c r="D12" s="123">
        <f t="shared" si="0"/>
        <v>-654000000</v>
      </c>
      <c r="E12" s="52">
        <f t="shared" si="1"/>
        <v>0</v>
      </c>
      <c r="F12" s="52">
        <f t="shared" si="2"/>
        <v>0</v>
      </c>
      <c r="G12" s="159">
        <v>-654000</v>
      </c>
      <c r="H12" s="123">
        <f t="shared" si="3"/>
        <v>-654000</v>
      </c>
      <c r="I12" s="52">
        <f t="shared" si="4"/>
        <v>0</v>
      </c>
      <c r="J12" s="52">
        <f t="shared" si="5"/>
        <v>0</v>
      </c>
      <c r="K12" s="159">
        <v>-654000000000</v>
      </c>
      <c r="L12" s="123">
        <f t="shared" si="6"/>
        <v>-654000000000</v>
      </c>
      <c r="M12" s="118">
        <f t="shared" si="7"/>
        <v>0</v>
      </c>
      <c r="N12" s="153">
        <f t="shared" si="8"/>
        <v>0</v>
      </c>
    </row>
    <row r="13" spans="2:14" ht="15.75" thickBot="1" x14ac:dyDescent="0.3">
      <c r="B13" s="74">
        <v>0.65469999999999995</v>
      </c>
      <c r="C13" s="156">
        <v>654700</v>
      </c>
      <c r="D13" s="184">
        <f t="shared" si="0"/>
        <v>654699.99999999988</v>
      </c>
      <c r="E13" s="57">
        <f t="shared" si="1"/>
        <v>0</v>
      </c>
      <c r="F13" s="57">
        <f t="shared" si="2"/>
        <v>0</v>
      </c>
      <c r="G13" s="156">
        <v>654.70000000000005</v>
      </c>
      <c r="H13" s="59">
        <f t="shared" si="3"/>
        <v>654.69999999999993</v>
      </c>
      <c r="I13" s="57">
        <f t="shared" si="4"/>
        <v>0</v>
      </c>
      <c r="J13" s="57">
        <f t="shared" si="5"/>
        <v>0</v>
      </c>
      <c r="K13" s="156">
        <v>654700000</v>
      </c>
      <c r="L13" s="184">
        <f t="shared" si="6"/>
        <v>654699999.99999988</v>
      </c>
      <c r="M13" s="119">
        <f t="shared" si="7"/>
        <v>0</v>
      </c>
      <c r="N13" s="163">
        <f t="shared" si="8"/>
        <v>0</v>
      </c>
    </row>
    <row r="14" spans="2:14" ht="15.75" thickBot="1" x14ac:dyDescent="0.3">
      <c r="C14" s="165"/>
      <c r="D14" s="165"/>
      <c r="E14" s="164"/>
      <c r="F14" s="164"/>
      <c r="G14" s="165"/>
      <c r="H14" s="165"/>
      <c r="I14" s="164"/>
      <c r="J14" s="164"/>
      <c r="K14" s="165"/>
      <c r="L14" s="165"/>
      <c r="M14" s="164"/>
      <c r="N14" s="164"/>
    </row>
    <row r="15" spans="2:14" x14ac:dyDescent="0.25">
      <c r="B15" s="341" t="s">
        <v>10</v>
      </c>
      <c r="C15" s="166" t="s">
        <v>14</v>
      </c>
      <c r="D15" s="168" t="s">
        <v>14</v>
      </c>
      <c r="E15" s="343" t="s">
        <v>354</v>
      </c>
      <c r="F15" s="352" t="s">
        <v>355</v>
      </c>
      <c r="G15" s="166" t="s">
        <v>14</v>
      </c>
      <c r="H15" s="168" t="s">
        <v>14</v>
      </c>
      <c r="I15" s="343" t="s">
        <v>354</v>
      </c>
      <c r="J15" s="352" t="s">
        <v>355</v>
      </c>
      <c r="K15" s="166" t="s">
        <v>14</v>
      </c>
      <c r="L15" s="168" t="s">
        <v>14</v>
      </c>
      <c r="M15" s="343" t="s">
        <v>354</v>
      </c>
      <c r="N15" s="357" t="s">
        <v>355</v>
      </c>
    </row>
    <row r="16" spans="2:14" ht="15.75" thickBot="1" x14ac:dyDescent="0.3">
      <c r="B16" s="342"/>
      <c r="C16" s="167" t="s">
        <v>290</v>
      </c>
      <c r="D16" s="169" t="s">
        <v>291</v>
      </c>
      <c r="E16" s="344"/>
      <c r="F16" s="353"/>
      <c r="G16" s="167" t="s">
        <v>290</v>
      </c>
      <c r="H16" s="169" t="s">
        <v>291</v>
      </c>
      <c r="I16" s="344"/>
      <c r="J16" s="353"/>
      <c r="K16" s="167" t="s">
        <v>290</v>
      </c>
      <c r="L16" s="169" t="s">
        <v>291</v>
      </c>
      <c r="M16" s="344"/>
      <c r="N16" s="358"/>
    </row>
    <row r="17" spans="2:14" ht="15.75" thickBot="1" x14ac:dyDescent="0.3">
      <c r="B17" s="346" t="s">
        <v>383</v>
      </c>
      <c r="C17" s="363" t="s">
        <v>382</v>
      </c>
      <c r="D17" s="177" t="s">
        <v>382</v>
      </c>
      <c r="E17" s="344"/>
      <c r="F17" s="354"/>
      <c r="G17" s="363" t="s">
        <v>384</v>
      </c>
      <c r="H17" s="177" t="s">
        <v>384</v>
      </c>
      <c r="I17" s="344"/>
      <c r="J17" s="354"/>
      <c r="K17" s="363" t="s">
        <v>385</v>
      </c>
      <c r="L17" s="177" t="s">
        <v>385</v>
      </c>
      <c r="M17" s="344"/>
      <c r="N17" s="358"/>
    </row>
    <row r="18" spans="2:14" ht="30.75" thickBot="1" x14ac:dyDescent="0.3">
      <c r="B18" s="362"/>
      <c r="C18" s="364"/>
      <c r="D18" s="178" t="s">
        <v>393</v>
      </c>
      <c r="E18" s="345"/>
      <c r="F18" s="345"/>
      <c r="G18" s="364"/>
      <c r="H18" s="179" t="s">
        <v>389</v>
      </c>
      <c r="I18" s="345"/>
      <c r="J18" s="345"/>
      <c r="K18" s="364"/>
      <c r="L18" s="178" t="s">
        <v>394</v>
      </c>
      <c r="M18" s="345"/>
      <c r="N18" s="359"/>
    </row>
    <row r="19" spans="2:14" x14ac:dyDescent="0.25">
      <c r="B19" s="44">
        <v>1</v>
      </c>
      <c r="C19" s="154">
        <v>9.9999999999999995E-7</v>
      </c>
      <c r="D19" s="123">
        <f>H19/1000</f>
        <v>9.9999999999999995E-7</v>
      </c>
      <c r="E19" s="54">
        <f>C19-D19</f>
        <v>0</v>
      </c>
      <c r="F19" s="54">
        <f>(100*E19)/D19</f>
        <v>0</v>
      </c>
      <c r="G19" s="154">
        <v>1E-3</v>
      </c>
      <c r="H19" s="123">
        <f>B19/1000</f>
        <v>1E-3</v>
      </c>
      <c r="I19" s="54">
        <f>G19-H19</f>
        <v>0</v>
      </c>
      <c r="J19" s="54">
        <f>(100*I19)/H19</f>
        <v>0</v>
      </c>
      <c r="K19" s="154">
        <v>1000</v>
      </c>
      <c r="L19" s="123">
        <f>H19*1000000</f>
        <v>1000</v>
      </c>
      <c r="M19" s="117">
        <f>K19-L19</f>
        <v>0</v>
      </c>
      <c r="N19" s="162">
        <f>(100*M19)/L19</f>
        <v>0</v>
      </c>
    </row>
    <row r="20" spans="2:14" x14ac:dyDescent="0.25">
      <c r="B20" s="47">
        <v>987</v>
      </c>
      <c r="C20" s="159">
        <v>9.8700000000000003E-4</v>
      </c>
      <c r="D20" s="123">
        <f t="shared" ref="D20:D24" si="9">H20/1000</f>
        <v>9.8700000000000003E-4</v>
      </c>
      <c r="E20" s="52">
        <f t="shared" ref="E20:E24" si="10">C20-D20</f>
        <v>0</v>
      </c>
      <c r="F20" s="52">
        <f t="shared" ref="F20:F24" si="11">(100*E20)/D20</f>
        <v>0</v>
      </c>
      <c r="G20" s="159">
        <v>0.98699999999999999</v>
      </c>
      <c r="H20" s="123">
        <f t="shared" ref="H20:H24" si="12">B20/1000</f>
        <v>0.98699999999999999</v>
      </c>
      <c r="I20" s="52">
        <f t="shared" ref="I20:I24" si="13">G20-H20</f>
        <v>0</v>
      </c>
      <c r="J20" s="52">
        <f t="shared" ref="J20:J24" si="14">(100*I20)/H20</f>
        <v>0</v>
      </c>
      <c r="K20" s="159">
        <v>987000</v>
      </c>
      <c r="L20" s="123">
        <f t="shared" ref="L20:L24" si="15">H20*1000000</f>
        <v>987000</v>
      </c>
      <c r="M20" s="118">
        <f t="shared" ref="M20:M24" si="16">K20-L20</f>
        <v>0</v>
      </c>
      <c r="N20" s="153">
        <f t="shared" ref="N20:N24" si="17">(100*M20)/L20</f>
        <v>0</v>
      </c>
    </row>
    <row r="21" spans="2:14" x14ac:dyDescent="0.25">
      <c r="B21" s="47">
        <v>5987</v>
      </c>
      <c r="C21" s="159">
        <v>5.9870000000000001E-3</v>
      </c>
      <c r="D21" s="123">
        <f t="shared" si="9"/>
        <v>5.9870000000000001E-3</v>
      </c>
      <c r="E21" s="52">
        <f t="shared" si="10"/>
        <v>0</v>
      </c>
      <c r="F21" s="52">
        <f t="shared" si="11"/>
        <v>0</v>
      </c>
      <c r="G21" s="159">
        <v>5.9870000000000001</v>
      </c>
      <c r="H21" s="123">
        <f t="shared" si="12"/>
        <v>5.9870000000000001</v>
      </c>
      <c r="I21" s="52">
        <f t="shared" si="13"/>
        <v>0</v>
      </c>
      <c r="J21" s="52">
        <f t="shared" si="14"/>
        <v>0</v>
      </c>
      <c r="K21" s="159">
        <v>5987000</v>
      </c>
      <c r="L21" s="123">
        <f t="shared" si="15"/>
        <v>5987000</v>
      </c>
      <c r="M21" s="118">
        <f t="shared" si="16"/>
        <v>0</v>
      </c>
      <c r="N21" s="153">
        <f t="shared" si="17"/>
        <v>0</v>
      </c>
    </row>
    <row r="22" spans="2:14" x14ac:dyDescent="0.25">
      <c r="B22" s="47">
        <v>4455667788</v>
      </c>
      <c r="C22" s="159">
        <v>4455.67</v>
      </c>
      <c r="D22" s="123">
        <f t="shared" si="9"/>
        <v>4455.6677879999997</v>
      </c>
      <c r="E22" s="52">
        <f t="shared" si="10"/>
        <v>2.2120000003269524E-3</v>
      </c>
      <c r="F22" s="52">
        <f t="shared" si="11"/>
        <v>4.9644634779197604E-5</v>
      </c>
      <c r="G22" s="159">
        <v>4455668</v>
      </c>
      <c r="H22" s="123">
        <f t="shared" si="12"/>
        <v>4455667.7879999997</v>
      </c>
      <c r="I22" s="52">
        <f t="shared" si="13"/>
        <v>0.21200000029057264</v>
      </c>
      <c r="J22" s="52">
        <f t="shared" si="14"/>
        <v>4.7579848942403393E-6</v>
      </c>
      <c r="K22" s="159">
        <v>4455667788000</v>
      </c>
      <c r="L22" s="123">
        <f t="shared" si="15"/>
        <v>4455667788000</v>
      </c>
      <c r="M22" s="118">
        <f t="shared" si="16"/>
        <v>0</v>
      </c>
      <c r="N22" s="153">
        <f t="shared" si="17"/>
        <v>0</v>
      </c>
    </row>
    <row r="23" spans="2:14" x14ac:dyDescent="0.25">
      <c r="B23" s="47">
        <v>-654</v>
      </c>
      <c r="C23" s="159">
        <v>-6.5399999999999996E-4</v>
      </c>
      <c r="D23" s="123">
        <f t="shared" si="9"/>
        <v>-6.5400000000000007E-4</v>
      </c>
      <c r="E23" s="52">
        <f t="shared" si="10"/>
        <v>0</v>
      </c>
      <c r="F23" s="52">
        <f t="shared" si="11"/>
        <v>0</v>
      </c>
      <c r="G23" s="159">
        <v>-0.65400000000000003</v>
      </c>
      <c r="H23" s="123">
        <f t="shared" si="12"/>
        <v>-0.65400000000000003</v>
      </c>
      <c r="I23" s="52">
        <f t="shared" si="13"/>
        <v>0</v>
      </c>
      <c r="J23" s="52">
        <f t="shared" si="14"/>
        <v>0</v>
      </c>
      <c r="K23" s="159">
        <v>-654000</v>
      </c>
      <c r="L23" s="123">
        <f t="shared" si="15"/>
        <v>-654000</v>
      </c>
      <c r="M23" s="118">
        <f t="shared" si="16"/>
        <v>0</v>
      </c>
      <c r="N23" s="153">
        <f t="shared" si="17"/>
        <v>0</v>
      </c>
    </row>
    <row r="24" spans="2:14" ht="15.75" thickBot="1" x14ac:dyDescent="0.3">
      <c r="B24" s="74">
        <v>0.65469999999999995</v>
      </c>
      <c r="C24" s="156">
        <v>6.5469999999999995E-7</v>
      </c>
      <c r="D24" s="184">
        <f t="shared" si="9"/>
        <v>6.5469999999999995E-7</v>
      </c>
      <c r="E24" s="57">
        <f t="shared" si="10"/>
        <v>0</v>
      </c>
      <c r="F24" s="57">
        <f t="shared" si="11"/>
        <v>0</v>
      </c>
      <c r="G24" s="156">
        <v>6.5470000000000003E-4</v>
      </c>
      <c r="H24" s="59">
        <f t="shared" si="12"/>
        <v>6.5469999999999992E-4</v>
      </c>
      <c r="I24" s="57">
        <f t="shared" si="13"/>
        <v>0</v>
      </c>
      <c r="J24" s="57">
        <f t="shared" si="14"/>
        <v>0</v>
      </c>
      <c r="K24" s="156">
        <v>654.70000000000005</v>
      </c>
      <c r="L24" s="184">
        <f t="shared" si="15"/>
        <v>654.69999999999993</v>
      </c>
      <c r="M24" s="119">
        <f t="shared" si="16"/>
        <v>0</v>
      </c>
      <c r="N24" s="163">
        <f t="shared" si="17"/>
        <v>0</v>
      </c>
    </row>
    <row r="25" spans="2:14" ht="15.75" thickBot="1" x14ac:dyDescent="0.3">
      <c r="C25" s="165"/>
      <c r="D25" s="165"/>
      <c r="E25" s="164"/>
      <c r="F25" s="164"/>
      <c r="G25" s="165"/>
      <c r="H25" s="165"/>
      <c r="I25" s="164"/>
      <c r="J25" s="164"/>
      <c r="K25" s="165"/>
      <c r="L25" s="165"/>
      <c r="M25" s="164"/>
      <c r="N25" s="164"/>
    </row>
    <row r="26" spans="2:14" x14ac:dyDescent="0.25">
      <c r="B26" s="341" t="s">
        <v>10</v>
      </c>
      <c r="C26" s="166" t="s">
        <v>14</v>
      </c>
      <c r="D26" s="168" t="s">
        <v>14</v>
      </c>
      <c r="E26" s="343" t="s">
        <v>354</v>
      </c>
      <c r="F26" s="352" t="s">
        <v>355</v>
      </c>
      <c r="G26" s="166" t="s">
        <v>14</v>
      </c>
      <c r="H26" s="168" t="s">
        <v>14</v>
      </c>
      <c r="I26" s="343" t="s">
        <v>354</v>
      </c>
      <c r="J26" s="352" t="s">
        <v>355</v>
      </c>
      <c r="K26" s="166" t="s">
        <v>14</v>
      </c>
      <c r="L26" s="168" t="s">
        <v>14</v>
      </c>
      <c r="M26" s="343" t="s">
        <v>354</v>
      </c>
      <c r="N26" s="357" t="s">
        <v>355</v>
      </c>
    </row>
    <row r="27" spans="2:14" ht="15.75" thickBot="1" x14ac:dyDescent="0.3">
      <c r="B27" s="342"/>
      <c r="C27" s="167" t="s">
        <v>290</v>
      </c>
      <c r="D27" s="169" t="s">
        <v>291</v>
      </c>
      <c r="E27" s="344"/>
      <c r="F27" s="353"/>
      <c r="G27" s="167" t="s">
        <v>290</v>
      </c>
      <c r="H27" s="169" t="s">
        <v>291</v>
      </c>
      <c r="I27" s="344"/>
      <c r="J27" s="353"/>
      <c r="K27" s="167" t="s">
        <v>290</v>
      </c>
      <c r="L27" s="169" t="s">
        <v>291</v>
      </c>
      <c r="M27" s="344"/>
      <c r="N27" s="358"/>
    </row>
    <row r="28" spans="2:14" ht="15.75" thickBot="1" x14ac:dyDescent="0.3">
      <c r="B28" s="346" t="s">
        <v>384</v>
      </c>
      <c r="C28" s="363" t="s">
        <v>382</v>
      </c>
      <c r="D28" s="177" t="s">
        <v>382</v>
      </c>
      <c r="E28" s="344"/>
      <c r="F28" s="354"/>
      <c r="G28" s="363" t="s">
        <v>383</v>
      </c>
      <c r="H28" s="177" t="s">
        <v>383</v>
      </c>
      <c r="I28" s="344"/>
      <c r="J28" s="354"/>
      <c r="K28" s="363" t="s">
        <v>385</v>
      </c>
      <c r="L28" s="177" t="s">
        <v>385</v>
      </c>
      <c r="M28" s="344"/>
      <c r="N28" s="358"/>
    </row>
    <row r="29" spans="2:14" ht="15.75" thickBot="1" x14ac:dyDescent="0.3">
      <c r="B29" s="347"/>
      <c r="C29" s="364"/>
      <c r="D29" s="178" t="s">
        <v>390</v>
      </c>
      <c r="E29" s="345"/>
      <c r="F29" s="345"/>
      <c r="G29" s="364"/>
      <c r="H29" s="178" t="s">
        <v>391</v>
      </c>
      <c r="I29" s="345"/>
      <c r="J29" s="345"/>
      <c r="K29" s="364"/>
      <c r="L29" s="178" t="s">
        <v>392</v>
      </c>
      <c r="M29" s="345"/>
      <c r="N29" s="359"/>
    </row>
    <row r="30" spans="2:14" x14ac:dyDescent="0.25">
      <c r="B30" s="44">
        <v>1</v>
      </c>
      <c r="C30" s="154">
        <v>1E-3</v>
      </c>
      <c r="D30" s="123">
        <f>B30/1000</f>
        <v>1E-3</v>
      </c>
      <c r="E30" s="54">
        <f>C30-D30</f>
        <v>0</v>
      </c>
      <c r="F30" s="54">
        <f>(100*E30)/D30</f>
        <v>0</v>
      </c>
      <c r="G30" s="154">
        <v>1000</v>
      </c>
      <c r="H30" s="123">
        <f>B30*1000</f>
        <v>1000</v>
      </c>
      <c r="I30" s="54">
        <f>G30-H30</f>
        <v>0</v>
      </c>
      <c r="J30" s="54">
        <f>(100*I30)/H30</f>
        <v>0</v>
      </c>
      <c r="K30" s="154">
        <v>1000000</v>
      </c>
      <c r="L30" s="123">
        <f>B30*1000000</f>
        <v>1000000</v>
      </c>
      <c r="M30" s="117">
        <f>K30-L30</f>
        <v>0</v>
      </c>
      <c r="N30" s="162">
        <f>(100*M30)/L30</f>
        <v>0</v>
      </c>
    </row>
    <row r="31" spans="2:14" x14ac:dyDescent="0.25">
      <c r="B31" s="47">
        <v>987</v>
      </c>
      <c r="C31" s="159">
        <v>0.98699999999999999</v>
      </c>
      <c r="D31" s="123">
        <f t="shared" ref="D31:D35" si="18">B31/1000</f>
        <v>0.98699999999999999</v>
      </c>
      <c r="E31" s="52">
        <f t="shared" ref="E31:E35" si="19">C31-D31</f>
        <v>0</v>
      </c>
      <c r="F31" s="52">
        <f t="shared" ref="F31:F35" si="20">(100*E31)/D31</f>
        <v>0</v>
      </c>
      <c r="G31" s="159">
        <v>987000</v>
      </c>
      <c r="H31" s="123">
        <f t="shared" ref="H31:H35" si="21">B31*1000</f>
        <v>987000</v>
      </c>
      <c r="I31" s="52">
        <f t="shared" ref="I31:I35" si="22">G31-H31</f>
        <v>0</v>
      </c>
      <c r="J31" s="52">
        <f t="shared" ref="J31:J35" si="23">(100*I31)/H31</f>
        <v>0</v>
      </c>
      <c r="K31" s="159">
        <v>987000000</v>
      </c>
      <c r="L31" s="123">
        <f t="shared" ref="L31:L35" si="24">B31*1000000</f>
        <v>987000000</v>
      </c>
      <c r="M31" s="118">
        <f t="shared" ref="M31:M35" si="25">K31-L31</f>
        <v>0</v>
      </c>
      <c r="N31" s="153">
        <f t="shared" ref="N31:N35" si="26">(100*M31)/L31</f>
        <v>0</v>
      </c>
    </row>
    <row r="32" spans="2:14" x14ac:dyDescent="0.25">
      <c r="B32" s="47">
        <v>5987</v>
      </c>
      <c r="C32" s="159">
        <v>5.9870000000000001</v>
      </c>
      <c r="D32" s="123">
        <f t="shared" si="18"/>
        <v>5.9870000000000001</v>
      </c>
      <c r="E32" s="52">
        <f t="shared" si="19"/>
        <v>0</v>
      </c>
      <c r="F32" s="52">
        <f t="shared" si="20"/>
        <v>0</v>
      </c>
      <c r="G32" s="159">
        <v>5987000</v>
      </c>
      <c r="H32" s="123">
        <f t="shared" si="21"/>
        <v>5987000</v>
      </c>
      <c r="I32" s="52">
        <f t="shared" si="22"/>
        <v>0</v>
      </c>
      <c r="J32" s="52">
        <f t="shared" si="23"/>
        <v>0</v>
      </c>
      <c r="K32" s="159">
        <v>5987000000</v>
      </c>
      <c r="L32" s="123">
        <f t="shared" si="24"/>
        <v>5987000000</v>
      </c>
      <c r="M32" s="118">
        <f t="shared" si="25"/>
        <v>0</v>
      </c>
      <c r="N32" s="153">
        <f t="shared" si="26"/>
        <v>0</v>
      </c>
    </row>
    <row r="33" spans="2:14" x14ac:dyDescent="0.25">
      <c r="B33" s="47">
        <v>4455667788</v>
      </c>
      <c r="C33" s="159">
        <v>4455668</v>
      </c>
      <c r="D33" s="123">
        <f t="shared" si="18"/>
        <v>4455667.7879999997</v>
      </c>
      <c r="E33" s="52">
        <f t="shared" si="19"/>
        <v>0.21200000029057264</v>
      </c>
      <c r="F33" s="52">
        <f t="shared" si="20"/>
        <v>4.7579848942403393E-6</v>
      </c>
      <c r="G33" s="159">
        <v>4455667788000</v>
      </c>
      <c r="H33" s="123">
        <f t="shared" si="21"/>
        <v>4455667788000</v>
      </c>
      <c r="I33" s="52">
        <f t="shared" si="22"/>
        <v>0</v>
      </c>
      <c r="J33" s="52">
        <f t="shared" si="23"/>
        <v>0</v>
      </c>
      <c r="K33" s="159">
        <v>4455667788000000</v>
      </c>
      <c r="L33" s="123">
        <f t="shared" si="24"/>
        <v>4455667788000000</v>
      </c>
      <c r="M33" s="118">
        <f t="shared" si="25"/>
        <v>0</v>
      </c>
      <c r="N33" s="153">
        <f t="shared" si="26"/>
        <v>0</v>
      </c>
    </row>
    <row r="34" spans="2:14" x14ac:dyDescent="0.25">
      <c r="B34" s="47">
        <v>-654</v>
      </c>
      <c r="C34" s="159">
        <v>-0.65400000000000003</v>
      </c>
      <c r="D34" s="123">
        <f t="shared" si="18"/>
        <v>-0.65400000000000003</v>
      </c>
      <c r="E34" s="52">
        <f t="shared" si="19"/>
        <v>0</v>
      </c>
      <c r="F34" s="52">
        <f t="shared" si="20"/>
        <v>0</v>
      </c>
      <c r="G34" s="159">
        <v>-654000</v>
      </c>
      <c r="H34" s="123">
        <f t="shared" si="21"/>
        <v>-654000</v>
      </c>
      <c r="I34" s="52">
        <f t="shared" si="22"/>
        <v>0</v>
      </c>
      <c r="J34" s="52">
        <f t="shared" si="23"/>
        <v>0</v>
      </c>
      <c r="K34" s="159">
        <v>-654000000</v>
      </c>
      <c r="L34" s="123">
        <f t="shared" si="24"/>
        <v>-654000000</v>
      </c>
      <c r="M34" s="118">
        <f t="shared" si="25"/>
        <v>0</v>
      </c>
      <c r="N34" s="153">
        <f t="shared" si="26"/>
        <v>0</v>
      </c>
    </row>
    <row r="35" spans="2:14" ht="15.75" thickBot="1" x14ac:dyDescent="0.3">
      <c r="B35" s="74">
        <v>0.65469999999999995</v>
      </c>
      <c r="C35" s="156">
        <v>6.5470000000000003E-4</v>
      </c>
      <c r="D35" s="184">
        <f t="shared" si="18"/>
        <v>6.5469999999999992E-4</v>
      </c>
      <c r="E35" s="57">
        <f t="shared" si="19"/>
        <v>0</v>
      </c>
      <c r="F35" s="57">
        <f t="shared" si="20"/>
        <v>0</v>
      </c>
      <c r="G35" s="156">
        <v>654.70000000000005</v>
      </c>
      <c r="H35" s="59">
        <f t="shared" si="21"/>
        <v>654.69999999999993</v>
      </c>
      <c r="I35" s="57">
        <f t="shared" si="22"/>
        <v>0</v>
      </c>
      <c r="J35" s="57">
        <f t="shared" si="23"/>
        <v>0</v>
      </c>
      <c r="K35" s="156">
        <v>654700</v>
      </c>
      <c r="L35" s="184">
        <f t="shared" si="24"/>
        <v>654700</v>
      </c>
      <c r="M35" s="119">
        <f t="shared" si="25"/>
        <v>0</v>
      </c>
      <c r="N35" s="163">
        <f t="shared" si="26"/>
        <v>0</v>
      </c>
    </row>
    <row r="36" spans="2:14" ht="15.75" thickBot="1" x14ac:dyDescent="0.3">
      <c r="C36" s="165"/>
      <c r="D36" s="165"/>
      <c r="E36" s="164"/>
      <c r="F36" s="164"/>
      <c r="G36" s="165"/>
      <c r="H36" s="165"/>
      <c r="I36" s="164"/>
      <c r="J36" s="164"/>
      <c r="K36" s="165"/>
      <c r="L36" s="165"/>
      <c r="M36" s="164"/>
      <c r="N36" s="164"/>
    </row>
    <row r="37" spans="2:14" x14ac:dyDescent="0.25">
      <c r="B37" s="341" t="s">
        <v>10</v>
      </c>
      <c r="C37" s="166" t="s">
        <v>14</v>
      </c>
      <c r="D37" s="168" t="s">
        <v>14</v>
      </c>
      <c r="E37" s="343" t="s">
        <v>354</v>
      </c>
      <c r="F37" s="352" t="s">
        <v>355</v>
      </c>
      <c r="G37" s="166" t="s">
        <v>14</v>
      </c>
      <c r="H37" s="168" t="s">
        <v>14</v>
      </c>
      <c r="I37" s="343" t="s">
        <v>354</v>
      </c>
      <c r="J37" s="352" t="s">
        <v>355</v>
      </c>
      <c r="K37" s="166" t="s">
        <v>14</v>
      </c>
      <c r="L37" s="168" t="s">
        <v>14</v>
      </c>
      <c r="M37" s="343" t="s">
        <v>354</v>
      </c>
      <c r="N37" s="357" t="s">
        <v>355</v>
      </c>
    </row>
    <row r="38" spans="2:14" ht="15.75" thickBot="1" x14ac:dyDescent="0.3">
      <c r="B38" s="342"/>
      <c r="C38" s="167" t="s">
        <v>290</v>
      </c>
      <c r="D38" s="169" t="s">
        <v>291</v>
      </c>
      <c r="E38" s="344"/>
      <c r="F38" s="353"/>
      <c r="G38" s="167" t="s">
        <v>290</v>
      </c>
      <c r="H38" s="169" t="s">
        <v>291</v>
      </c>
      <c r="I38" s="344"/>
      <c r="J38" s="353"/>
      <c r="K38" s="167" t="s">
        <v>290</v>
      </c>
      <c r="L38" s="169" t="s">
        <v>291</v>
      </c>
      <c r="M38" s="344"/>
      <c r="N38" s="358"/>
    </row>
    <row r="39" spans="2:14" ht="15.75" thickBot="1" x14ac:dyDescent="0.3">
      <c r="B39" s="346" t="s">
        <v>385</v>
      </c>
      <c r="C39" s="363" t="s">
        <v>382</v>
      </c>
      <c r="D39" s="177" t="s">
        <v>382</v>
      </c>
      <c r="E39" s="344"/>
      <c r="F39" s="354"/>
      <c r="G39" s="363" t="s">
        <v>383</v>
      </c>
      <c r="H39" s="177" t="s">
        <v>383</v>
      </c>
      <c r="I39" s="344"/>
      <c r="J39" s="354"/>
      <c r="K39" s="363" t="s">
        <v>384</v>
      </c>
      <c r="L39" s="177" t="s">
        <v>384</v>
      </c>
      <c r="M39" s="344"/>
      <c r="N39" s="358"/>
    </row>
    <row r="40" spans="2:14" ht="30.75" thickBot="1" x14ac:dyDescent="0.3">
      <c r="B40" s="347"/>
      <c r="C40" s="364"/>
      <c r="D40" s="178" t="s">
        <v>396</v>
      </c>
      <c r="E40" s="345"/>
      <c r="F40" s="345"/>
      <c r="G40" s="364"/>
      <c r="H40" s="178" t="s">
        <v>397</v>
      </c>
      <c r="I40" s="345"/>
      <c r="J40" s="345"/>
      <c r="K40" s="364"/>
      <c r="L40" s="179" t="s">
        <v>395</v>
      </c>
      <c r="M40" s="345"/>
      <c r="N40" s="359"/>
    </row>
    <row r="41" spans="2:14" x14ac:dyDescent="0.25">
      <c r="B41" s="44">
        <v>1</v>
      </c>
      <c r="C41" s="154">
        <v>1.0000000000000001E-9</v>
      </c>
      <c r="D41" s="123">
        <f>L41/1000</f>
        <v>9.9999999999999986E-10</v>
      </c>
      <c r="E41" s="54">
        <f>C41-D41</f>
        <v>0</v>
      </c>
      <c r="F41" s="54">
        <f>(100*E41)/D41</f>
        <v>0</v>
      </c>
      <c r="G41" s="154">
        <v>1E-3</v>
      </c>
      <c r="H41" s="123">
        <f>L41*1000</f>
        <v>1E-3</v>
      </c>
      <c r="I41" s="54">
        <f>G41-H41</f>
        <v>0</v>
      </c>
      <c r="J41" s="54">
        <f>(100*I41)/H41</f>
        <v>0</v>
      </c>
      <c r="K41" s="154">
        <v>9.9999999999999995E-7</v>
      </c>
      <c r="L41" s="123">
        <f>B41/1000000</f>
        <v>9.9999999999999995E-7</v>
      </c>
      <c r="M41" s="117">
        <f>K41-L41</f>
        <v>0</v>
      </c>
      <c r="N41" s="162">
        <f>(100*M41)/L41</f>
        <v>0</v>
      </c>
    </row>
    <row r="42" spans="2:14" x14ac:dyDescent="0.25">
      <c r="B42" s="47">
        <v>987</v>
      </c>
      <c r="C42" s="159">
        <v>9.8700000000000004E-7</v>
      </c>
      <c r="D42" s="123">
        <f t="shared" ref="D42:D46" si="27">L42/1000</f>
        <v>9.8700000000000004E-7</v>
      </c>
      <c r="E42" s="52">
        <f t="shared" ref="E42:E46" si="28">C42-D42</f>
        <v>0</v>
      </c>
      <c r="F42" s="52">
        <f t="shared" ref="F42:F46" si="29">(100*E42)/D42</f>
        <v>0</v>
      </c>
      <c r="G42" s="159">
        <v>0.98699999999999999</v>
      </c>
      <c r="H42" s="123">
        <f t="shared" ref="H42:H46" si="30">L42*1000</f>
        <v>0.98699999999999999</v>
      </c>
      <c r="I42" s="52">
        <f t="shared" ref="I42:I46" si="31">G42-H42</f>
        <v>0</v>
      </c>
      <c r="J42" s="52">
        <f t="shared" ref="J42:J46" si="32">(100*I42)/H42</f>
        <v>0</v>
      </c>
      <c r="K42" s="159">
        <v>9.8700000000000003E-4</v>
      </c>
      <c r="L42" s="123">
        <f t="shared" ref="L42:L46" si="33">B42/1000000</f>
        <v>9.8700000000000003E-4</v>
      </c>
      <c r="M42" s="118">
        <f t="shared" ref="M42:M46" si="34">K42-L42</f>
        <v>0</v>
      </c>
      <c r="N42" s="153">
        <f t="shared" ref="N42:N46" si="35">(100*M42)/L42</f>
        <v>0</v>
      </c>
    </row>
    <row r="43" spans="2:14" x14ac:dyDescent="0.25">
      <c r="B43" s="47">
        <v>5987</v>
      </c>
      <c r="C43" s="159">
        <v>5.9869999999999996E-6</v>
      </c>
      <c r="D43" s="123">
        <f t="shared" si="27"/>
        <v>5.9870000000000004E-6</v>
      </c>
      <c r="E43" s="52">
        <f t="shared" si="28"/>
        <v>0</v>
      </c>
      <c r="F43" s="52">
        <f t="shared" si="29"/>
        <v>0</v>
      </c>
      <c r="G43" s="159">
        <v>5.9870000000000001</v>
      </c>
      <c r="H43" s="123">
        <f t="shared" si="30"/>
        <v>5.9870000000000001</v>
      </c>
      <c r="I43" s="52">
        <f t="shared" si="31"/>
        <v>0</v>
      </c>
      <c r="J43" s="52">
        <f t="shared" si="32"/>
        <v>0</v>
      </c>
      <c r="K43" s="159">
        <v>5.9870000000000001E-3</v>
      </c>
      <c r="L43" s="123">
        <f t="shared" si="33"/>
        <v>5.9870000000000001E-3</v>
      </c>
      <c r="M43" s="118">
        <f t="shared" si="34"/>
        <v>0</v>
      </c>
      <c r="N43" s="153">
        <f t="shared" si="35"/>
        <v>0</v>
      </c>
    </row>
    <row r="44" spans="2:14" x14ac:dyDescent="0.25">
      <c r="B44" s="47">
        <v>4455667788</v>
      </c>
      <c r="C44" s="159">
        <v>4.4556699999999996</v>
      </c>
      <c r="D44" s="123">
        <f t="shared" si="27"/>
        <v>4.4556677879999995</v>
      </c>
      <c r="E44" s="52">
        <f t="shared" si="28"/>
        <v>2.2120000000569462E-6</v>
      </c>
      <c r="F44" s="52">
        <f t="shared" si="29"/>
        <v>4.9644634773137768E-5</v>
      </c>
      <c r="G44" s="159">
        <v>4455668</v>
      </c>
      <c r="H44" s="123">
        <f t="shared" si="30"/>
        <v>4455667.7879999997</v>
      </c>
      <c r="I44" s="52">
        <f t="shared" si="31"/>
        <v>0.21200000029057264</v>
      </c>
      <c r="J44" s="52">
        <f t="shared" si="32"/>
        <v>4.7579848942403393E-6</v>
      </c>
      <c r="K44" s="159">
        <v>4455.67</v>
      </c>
      <c r="L44" s="123">
        <f t="shared" si="33"/>
        <v>4455.6677879999997</v>
      </c>
      <c r="M44" s="118">
        <f t="shared" si="34"/>
        <v>2.2120000003269524E-3</v>
      </c>
      <c r="N44" s="153">
        <f t="shared" si="35"/>
        <v>4.9644634779197604E-5</v>
      </c>
    </row>
    <row r="45" spans="2:14" x14ac:dyDescent="0.25">
      <c r="B45" s="47">
        <v>-654</v>
      </c>
      <c r="C45" s="159">
        <v>-6.5400000000000001E-7</v>
      </c>
      <c r="D45" s="123">
        <f t="shared" si="27"/>
        <v>-6.5400000000000001E-7</v>
      </c>
      <c r="E45" s="52">
        <f t="shared" si="28"/>
        <v>0</v>
      </c>
      <c r="F45" s="52">
        <f t="shared" si="29"/>
        <v>0</v>
      </c>
      <c r="G45" s="159">
        <v>-0.65400000000000003</v>
      </c>
      <c r="H45" s="123">
        <f t="shared" si="30"/>
        <v>-0.65399999999999991</v>
      </c>
      <c r="I45" s="52">
        <f t="shared" si="31"/>
        <v>0</v>
      </c>
      <c r="J45" s="52">
        <f t="shared" si="32"/>
        <v>0</v>
      </c>
      <c r="K45" s="159">
        <v>-6.5399999999999996E-4</v>
      </c>
      <c r="L45" s="123">
        <f t="shared" si="33"/>
        <v>-6.5399999999999996E-4</v>
      </c>
      <c r="M45" s="118">
        <f t="shared" si="34"/>
        <v>0</v>
      </c>
      <c r="N45" s="153">
        <f t="shared" si="35"/>
        <v>0</v>
      </c>
    </row>
    <row r="46" spans="2:14" ht="15.75" thickBot="1" x14ac:dyDescent="0.3">
      <c r="B46" s="74">
        <v>0.65469999999999995</v>
      </c>
      <c r="C46" s="156">
        <v>6.5470000000000002E-10</v>
      </c>
      <c r="D46" s="184">
        <f t="shared" si="27"/>
        <v>6.5469999999999992E-10</v>
      </c>
      <c r="E46" s="57">
        <f t="shared" si="28"/>
        <v>0</v>
      </c>
      <c r="F46" s="57">
        <f t="shared" si="29"/>
        <v>0</v>
      </c>
      <c r="G46" s="156">
        <v>6.5470000000000003E-4</v>
      </c>
      <c r="H46" s="59">
        <f t="shared" si="30"/>
        <v>6.5469999999999992E-4</v>
      </c>
      <c r="I46" s="57">
        <f t="shared" si="31"/>
        <v>0</v>
      </c>
      <c r="J46" s="57">
        <f t="shared" si="32"/>
        <v>0</v>
      </c>
      <c r="K46" s="156">
        <v>6.5469999999999995E-7</v>
      </c>
      <c r="L46" s="184">
        <f t="shared" si="33"/>
        <v>6.5469999999999995E-7</v>
      </c>
      <c r="M46" s="119">
        <f t="shared" si="34"/>
        <v>0</v>
      </c>
      <c r="N46" s="163">
        <f t="shared" si="35"/>
        <v>0</v>
      </c>
    </row>
    <row r="47" spans="2:14" x14ac:dyDescent="0.25">
      <c r="E47" s="68"/>
      <c r="F47" s="68"/>
      <c r="G47" s="68"/>
    </row>
  </sheetData>
  <mergeCells count="45">
    <mergeCell ref="B1:K1"/>
    <mergeCell ref="B4:B5"/>
    <mergeCell ref="E4:E7"/>
    <mergeCell ref="F4:F7"/>
    <mergeCell ref="I4:I7"/>
    <mergeCell ref="J4:J7"/>
    <mergeCell ref="M4:M7"/>
    <mergeCell ref="N4:N7"/>
    <mergeCell ref="B6:B7"/>
    <mergeCell ref="C6:C7"/>
    <mergeCell ref="G6:G7"/>
    <mergeCell ref="K6:K7"/>
    <mergeCell ref="N15:N18"/>
    <mergeCell ref="B17:B18"/>
    <mergeCell ref="C17:C18"/>
    <mergeCell ref="G17:G18"/>
    <mergeCell ref="K17:K18"/>
    <mergeCell ref="B15:B16"/>
    <mergeCell ref="E15:E18"/>
    <mergeCell ref="F15:F18"/>
    <mergeCell ref="I15:I18"/>
    <mergeCell ref="J15:J18"/>
    <mergeCell ref="M15:M18"/>
    <mergeCell ref="N26:N29"/>
    <mergeCell ref="B28:B29"/>
    <mergeCell ref="C28:C29"/>
    <mergeCell ref="G28:G29"/>
    <mergeCell ref="K28:K29"/>
    <mergeCell ref="B26:B27"/>
    <mergeCell ref="E26:E29"/>
    <mergeCell ref="F26:F29"/>
    <mergeCell ref="I26:I29"/>
    <mergeCell ref="J26:J29"/>
    <mergeCell ref="M26:M29"/>
    <mergeCell ref="N37:N40"/>
    <mergeCell ref="B39:B40"/>
    <mergeCell ref="C39:C40"/>
    <mergeCell ref="G39:G40"/>
    <mergeCell ref="K39:K40"/>
    <mergeCell ref="B37:B38"/>
    <mergeCell ref="E37:E40"/>
    <mergeCell ref="F37:F40"/>
    <mergeCell ref="I37:I40"/>
    <mergeCell ref="J37:J40"/>
    <mergeCell ref="M37:M40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R57"/>
  <sheetViews>
    <sheetView workbookViewId="0">
      <pane xSplit="2" ySplit="1" topLeftCell="C20" activePane="bottomRight" state="frozen"/>
      <selection pane="topRight" activeCell="C1" sqref="C1"/>
      <selection pane="bottomLeft" activeCell="A2" sqref="A2"/>
      <selection pane="bottomRight" activeCell="D43" sqref="D43"/>
    </sheetView>
  </sheetViews>
  <sheetFormatPr defaultRowHeight="15" x14ac:dyDescent="0.25"/>
  <cols>
    <col min="1" max="1" width="3.7109375" customWidth="1"/>
    <col min="2" max="2" width="15.42578125" bestFit="1" customWidth="1"/>
    <col min="3" max="3" width="33.28515625" bestFit="1" customWidth="1"/>
    <col min="4" max="4" width="36.7109375" customWidth="1"/>
    <col min="5" max="5" width="27" bestFit="1" customWidth="1"/>
    <col min="6" max="6" width="22.85546875" bestFit="1" customWidth="1"/>
    <col min="7" max="7" width="36.42578125" bestFit="1" customWidth="1"/>
    <col min="8" max="8" width="41" customWidth="1"/>
    <col min="9" max="9" width="23.28515625" bestFit="1" customWidth="1"/>
    <col min="10" max="10" width="23" bestFit="1" customWidth="1"/>
    <col min="11" max="11" width="33.28515625" bestFit="1" customWidth="1"/>
    <col min="12" max="12" width="43.7109375" customWidth="1"/>
    <col min="13" max="13" width="27.140625" customWidth="1"/>
    <col min="14" max="14" width="22.85546875" bestFit="1" customWidth="1"/>
    <col min="15" max="15" width="39.5703125" bestFit="1" customWidth="1"/>
    <col min="16" max="16" width="39.7109375" customWidth="1"/>
    <col min="17" max="17" width="37.7109375" customWidth="1"/>
    <col min="18" max="18" width="23" bestFit="1" customWidth="1"/>
  </cols>
  <sheetData>
    <row r="1" spans="2:18" ht="31.5" x14ac:dyDescent="0.5">
      <c r="B1" s="340" t="s">
        <v>289</v>
      </c>
      <c r="C1" s="340"/>
      <c r="D1" s="340"/>
      <c r="E1" s="340"/>
      <c r="F1" s="340"/>
      <c r="G1" s="340"/>
      <c r="H1" s="340"/>
      <c r="I1" s="340"/>
      <c r="J1" s="340"/>
      <c r="K1" s="340"/>
    </row>
    <row r="2" spans="2:18" x14ac:dyDescent="0.25">
      <c r="B2" s="70" t="s">
        <v>340</v>
      </c>
      <c r="C2" t="s">
        <v>341</v>
      </c>
      <c r="D2" t="s">
        <v>399</v>
      </c>
    </row>
    <row r="3" spans="2:18" ht="15.75" thickBot="1" x14ac:dyDescent="0.3"/>
    <row r="4" spans="2:18" x14ac:dyDescent="0.25">
      <c r="B4" s="341" t="s">
        <v>10</v>
      </c>
      <c r="C4" s="62" t="s">
        <v>14</v>
      </c>
      <c r="D4" s="65" t="s">
        <v>14</v>
      </c>
      <c r="E4" s="330" t="s">
        <v>354</v>
      </c>
      <c r="F4" s="324" t="s">
        <v>355</v>
      </c>
      <c r="G4" s="62" t="s">
        <v>14</v>
      </c>
      <c r="H4" s="65" t="s">
        <v>14</v>
      </c>
      <c r="I4" s="330" t="s">
        <v>354</v>
      </c>
      <c r="J4" s="324" t="s">
        <v>355</v>
      </c>
      <c r="K4" s="62" t="s">
        <v>14</v>
      </c>
      <c r="L4" s="65" t="s">
        <v>14</v>
      </c>
      <c r="M4" s="330" t="s">
        <v>354</v>
      </c>
      <c r="N4" s="321" t="s">
        <v>355</v>
      </c>
      <c r="O4" s="62" t="s">
        <v>14</v>
      </c>
      <c r="P4" s="65" t="s">
        <v>14</v>
      </c>
      <c r="Q4" s="330" t="s">
        <v>354</v>
      </c>
      <c r="R4" s="321" t="s">
        <v>355</v>
      </c>
    </row>
    <row r="5" spans="2:18" ht="15.75" thickBot="1" x14ac:dyDescent="0.3">
      <c r="B5" s="342"/>
      <c r="C5" s="63" t="s">
        <v>290</v>
      </c>
      <c r="D5" s="27" t="s">
        <v>291</v>
      </c>
      <c r="E5" s="331"/>
      <c r="F5" s="325"/>
      <c r="G5" s="63" t="s">
        <v>290</v>
      </c>
      <c r="H5" s="27" t="s">
        <v>291</v>
      </c>
      <c r="I5" s="331"/>
      <c r="J5" s="325"/>
      <c r="K5" s="63" t="s">
        <v>290</v>
      </c>
      <c r="L5" s="27" t="s">
        <v>291</v>
      </c>
      <c r="M5" s="331"/>
      <c r="N5" s="322"/>
      <c r="O5" s="63" t="s">
        <v>290</v>
      </c>
      <c r="P5" s="27" t="s">
        <v>291</v>
      </c>
      <c r="Q5" s="331"/>
      <c r="R5" s="322"/>
    </row>
    <row r="6" spans="2:18" ht="15.75" thickBot="1" x14ac:dyDescent="0.3">
      <c r="B6" s="346" t="s">
        <v>400</v>
      </c>
      <c r="C6" s="346" t="s">
        <v>401</v>
      </c>
      <c r="D6" s="16" t="s">
        <v>401</v>
      </c>
      <c r="E6" s="331"/>
      <c r="F6" s="326"/>
      <c r="G6" s="346" t="s">
        <v>402</v>
      </c>
      <c r="H6" s="16" t="s">
        <v>402</v>
      </c>
      <c r="I6" s="331"/>
      <c r="J6" s="326"/>
      <c r="K6" s="346" t="s">
        <v>403</v>
      </c>
      <c r="L6" s="16" t="s">
        <v>403</v>
      </c>
      <c r="M6" s="331"/>
      <c r="N6" s="322"/>
      <c r="O6" s="346" t="s">
        <v>404</v>
      </c>
      <c r="P6" s="16" t="s">
        <v>404</v>
      </c>
      <c r="Q6" s="331"/>
      <c r="R6" s="322"/>
    </row>
    <row r="7" spans="2:18" ht="30.75" thickBot="1" x14ac:dyDescent="0.3">
      <c r="B7" s="347"/>
      <c r="C7" s="347"/>
      <c r="D7" s="120" t="s">
        <v>406</v>
      </c>
      <c r="E7" s="327"/>
      <c r="F7" s="327"/>
      <c r="G7" s="347"/>
      <c r="H7" s="120" t="s">
        <v>407</v>
      </c>
      <c r="I7" s="327"/>
      <c r="J7" s="327"/>
      <c r="K7" s="347"/>
      <c r="L7" s="121" t="s">
        <v>405</v>
      </c>
      <c r="M7" s="327"/>
      <c r="N7" s="323"/>
      <c r="O7" s="347"/>
      <c r="P7" s="121" t="s">
        <v>408</v>
      </c>
      <c r="Q7" s="327"/>
      <c r="R7" s="323"/>
    </row>
    <row r="8" spans="2:18" x14ac:dyDescent="0.25">
      <c r="B8" s="44">
        <v>1</v>
      </c>
      <c r="C8" s="154">
        <v>1000000</v>
      </c>
      <c r="D8" s="123">
        <f>L8*1000</f>
        <v>1000000</v>
      </c>
      <c r="E8" s="54">
        <f>C8-D8</f>
        <v>0</v>
      </c>
      <c r="F8" s="54">
        <f>(100*E8)/D8</f>
        <v>0</v>
      </c>
      <c r="G8" s="154">
        <v>1E-3</v>
      </c>
      <c r="H8" s="123">
        <f>L8/1000000</f>
        <v>1E-3</v>
      </c>
      <c r="I8" s="54">
        <f>G8-H8</f>
        <v>0</v>
      </c>
      <c r="J8" s="54">
        <f>(100*I8)/H8</f>
        <v>0</v>
      </c>
      <c r="K8" s="154">
        <v>1000</v>
      </c>
      <c r="L8" s="123">
        <f>B8*1000</f>
        <v>1000</v>
      </c>
      <c r="M8" s="54">
        <f>K8-L8</f>
        <v>0</v>
      </c>
      <c r="N8" s="117">
        <f>(100*M8)/L8</f>
        <v>0</v>
      </c>
      <c r="O8" s="154">
        <v>1000000000</v>
      </c>
      <c r="P8" s="123">
        <f>L8*1000000</f>
        <v>1000000000</v>
      </c>
      <c r="Q8" s="54">
        <f>O8-P8</f>
        <v>0</v>
      </c>
      <c r="R8" s="162">
        <f>(100*Q8)/P8</f>
        <v>0</v>
      </c>
    </row>
    <row r="9" spans="2:18" x14ac:dyDescent="0.25">
      <c r="B9" s="47">
        <v>987</v>
      </c>
      <c r="C9" s="159">
        <v>987000000</v>
      </c>
      <c r="D9" s="123">
        <f t="shared" ref="D9:D13" si="0">L9*1000</f>
        <v>987000000</v>
      </c>
      <c r="E9" s="52">
        <f t="shared" ref="E9:E13" si="1">C9-D9</f>
        <v>0</v>
      </c>
      <c r="F9" s="52">
        <f t="shared" ref="F9:F13" si="2">(100*E9)/D9</f>
        <v>0</v>
      </c>
      <c r="G9" s="159">
        <v>0.98699999999999999</v>
      </c>
      <c r="H9" s="123">
        <f t="shared" ref="H9:H13" si="3">L9/1000000</f>
        <v>0.98699999999999999</v>
      </c>
      <c r="I9" s="52">
        <f t="shared" ref="I9:I13" si="4">G9-H9</f>
        <v>0</v>
      </c>
      <c r="J9" s="52">
        <f t="shared" ref="J9:J13" si="5">(100*I9)/H9</f>
        <v>0</v>
      </c>
      <c r="K9" s="159">
        <v>987000</v>
      </c>
      <c r="L9" s="123">
        <f t="shared" ref="L9:L13" si="6">B9*1000</f>
        <v>987000</v>
      </c>
      <c r="M9" s="52">
        <f t="shared" ref="M9:M13" si="7">K9-L9</f>
        <v>0</v>
      </c>
      <c r="N9" s="118">
        <f t="shared" ref="N9:N13" si="8">(100*M9)/L9</f>
        <v>0</v>
      </c>
      <c r="O9" s="159">
        <v>987000000000</v>
      </c>
      <c r="P9" s="123">
        <f t="shared" ref="P9:P13" si="9">L9*1000000</f>
        <v>987000000000</v>
      </c>
      <c r="Q9" s="52">
        <f t="shared" ref="Q9:Q13" si="10">O9-P9</f>
        <v>0</v>
      </c>
      <c r="R9" s="153">
        <f t="shared" ref="R9:R13" si="11">(100*Q9)/P9</f>
        <v>0</v>
      </c>
    </row>
    <row r="10" spans="2:18" x14ac:dyDescent="0.25">
      <c r="B10" s="47">
        <v>5987</v>
      </c>
      <c r="C10" s="159">
        <v>5987000000</v>
      </c>
      <c r="D10" s="123">
        <f t="shared" si="0"/>
        <v>5987000000</v>
      </c>
      <c r="E10" s="52">
        <f t="shared" si="1"/>
        <v>0</v>
      </c>
      <c r="F10" s="52">
        <f t="shared" si="2"/>
        <v>0</v>
      </c>
      <c r="G10" s="159">
        <v>5.9870000000000001</v>
      </c>
      <c r="H10" s="123">
        <f t="shared" si="3"/>
        <v>5.9870000000000001</v>
      </c>
      <c r="I10" s="52">
        <f t="shared" si="4"/>
        <v>0</v>
      </c>
      <c r="J10" s="52">
        <f t="shared" si="5"/>
        <v>0</v>
      </c>
      <c r="K10" s="159">
        <v>5987000</v>
      </c>
      <c r="L10" s="123">
        <f t="shared" si="6"/>
        <v>5987000</v>
      </c>
      <c r="M10" s="52">
        <f t="shared" si="7"/>
        <v>0</v>
      </c>
      <c r="N10" s="118">
        <f t="shared" si="8"/>
        <v>0</v>
      </c>
      <c r="O10" s="159">
        <v>5987000000000</v>
      </c>
      <c r="P10" s="123">
        <f t="shared" si="9"/>
        <v>5987000000000</v>
      </c>
      <c r="Q10" s="52">
        <f t="shared" si="10"/>
        <v>0</v>
      </c>
      <c r="R10" s="153">
        <f t="shared" si="11"/>
        <v>0</v>
      </c>
    </row>
    <row r="11" spans="2:18" x14ac:dyDescent="0.25">
      <c r="B11" s="47">
        <v>4455667788</v>
      </c>
      <c r="C11" s="159">
        <v>4455667788000000</v>
      </c>
      <c r="D11" s="123">
        <f t="shared" si="0"/>
        <v>4455667788000000</v>
      </c>
      <c r="E11" s="52">
        <f t="shared" si="1"/>
        <v>0</v>
      </c>
      <c r="F11" s="52">
        <f t="shared" si="2"/>
        <v>0</v>
      </c>
      <c r="G11" s="159">
        <v>4455668</v>
      </c>
      <c r="H11" s="123">
        <f t="shared" si="3"/>
        <v>4455667.7879999997</v>
      </c>
      <c r="I11" s="52">
        <f t="shared" si="4"/>
        <v>0.21200000029057264</v>
      </c>
      <c r="J11" s="52">
        <f t="shared" si="5"/>
        <v>4.7579848942403393E-6</v>
      </c>
      <c r="K11" s="159">
        <v>4455667788000</v>
      </c>
      <c r="L11" s="123">
        <f t="shared" si="6"/>
        <v>4455667788000</v>
      </c>
      <c r="M11" s="52">
        <f t="shared" si="7"/>
        <v>0</v>
      </c>
      <c r="N11" s="118">
        <f t="shared" si="8"/>
        <v>0</v>
      </c>
      <c r="O11" s="155">
        <v>4.455667788E+18</v>
      </c>
      <c r="P11" s="123">
        <f t="shared" si="9"/>
        <v>4.455667788E+18</v>
      </c>
      <c r="Q11" s="52">
        <f t="shared" si="10"/>
        <v>0</v>
      </c>
      <c r="R11" s="153">
        <f t="shared" si="11"/>
        <v>0</v>
      </c>
    </row>
    <row r="12" spans="2:18" x14ac:dyDescent="0.25">
      <c r="B12" s="47">
        <v>-654</v>
      </c>
      <c r="C12" s="159">
        <v>-654000000</v>
      </c>
      <c r="D12" s="123">
        <f t="shared" si="0"/>
        <v>-654000000</v>
      </c>
      <c r="E12" s="52">
        <f t="shared" si="1"/>
        <v>0</v>
      </c>
      <c r="F12" s="52">
        <f t="shared" si="2"/>
        <v>0</v>
      </c>
      <c r="G12" s="159">
        <v>-0.65400000000000003</v>
      </c>
      <c r="H12" s="123">
        <f t="shared" si="3"/>
        <v>-0.65400000000000003</v>
      </c>
      <c r="I12" s="52">
        <f t="shared" si="4"/>
        <v>0</v>
      </c>
      <c r="J12" s="52">
        <f t="shared" si="5"/>
        <v>0</v>
      </c>
      <c r="K12" s="159">
        <v>-654000</v>
      </c>
      <c r="L12" s="123">
        <f t="shared" si="6"/>
        <v>-654000</v>
      </c>
      <c r="M12" s="52">
        <f t="shared" si="7"/>
        <v>0</v>
      </c>
      <c r="N12" s="118">
        <f t="shared" si="8"/>
        <v>0</v>
      </c>
      <c r="O12" s="159">
        <v>-654000000000</v>
      </c>
      <c r="P12" s="123">
        <f t="shared" si="9"/>
        <v>-654000000000</v>
      </c>
      <c r="Q12" s="52">
        <f t="shared" si="10"/>
        <v>0</v>
      </c>
      <c r="R12" s="153">
        <f t="shared" si="11"/>
        <v>0</v>
      </c>
    </row>
    <row r="13" spans="2:18" ht="15.75" thickBot="1" x14ac:dyDescent="0.3">
      <c r="B13" s="74">
        <v>0.65469999999999995</v>
      </c>
      <c r="C13" s="156">
        <v>654700</v>
      </c>
      <c r="D13" s="59">
        <f t="shared" si="0"/>
        <v>654699.99999999988</v>
      </c>
      <c r="E13" s="57">
        <f t="shared" si="1"/>
        <v>0</v>
      </c>
      <c r="F13" s="57">
        <f t="shared" si="2"/>
        <v>0</v>
      </c>
      <c r="G13" s="156">
        <v>6.5470000000000003E-4</v>
      </c>
      <c r="H13" s="59">
        <f t="shared" si="3"/>
        <v>6.5469999999999992E-4</v>
      </c>
      <c r="I13" s="57">
        <f t="shared" si="4"/>
        <v>0</v>
      </c>
      <c r="J13" s="57">
        <f t="shared" si="5"/>
        <v>0</v>
      </c>
      <c r="K13" s="156">
        <v>654.70000000000005</v>
      </c>
      <c r="L13" s="59">
        <f t="shared" si="6"/>
        <v>654.69999999999993</v>
      </c>
      <c r="M13" s="57">
        <f t="shared" si="7"/>
        <v>0</v>
      </c>
      <c r="N13" s="119">
        <f t="shared" si="8"/>
        <v>0</v>
      </c>
      <c r="O13" s="156">
        <v>654700000</v>
      </c>
      <c r="P13" s="59">
        <f t="shared" si="9"/>
        <v>654699999.99999988</v>
      </c>
      <c r="Q13" s="57">
        <f t="shared" si="10"/>
        <v>0</v>
      </c>
      <c r="R13" s="163">
        <f t="shared" si="11"/>
        <v>0</v>
      </c>
    </row>
    <row r="14" spans="2:18" ht="15.75" thickBot="1" x14ac:dyDescent="0.3">
      <c r="C14" s="165"/>
      <c r="D14" s="165"/>
      <c r="E14" s="164"/>
      <c r="F14" s="164"/>
      <c r="G14" s="165"/>
      <c r="H14" s="165"/>
      <c r="I14" s="164"/>
      <c r="J14" s="164"/>
      <c r="K14" s="165"/>
      <c r="L14" s="165"/>
      <c r="M14" s="164"/>
      <c r="N14" s="164"/>
      <c r="O14" s="165"/>
      <c r="P14" s="165"/>
      <c r="Q14" s="164"/>
      <c r="R14" s="164"/>
    </row>
    <row r="15" spans="2:18" x14ac:dyDescent="0.25">
      <c r="B15" s="341" t="s">
        <v>10</v>
      </c>
      <c r="C15" s="166" t="s">
        <v>14</v>
      </c>
      <c r="D15" s="168" t="s">
        <v>14</v>
      </c>
      <c r="E15" s="343" t="s">
        <v>354</v>
      </c>
      <c r="F15" s="352" t="s">
        <v>355</v>
      </c>
      <c r="G15" s="166" t="s">
        <v>14</v>
      </c>
      <c r="H15" s="168" t="s">
        <v>14</v>
      </c>
      <c r="I15" s="343" t="s">
        <v>354</v>
      </c>
      <c r="J15" s="352" t="s">
        <v>355</v>
      </c>
      <c r="K15" s="166" t="s">
        <v>14</v>
      </c>
      <c r="L15" s="168" t="s">
        <v>14</v>
      </c>
      <c r="M15" s="343" t="s">
        <v>354</v>
      </c>
      <c r="N15" s="357" t="s">
        <v>355</v>
      </c>
      <c r="O15" s="166" t="s">
        <v>14</v>
      </c>
      <c r="P15" s="168" t="s">
        <v>14</v>
      </c>
      <c r="Q15" s="343" t="s">
        <v>354</v>
      </c>
      <c r="R15" s="357" t="s">
        <v>355</v>
      </c>
    </row>
    <row r="16" spans="2:18" ht="15.75" thickBot="1" x14ac:dyDescent="0.3">
      <c r="B16" s="342"/>
      <c r="C16" s="167" t="s">
        <v>290</v>
      </c>
      <c r="D16" s="169" t="s">
        <v>291</v>
      </c>
      <c r="E16" s="344"/>
      <c r="F16" s="353"/>
      <c r="G16" s="167" t="s">
        <v>290</v>
      </c>
      <c r="H16" s="169" t="s">
        <v>291</v>
      </c>
      <c r="I16" s="344"/>
      <c r="J16" s="353"/>
      <c r="K16" s="167" t="s">
        <v>290</v>
      </c>
      <c r="L16" s="169" t="s">
        <v>291</v>
      </c>
      <c r="M16" s="344"/>
      <c r="N16" s="358"/>
      <c r="O16" s="167" t="s">
        <v>290</v>
      </c>
      <c r="P16" s="169" t="s">
        <v>291</v>
      </c>
      <c r="Q16" s="344"/>
      <c r="R16" s="358"/>
    </row>
    <row r="17" spans="2:18" ht="15.75" thickBot="1" x14ac:dyDescent="0.3">
      <c r="B17" s="346" t="s">
        <v>401</v>
      </c>
      <c r="C17" s="363" t="s">
        <v>400</v>
      </c>
      <c r="D17" s="177" t="s">
        <v>400</v>
      </c>
      <c r="E17" s="344"/>
      <c r="F17" s="354"/>
      <c r="G17" s="363" t="s">
        <v>402</v>
      </c>
      <c r="H17" s="177" t="s">
        <v>402</v>
      </c>
      <c r="I17" s="344"/>
      <c r="J17" s="354"/>
      <c r="K17" s="363" t="s">
        <v>403</v>
      </c>
      <c r="L17" s="177" t="s">
        <v>403</v>
      </c>
      <c r="M17" s="344"/>
      <c r="N17" s="358"/>
      <c r="O17" s="363" t="s">
        <v>404</v>
      </c>
      <c r="P17" s="177" t="s">
        <v>404</v>
      </c>
      <c r="Q17" s="344"/>
      <c r="R17" s="358"/>
    </row>
    <row r="18" spans="2:18" ht="30.75" thickBot="1" x14ac:dyDescent="0.3">
      <c r="B18" s="362"/>
      <c r="C18" s="364"/>
      <c r="D18" s="178" t="s">
        <v>410</v>
      </c>
      <c r="E18" s="345"/>
      <c r="F18" s="345"/>
      <c r="G18" s="364"/>
      <c r="H18" s="178" t="s">
        <v>411</v>
      </c>
      <c r="I18" s="345"/>
      <c r="J18" s="345"/>
      <c r="K18" s="364"/>
      <c r="L18" s="179" t="s">
        <v>409</v>
      </c>
      <c r="M18" s="345"/>
      <c r="N18" s="359"/>
      <c r="O18" s="364"/>
      <c r="P18" s="179" t="s">
        <v>412</v>
      </c>
      <c r="Q18" s="345"/>
      <c r="R18" s="359"/>
    </row>
    <row r="19" spans="2:18" x14ac:dyDescent="0.25">
      <c r="B19" s="44">
        <v>1</v>
      </c>
      <c r="C19" s="154">
        <v>9.9999999999999995E-7</v>
      </c>
      <c r="D19" s="123">
        <f>L19/1000</f>
        <v>9.9999999999999995E-7</v>
      </c>
      <c r="E19" s="54">
        <f>C19-D19</f>
        <v>0</v>
      </c>
      <c r="F19" s="54">
        <f>(100*E19)/D19</f>
        <v>0</v>
      </c>
      <c r="G19" s="154">
        <v>1.0000000000000001E-9</v>
      </c>
      <c r="H19" s="123">
        <f>L19/1000000</f>
        <v>1.0000000000000001E-9</v>
      </c>
      <c r="I19" s="54">
        <f>G19-H19</f>
        <v>0</v>
      </c>
      <c r="J19" s="54">
        <f>(100*I19)/H19</f>
        <v>0</v>
      </c>
      <c r="K19" s="154">
        <v>1E-3</v>
      </c>
      <c r="L19" s="123">
        <f>B19/1000</f>
        <v>1E-3</v>
      </c>
      <c r="M19" s="54">
        <f>K19-L19</f>
        <v>0</v>
      </c>
      <c r="N19" s="117">
        <f>(100*M19)/L19</f>
        <v>0</v>
      </c>
      <c r="O19" s="154">
        <v>1000</v>
      </c>
      <c r="P19" s="123">
        <f>L19*1000000</f>
        <v>1000</v>
      </c>
      <c r="Q19" s="54">
        <f>O19-P19</f>
        <v>0</v>
      </c>
      <c r="R19" s="162">
        <f>(100*Q19)/P19</f>
        <v>0</v>
      </c>
    </row>
    <row r="20" spans="2:18" x14ac:dyDescent="0.25">
      <c r="B20" s="47">
        <v>987</v>
      </c>
      <c r="C20" s="159">
        <v>9.8700000000000003E-4</v>
      </c>
      <c r="D20" s="123">
        <f t="shared" ref="D20:D24" si="12">L20/1000</f>
        <v>9.8700000000000003E-4</v>
      </c>
      <c r="E20" s="52">
        <f t="shared" ref="E20:E24" si="13">C20-D20</f>
        <v>0</v>
      </c>
      <c r="F20" s="52">
        <f t="shared" ref="F20:F24" si="14">(100*E20)/D20</f>
        <v>0</v>
      </c>
      <c r="G20" s="159">
        <v>9.8700000000000004E-7</v>
      </c>
      <c r="H20" s="123">
        <f t="shared" ref="H20:H24" si="15">L20/1000000</f>
        <v>9.8700000000000004E-7</v>
      </c>
      <c r="I20" s="52">
        <f t="shared" ref="I20:I24" si="16">G20-H20</f>
        <v>0</v>
      </c>
      <c r="J20" s="52">
        <f t="shared" ref="J20:J24" si="17">(100*I20)/H20</f>
        <v>0</v>
      </c>
      <c r="K20" s="159">
        <v>0.98699999999999999</v>
      </c>
      <c r="L20" s="123">
        <f t="shared" ref="L20:L24" si="18">B20/1000</f>
        <v>0.98699999999999999</v>
      </c>
      <c r="M20" s="52">
        <f t="shared" ref="M20:M24" si="19">K20-L20</f>
        <v>0</v>
      </c>
      <c r="N20" s="118">
        <f t="shared" ref="N20:N24" si="20">(100*M20)/L20</f>
        <v>0</v>
      </c>
      <c r="O20" s="159">
        <v>987000</v>
      </c>
      <c r="P20" s="123">
        <f t="shared" ref="P20:P24" si="21">L20*1000000</f>
        <v>987000</v>
      </c>
      <c r="Q20" s="52">
        <f t="shared" ref="Q20:Q24" si="22">O20-P20</f>
        <v>0</v>
      </c>
      <c r="R20" s="153">
        <f t="shared" ref="R20:R24" si="23">(100*Q20)/P20</f>
        <v>0</v>
      </c>
    </row>
    <row r="21" spans="2:18" x14ac:dyDescent="0.25">
      <c r="B21" s="47">
        <v>5987</v>
      </c>
      <c r="C21" s="159">
        <v>5.9870000000000001E-3</v>
      </c>
      <c r="D21" s="123">
        <f t="shared" si="12"/>
        <v>5.9870000000000001E-3</v>
      </c>
      <c r="E21" s="52">
        <f t="shared" si="13"/>
        <v>0</v>
      </c>
      <c r="F21" s="52">
        <f t="shared" si="14"/>
        <v>0</v>
      </c>
      <c r="G21" s="159">
        <v>5.9869999999999996E-6</v>
      </c>
      <c r="H21" s="123">
        <f t="shared" si="15"/>
        <v>5.9870000000000004E-6</v>
      </c>
      <c r="I21" s="52">
        <f t="shared" si="16"/>
        <v>0</v>
      </c>
      <c r="J21" s="52">
        <f t="shared" si="17"/>
        <v>0</v>
      </c>
      <c r="K21" s="159">
        <v>5.9870000000000001</v>
      </c>
      <c r="L21" s="123">
        <f t="shared" si="18"/>
        <v>5.9870000000000001</v>
      </c>
      <c r="M21" s="52">
        <f t="shared" si="19"/>
        <v>0</v>
      </c>
      <c r="N21" s="118">
        <f t="shared" si="20"/>
        <v>0</v>
      </c>
      <c r="O21" s="159">
        <v>5987000</v>
      </c>
      <c r="P21" s="123">
        <f t="shared" si="21"/>
        <v>5987000</v>
      </c>
      <c r="Q21" s="52">
        <f t="shared" si="22"/>
        <v>0</v>
      </c>
      <c r="R21" s="153">
        <f t="shared" si="23"/>
        <v>0</v>
      </c>
    </row>
    <row r="22" spans="2:18" x14ac:dyDescent="0.25">
      <c r="B22" s="47">
        <v>4455667788</v>
      </c>
      <c r="C22" s="159">
        <v>4455.67</v>
      </c>
      <c r="D22" s="123">
        <f t="shared" si="12"/>
        <v>4455.6677879999997</v>
      </c>
      <c r="E22" s="52">
        <f t="shared" si="13"/>
        <v>2.2120000003269524E-3</v>
      </c>
      <c r="F22" s="52">
        <f t="shared" si="14"/>
        <v>4.9644634779197604E-5</v>
      </c>
      <c r="G22" s="159">
        <v>4.4556699999999996</v>
      </c>
      <c r="H22" s="123">
        <f t="shared" si="15"/>
        <v>4.4556677879999995</v>
      </c>
      <c r="I22" s="52">
        <f t="shared" si="16"/>
        <v>2.2120000000569462E-6</v>
      </c>
      <c r="J22" s="52">
        <f t="shared" si="17"/>
        <v>4.9644634773137768E-5</v>
      </c>
      <c r="K22" s="159">
        <v>4455668</v>
      </c>
      <c r="L22" s="123">
        <f t="shared" si="18"/>
        <v>4455667.7879999997</v>
      </c>
      <c r="M22" s="52">
        <f t="shared" si="19"/>
        <v>0.21200000029057264</v>
      </c>
      <c r="N22" s="118">
        <f t="shared" si="20"/>
        <v>4.7579848942403393E-6</v>
      </c>
      <c r="O22" s="159">
        <v>4455667788000</v>
      </c>
      <c r="P22" s="123">
        <f t="shared" si="21"/>
        <v>4455667788000</v>
      </c>
      <c r="Q22" s="52">
        <f t="shared" si="22"/>
        <v>0</v>
      </c>
      <c r="R22" s="153">
        <f t="shared" si="23"/>
        <v>0</v>
      </c>
    </row>
    <row r="23" spans="2:18" x14ac:dyDescent="0.25">
      <c r="B23" s="47">
        <v>-654</v>
      </c>
      <c r="C23" s="159">
        <v>-6.5399999999999996E-4</v>
      </c>
      <c r="D23" s="123">
        <f t="shared" si="12"/>
        <v>-6.5400000000000007E-4</v>
      </c>
      <c r="E23" s="52">
        <f t="shared" si="13"/>
        <v>0</v>
      </c>
      <c r="F23" s="52">
        <f t="shared" si="14"/>
        <v>0</v>
      </c>
      <c r="G23" s="159">
        <v>-6.5400000000000001E-7</v>
      </c>
      <c r="H23" s="123">
        <f t="shared" si="15"/>
        <v>-6.5400000000000001E-7</v>
      </c>
      <c r="I23" s="52">
        <f t="shared" si="16"/>
        <v>0</v>
      </c>
      <c r="J23" s="52">
        <f t="shared" si="17"/>
        <v>0</v>
      </c>
      <c r="K23" s="159">
        <v>-0.65400000000000003</v>
      </c>
      <c r="L23" s="123">
        <f t="shared" si="18"/>
        <v>-0.65400000000000003</v>
      </c>
      <c r="M23" s="52">
        <f t="shared" si="19"/>
        <v>0</v>
      </c>
      <c r="N23" s="118">
        <f t="shared" si="20"/>
        <v>0</v>
      </c>
      <c r="O23" s="159">
        <v>-654000</v>
      </c>
      <c r="P23" s="123">
        <f t="shared" si="21"/>
        <v>-654000</v>
      </c>
      <c r="Q23" s="52">
        <f t="shared" si="22"/>
        <v>0</v>
      </c>
      <c r="R23" s="153">
        <f t="shared" si="23"/>
        <v>0</v>
      </c>
    </row>
    <row r="24" spans="2:18" ht="15.75" thickBot="1" x14ac:dyDescent="0.3">
      <c r="B24" s="74">
        <v>0.65469999999999995</v>
      </c>
      <c r="C24" s="156">
        <v>6.5469999999999995E-7</v>
      </c>
      <c r="D24" s="59">
        <f t="shared" si="12"/>
        <v>6.5469999999999995E-7</v>
      </c>
      <c r="E24" s="57">
        <f t="shared" si="13"/>
        <v>0</v>
      </c>
      <c r="F24" s="57">
        <f t="shared" si="14"/>
        <v>0</v>
      </c>
      <c r="G24" s="156">
        <v>6.5470000000000002E-10</v>
      </c>
      <c r="H24" s="59">
        <f t="shared" si="15"/>
        <v>6.5469999999999992E-10</v>
      </c>
      <c r="I24" s="57">
        <f t="shared" si="16"/>
        <v>0</v>
      </c>
      <c r="J24" s="57">
        <f t="shared" si="17"/>
        <v>0</v>
      </c>
      <c r="K24" s="156">
        <v>6.5470000000000003E-4</v>
      </c>
      <c r="L24" s="59">
        <f t="shared" si="18"/>
        <v>6.5469999999999992E-4</v>
      </c>
      <c r="M24" s="57">
        <f t="shared" si="19"/>
        <v>0</v>
      </c>
      <c r="N24" s="119">
        <f t="shared" si="20"/>
        <v>0</v>
      </c>
      <c r="O24" s="156">
        <v>654.70000000000005</v>
      </c>
      <c r="P24" s="59">
        <f t="shared" si="21"/>
        <v>654.69999999999993</v>
      </c>
      <c r="Q24" s="57">
        <f t="shared" si="22"/>
        <v>0</v>
      </c>
      <c r="R24" s="163">
        <f t="shared" si="23"/>
        <v>0</v>
      </c>
    </row>
    <row r="25" spans="2:18" ht="15.75" thickBot="1" x14ac:dyDescent="0.3">
      <c r="C25" s="165"/>
      <c r="D25" s="165"/>
      <c r="E25" s="164"/>
      <c r="F25" s="164"/>
      <c r="G25" s="165"/>
      <c r="H25" s="165"/>
      <c r="I25" s="164"/>
      <c r="J25" s="164"/>
      <c r="K25" s="165"/>
      <c r="L25" s="165"/>
      <c r="M25" s="164"/>
      <c r="N25" s="164"/>
      <c r="O25" s="165"/>
      <c r="P25" s="165"/>
      <c r="Q25" s="164"/>
      <c r="R25" s="164"/>
    </row>
    <row r="26" spans="2:18" x14ac:dyDescent="0.25">
      <c r="B26" s="341" t="s">
        <v>10</v>
      </c>
      <c r="C26" s="166" t="s">
        <v>14</v>
      </c>
      <c r="D26" s="168" t="s">
        <v>14</v>
      </c>
      <c r="E26" s="343" t="s">
        <v>354</v>
      </c>
      <c r="F26" s="352" t="s">
        <v>355</v>
      </c>
      <c r="G26" s="166" t="s">
        <v>14</v>
      </c>
      <c r="H26" s="168" t="s">
        <v>14</v>
      </c>
      <c r="I26" s="343" t="s">
        <v>354</v>
      </c>
      <c r="J26" s="352" t="s">
        <v>355</v>
      </c>
      <c r="K26" s="166" t="s">
        <v>14</v>
      </c>
      <c r="L26" s="168" t="s">
        <v>14</v>
      </c>
      <c r="M26" s="343" t="s">
        <v>354</v>
      </c>
      <c r="N26" s="357" t="s">
        <v>355</v>
      </c>
      <c r="O26" s="166" t="s">
        <v>14</v>
      </c>
      <c r="P26" s="168" t="s">
        <v>14</v>
      </c>
      <c r="Q26" s="343" t="s">
        <v>354</v>
      </c>
      <c r="R26" s="357" t="s">
        <v>355</v>
      </c>
    </row>
    <row r="27" spans="2:18" ht="15.75" thickBot="1" x14ac:dyDescent="0.3">
      <c r="B27" s="342"/>
      <c r="C27" s="167" t="s">
        <v>290</v>
      </c>
      <c r="D27" s="169" t="s">
        <v>291</v>
      </c>
      <c r="E27" s="344"/>
      <c r="F27" s="353"/>
      <c r="G27" s="167" t="s">
        <v>290</v>
      </c>
      <c r="H27" s="169" t="s">
        <v>291</v>
      </c>
      <c r="I27" s="344"/>
      <c r="J27" s="353"/>
      <c r="K27" s="167" t="s">
        <v>290</v>
      </c>
      <c r="L27" s="169" t="s">
        <v>291</v>
      </c>
      <c r="M27" s="344"/>
      <c r="N27" s="358"/>
      <c r="O27" s="167" t="s">
        <v>290</v>
      </c>
      <c r="P27" s="169" t="s">
        <v>291</v>
      </c>
      <c r="Q27" s="344"/>
      <c r="R27" s="358"/>
    </row>
    <row r="28" spans="2:18" ht="15.75" thickBot="1" x14ac:dyDescent="0.3">
      <c r="B28" s="346" t="s">
        <v>402</v>
      </c>
      <c r="C28" s="363" t="s">
        <v>400</v>
      </c>
      <c r="D28" s="177" t="s">
        <v>400</v>
      </c>
      <c r="E28" s="344"/>
      <c r="F28" s="354"/>
      <c r="G28" s="363" t="s">
        <v>401</v>
      </c>
      <c r="H28" s="177" t="s">
        <v>401</v>
      </c>
      <c r="I28" s="344"/>
      <c r="J28" s="354"/>
      <c r="K28" s="363" t="s">
        <v>403</v>
      </c>
      <c r="L28" s="177" t="s">
        <v>403</v>
      </c>
      <c r="M28" s="344"/>
      <c r="N28" s="358"/>
      <c r="O28" s="363" t="s">
        <v>404</v>
      </c>
      <c r="P28" s="177" t="s">
        <v>404</v>
      </c>
      <c r="Q28" s="344"/>
      <c r="R28" s="358"/>
    </row>
    <row r="29" spans="2:18" ht="30.75" thickBot="1" x14ac:dyDescent="0.3">
      <c r="B29" s="347"/>
      <c r="C29" s="364"/>
      <c r="D29" s="178" t="s">
        <v>414</v>
      </c>
      <c r="E29" s="345"/>
      <c r="F29" s="345"/>
      <c r="G29" s="364"/>
      <c r="H29" s="178" t="s">
        <v>415</v>
      </c>
      <c r="I29" s="345"/>
      <c r="J29" s="345"/>
      <c r="K29" s="364"/>
      <c r="L29" s="179" t="s">
        <v>413</v>
      </c>
      <c r="M29" s="345"/>
      <c r="N29" s="359"/>
      <c r="O29" s="364"/>
      <c r="P29" s="179" t="s">
        <v>416</v>
      </c>
      <c r="Q29" s="345"/>
      <c r="R29" s="359"/>
    </row>
    <row r="30" spans="2:18" x14ac:dyDescent="0.25">
      <c r="B30" s="44">
        <v>1</v>
      </c>
      <c r="C30" s="154">
        <v>1000</v>
      </c>
      <c r="D30" s="123">
        <f>L30/1000</f>
        <v>1000</v>
      </c>
      <c r="E30" s="54">
        <f>C30-D30</f>
        <v>0</v>
      </c>
      <c r="F30" s="54">
        <f>(100*E30)/D30</f>
        <v>0</v>
      </c>
      <c r="G30" s="154">
        <v>1000000000</v>
      </c>
      <c r="H30" s="123">
        <f>P30/1000</f>
        <v>1000000000</v>
      </c>
      <c r="I30" s="54">
        <f>G30-H30</f>
        <v>0</v>
      </c>
      <c r="J30" s="54">
        <f>(100*I30)/H30</f>
        <v>0</v>
      </c>
      <c r="K30" s="154">
        <v>1000000</v>
      </c>
      <c r="L30" s="123">
        <f>B30*1000000</f>
        <v>1000000</v>
      </c>
      <c r="M30" s="54">
        <f>K30-L30</f>
        <v>0</v>
      </c>
      <c r="N30" s="117">
        <f>(100*M30)/L30</f>
        <v>0</v>
      </c>
      <c r="O30" s="154">
        <v>1000000000000</v>
      </c>
      <c r="P30" s="123">
        <f>L30*1000000</f>
        <v>1000000000000</v>
      </c>
      <c r="Q30" s="54">
        <f>O30-P30</f>
        <v>0</v>
      </c>
      <c r="R30" s="162">
        <f>(100*Q30)/P30</f>
        <v>0</v>
      </c>
    </row>
    <row r="31" spans="2:18" x14ac:dyDescent="0.25">
      <c r="B31" s="47">
        <v>987</v>
      </c>
      <c r="C31" s="159">
        <v>987000</v>
      </c>
      <c r="D31" s="123">
        <f t="shared" ref="D31:D35" si="24">L31/1000</f>
        <v>987000</v>
      </c>
      <c r="E31" s="52">
        <f t="shared" ref="E31:E35" si="25">C31-D31</f>
        <v>0</v>
      </c>
      <c r="F31" s="52">
        <f t="shared" ref="F31:F35" si="26">(100*E31)/D31</f>
        <v>0</v>
      </c>
      <c r="G31" s="159">
        <v>987000000000</v>
      </c>
      <c r="H31" s="26">
        <f t="shared" ref="H31:H35" si="27">P31/1000</f>
        <v>987000000000</v>
      </c>
      <c r="I31" s="52">
        <f t="shared" ref="I31:I35" si="28">G31-H31</f>
        <v>0</v>
      </c>
      <c r="J31" s="52">
        <f t="shared" ref="J31:J35" si="29">(100*I31)/H31</f>
        <v>0</v>
      </c>
      <c r="K31" s="159">
        <v>987000000</v>
      </c>
      <c r="L31" s="123">
        <f t="shared" ref="L31:L35" si="30">B31*1000000</f>
        <v>987000000</v>
      </c>
      <c r="M31" s="52">
        <f t="shared" ref="M31:M35" si="31">K31-L31</f>
        <v>0</v>
      </c>
      <c r="N31" s="118">
        <f t="shared" ref="N31:N35" si="32">(100*M31)/L31</f>
        <v>0</v>
      </c>
      <c r="O31" s="159">
        <v>987000000000000</v>
      </c>
      <c r="P31" s="123">
        <f t="shared" ref="P31:P35" si="33">L31*1000000</f>
        <v>987000000000000</v>
      </c>
      <c r="Q31" s="52">
        <f t="shared" ref="Q31:Q35" si="34">O31-P31</f>
        <v>0</v>
      </c>
      <c r="R31" s="153">
        <f t="shared" ref="R31:R35" si="35">(100*Q31)/P31</f>
        <v>0</v>
      </c>
    </row>
    <row r="32" spans="2:18" x14ac:dyDescent="0.25">
      <c r="B32" s="47">
        <v>5987</v>
      </c>
      <c r="C32" s="159">
        <v>5987000</v>
      </c>
      <c r="D32" s="123">
        <f t="shared" si="24"/>
        <v>5987000</v>
      </c>
      <c r="E32" s="52">
        <f t="shared" si="25"/>
        <v>0</v>
      </c>
      <c r="F32" s="52">
        <f t="shared" si="26"/>
        <v>0</v>
      </c>
      <c r="G32" s="159">
        <v>5987000000000</v>
      </c>
      <c r="H32" s="26">
        <f t="shared" si="27"/>
        <v>5987000000000</v>
      </c>
      <c r="I32" s="52">
        <f t="shared" si="28"/>
        <v>0</v>
      </c>
      <c r="J32" s="52">
        <f t="shared" si="29"/>
        <v>0</v>
      </c>
      <c r="K32" s="159">
        <v>5987000000</v>
      </c>
      <c r="L32" s="123">
        <f t="shared" si="30"/>
        <v>5987000000</v>
      </c>
      <c r="M32" s="52">
        <f t="shared" si="31"/>
        <v>0</v>
      </c>
      <c r="N32" s="118">
        <f t="shared" si="32"/>
        <v>0</v>
      </c>
      <c r="O32" s="159">
        <v>5987000000000000</v>
      </c>
      <c r="P32" s="123">
        <f t="shared" si="33"/>
        <v>5987000000000000</v>
      </c>
      <c r="Q32" s="52">
        <f t="shared" si="34"/>
        <v>0</v>
      </c>
      <c r="R32" s="153">
        <f t="shared" si="35"/>
        <v>0</v>
      </c>
    </row>
    <row r="33" spans="2:18" x14ac:dyDescent="0.25">
      <c r="B33" s="47">
        <v>4455667788</v>
      </c>
      <c r="C33" s="159">
        <v>4455667788000</v>
      </c>
      <c r="D33" s="123">
        <f t="shared" si="24"/>
        <v>4455667788000</v>
      </c>
      <c r="E33" s="52">
        <f t="shared" si="25"/>
        <v>0</v>
      </c>
      <c r="F33" s="52">
        <f t="shared" si="26"/>
        <v>0</v>
      </c>
      <c r="G33" s="159">
        <v>4.455667788E+18</v>
      </c>
      <c r="H33" s="26">
        <f t="shared" si="27"/>
        <v>4.455667788E+18</v>
      </c>
      <c r="I33" s="52">
        <f t="shared" si="28"/>
        <v>0</v>
      </c>
      <c r="J33" s="52">
        <f t="shared" si="29"/>
        <v>0</v>
      </c>
      <c r="K33" s="159">
        <v>4455667788000000</v>
      </c>
      <c r="L33" s="123">
        <f t="shared" si="30"/>
        <v>4455667788000000</v>
      </c>
      <c r="M33" s="52">
        <f t="shared" si="31"/>
        <v>0</v>
      </c>
      <c r="N33" s="118">
        <f t="shared" si="32"/>
        <v>0</v>
      </c>
      <c r="O33" s="159">
        <v>4.4556679999999999E+21</v>
      </c>
      <c r="P33" s="123">
        <f t="shared" si="33"/>
        <v>4.455667788E+21</v>
      </c>
      <c r="Q33" s="52">
        <f t="shared" si="34"/>
        <v>211999999918080</v>
      </c>
      <c r="R33" s="153">
        <f t="shared" si="35"/>
        <v>4.7579848858803655E-6</v>
      </c>
    </row>
    <row r="34" spans="2:18" x14ac:dyDescent="0.25">
      <c r="B34" s="47">
        <v>-654</v>
      </c>
      <c r="C34" s="159">
        <v>-654000</v>
      </c>
      <c r="D34" s="123">
        <f t="shared" si="24"/>
        <v>-654000</v>
      </c>
      <c r="E34" s="52">
        <f t="shared" si="25"/>
        <v>0</v>
      </c>
      <c r="F34" s="52">
        <f t="shared" si="26"/>
        <v>0</v>
      </c>
      <c r="G34" s="159">
        <v>-654000000000</v>
      </c>
      <c r="H34" s="26">
        <f t="shared" si="27"/>
        <v>-654000000000</v>
      </c>
      <c r="I34" s="52">
        <f t="shared" si="28"/>
        <v>0</v>
      </c>
      <c r="J34" s="52">
        <f t="shared" si="29"/>
        <v>0</v>
      </c>
      <c r="K34" s="159">
        <v>-654000000</v>
      </c>
      <c r="L34" s="123">
        <f t="shared" si="30"/>
        <v>-654000000</v>
      </c>
      <c r="M34" s="52">
        <f t="shared" si="31"/>
        <v>0</v>
      </c>
      <c r="N34" s="118">
        <f t="shared" si="32"/>
        <v>0</v>
      </c>
      <c r="O34" s="159">
        <v>-654000000000000</v>
      </c>
      <c r="P34" s="123">
        <f t="shared" si="33"/>
        <v>-654000000000000</v>
      </c>
      <c r="Q34" s="52">
        <f t="shared" si="34"/>
        <v>0</v>
      </c>
      <c r="R34" s="153">
        <f t="shared" si="35"/>
        <v>0</v>
      </c>
    </row>
    <row r="35" spans="2:18" ht="15.75" thickBot="1" x14ac:dyDescent="0.3">
      <c r="B35" s="74">
        <v>0.65469999999999995</v>
      </c>
      <c r="C35" s="156">
        <v>654.70000000000005</v>
      </c>
      <c r="D35" s="59">
        <f t="shared" si="24"/>
        <v>654.70000000000005</v>
      </c>
      <c r="E35" s="57">
        <f t="shared" si="25"/>
        <v>0</v>
      </c>
      <c r="F35" s="57">
        <f t="shared" si="26"/>
        <v>0</v>
      </c>
      <c r="G35" s="156">
        <v>654700000</v>
      </c>
      <c r="H35" s="59">
        <f t="shared" si="27"/>
        <v>654700000</v>
      </c>
      <c r="I35" s="57">
        <f t="shared" si="28"/>
        <v>0</v>
      </c>
      <c r="J35" s="57">
        <f t="shared" si="29"/>
        <v>0</v>
      </c>
      <c r="K35" s="156">
        <v>654700</v>
      </c>
      <c r="L35" s="59">
        <f t="shared" si="30"/>
        <v>654700</v>
      </c>
      <c r="M35" s="57">
        <f t="shared" si="31"/>
        <v>0</v>
      </c>
      <c r="N35" s="119">
        <f t="shared" si="32"/>
        <v>0</v>
      </c>
      <c r="O35" s="156">
        <v>654700000000</v>
      </c>
      <c r="P35" s="59">
        <f t="shared" si="33"/>
        <v>654700000000</v>
      </c>
      <c r="Q35" s="57">
        <f t="shared" si="34"/>
        <v>0</v>
      </c>
      <c r="R35" s="163">
        <f t="shared" si="35"/>
        <v>0</v>
      </c>
    </row>
    <row r="36" spans="2:18" ht="15.75" thickBot="1" x14ac:dyDescent="0.3">
      <c r="C36" s="165"/>
      <c r="D36" s="165"/>
      <c r="E36" s="164"/>
      <c r="F36" s="164"/>
      <c r="G36" s="165"/>
      <c r="H36" s="165"/>
      <c r="I36" s="164"/>
      <c r="J36" s="164"/>
      <c r="K36" s="165"/>
      <c r="L36" s="165"/>
      <c r="M36" s="164"/>
      <c r="N36" s="164"/>
      <c r="O36" s="165"/>
      <c r="P36" s="165"/>
      <c r="Q36" s="164"/>
      <c r="R36" s="164"/>
    </row>
    <row r="37" spans="2:18" x14ac:dyDescent="0.25">
      <c r="B37" s="341" t="s">
        <v>10</v>
      </c>
      <c r="C37" s="166" t="s">
        <v>14</v>
      </c>
      <c r="D37" s="168" t="s">
        <v>14</v>
      </c>
      <c r="E37" s="343" t="s">
        <v>354</v>
      </c>
      <c r="F37" s="352" t="s">
        <v>355</v>
      </c>
      <c r="G37" s="166" t="s">
        <v>14</v>
      </c>
      <c r="H37" s="168" t="s">
        <v>14</v>
      </c>
      <c r="I37" s="343" t="s">
        <v>354</v>
      </c>
      <c r="J37" s="352" t="s">
        <v>355</v>
      </c>
      <c r="K37" s="166" t="s">
        <v>14</v>
      </c>
      <c r="L37" s="168" t="s">
        <v>14</v>
      </c>
      <c r="M37" s="343" t="s">
        <v>354</v>
      </c>
      <c r="N37" s="357" t="s">
        <v>355</v>
      </c>
      <c r="O37" s="166" t="s">
        <v>14</v>
      </c>
      <c r="P37" s="168" t="s">
        <v>14</v>
      </c>
      <c r="Q37" s="343" t="s">
        <v>354</v>
      </c>
      <c r="R37" s="357" t="s">
        <v>355</v>
      </c>
    </row>
    <row r="38" spans="2:18" ht="15.75" thickBot="1" x14ac:dyDescent="0.3">
      <c r="B38" s="342"/>
      <c r="C38" s="167" t="s">
        <v>290</v>
      </c>
      <c r="D38" s="169" t="s">
        <v>291</v>
      </c>
      <c r="E38" s="344"/>
      <c r="F38" s="353"/>
      <c r="G38" s="167" t="s">
        <v>290</v>
      </c>
      <c r="H38" s="169" t="s">
        <v>291</v>
      </c>
      <c r="I38" s="344"/>
      <c r="J38" s="353"/>
      <c r="K38" s="167" t="s">
        <v>290</v>
      </c>
      <c r="L38" s="169" t="s">
        <v>291</v>
      </c>
      <c r="M38" s="344"/>
      <c r="N38" s="358"/>
      <c r="O38" s="167" t="s">
        <v>290</v>
      </c>
      <c r="P38" s="169" t="s">
        <v>291</v>
      </c>
      <c r="Q38" s="344"/>
      <c r="R38" s="358"/>
    </row>
    <row r="39" spans="2:18" ht="15.75" thickBot="1" x14ac:dyDescent="0.3">
      <c r="B39" s="346" t="s">
        <v>403</v>
      </c>
      <c r="C39" s="363" t="s">
        <v>400</v>
      </c>
      <c r="D39" s="177" t="s">
        <v>400</v>
      </c>
      <c r="E39" s="344"/>
      <c r="F39" s="354"/>
      <c r="G39" s="363" t="s">
        <v>401</v>
      </c>
      <c r="H39" s="177" t="s">
        <v>401</v>
      </c>
      <c r="I39" s="344"/>
      <c r="J39" s="354"/>
      <c r="K39" s="363" t="s">
        <v>402</v>
      </c>
      <c r="L39" s="177" t="s">
        <v>402</v>
      </c>
      <c r="M39" s="344"/>
      <c r="N39" s="358"/>
      <c r="O39" s="363" t="s">
        <v>404</v>
      </c>
      <c r="P39" s="177" t="s">
        <v>404</v>
      </c>
      <c r="Q39" s="344"/>
      <c r="R39" s="358"/>
    </row>
    <row r="40" spans="2:18" ht="15.75" thickBot="1" x14ac:dyDescent="0.3">
      <c r="B40" s="347"/>
      <c r="C40" s="364"/>
      <c r="D40" s="178" t="s">
        <v>417</v>
      </c>
      <c r="E40" s="345"/>
      <c r="F40" s="345"/>
      <c r="G40" s="364"/>
      <c r="H40" s="178" t="s">
        <v>418</v>
      </c>
      <c r="I40" s="345"/>
      <c r="J40" s="345"/>
      <c r="K40" s="364"/>
      <c r="L40" s="178" t="s">
        <v>419</v>
      </c>
      <c r="M40" s="345"/>
      <c r="N40" s="359"/>
      <c r="O40" s="365"/>
      <c r="P40" s="179" t="s">
        <v>420</v>
      </c>
      <c r="Q40" s="345"/>
      <c r="R40" s="359"/>
    </row>
    <row r="41" spans="2:18" x14ac:dyDescent="0.25">
      <c r="B41" s="44">
        <v>1</v>
      </c>
      <c r="C41" s="154">
        <v>1E-3</v>
      </c>
      <c r="D41" s="123">
        <f>B41/1000</f>
        <v>1E-3</v>
      </c>
      <c r="E41" s="54">
        <f>C41-D41</f>
        <v>0</v>
      </c>
      <c r="F41" s="54">
        <f>(100*E41)/D41</f>
        <v>0</v>
      </c>
      <c r="G41" s="154">
        <v>1000</v>
      </c>
      <c r="H41" s="123">
        <f>B41*1000</f>
        <v>1000</v>
      </c>
      <c r="I41" s="54">
        <f>G41-H41</f>
        <v>0</v>
      </c>
      <c r="J41" s="54">
        <f>(100*I41)/H41</f>
        <v>0</v>
      </c>
      <c r="K41" s="154">
        <v>9.9999999999999995E-7</v>
      </c>
      <c r="L41" s="123">
        <f>B41/1000000</f>
        <v>9.9999999999999995E-7</v>
      </c>
      <c r="M41" s="54">
        <f>K41-L41</f>
        <v>0</v>
      </c>
      <c r="N41" s="117">
        <f>(100*M41)/L41</f>
        <v>0</v>
      </c>
      <c r="O41" s="183">
        <v>1000000</v>
      </c>
      <c r="P41" s="123">
        <f>B41*1000000</f>
        <v>1000000</v>
      </c>
      <c r="Q41" s="54">
        <f>O41-P41</f>
        <v>0</v>
      </c>
      <c r="R41" s="162">
        <f>(100*Q41)/P41</f>
        <v>0</v>
      </c>
    </row>
    <row r="42" spans="2:18" x14ac:dyDescent="0.25">
      <c r="B42" s="47">
        <v>987</v>
      </c>
      <c r="C42" s="159">
        <v>0.98699999999999999</v>
      </c>
      <c r="D42" s="123">
        <f t="shared" ref="D42:D46" si="36">B42/1000</f>
        <v>0.98699999999999999</v>
      </c>
      <c r="E42" s="52">
        <f t="shared" ref="E42:E46" si="37">C42-D42</f>
        <v>0</v>
      </c>
      <c r="F42" s="52">
        <f t="shared" ref="F42:F46" si="38">(100*E42)/D42</f>
        <v>0</v>
      </c>
      <c r="G42" s="159">
        <v>987000</v>
      </c>
      <c r="H42" s="123">
        <f t="shared" ref="H42:H46" si="39">B42*1000</f>
        <v>987000</v>
      </c>
      <c r="I42" s="52">
        <f t="shared" ref="I42:I46" si="40">G42-H42</f>
        <v>0</v>
      </c>
      <c r="J42" s="52">
        <f t="shared" ref="J42:J46" si="41">(100*I42)/H42</f>
        <v>0</v>
      </c>
      <c r="K42" s="159">
        <v>9.8700000000000003E-4</v>
      </c>
      <c r="L42" s="123">
        <f t="shared" ref="L42:L46" si="42">B42/1000000</f>
        <v>9.8700000000000003E-4</v>
      </c>
      <c r="M42" s="52">
        <f t="shared" ref="M42:M46" si="43">K42-L42</f>
        <v>0</v>
      </c>
      <c r="N42" s="118">
        <f t="shared" ref="N42:N46" si="44">(100*M42)/L42</f>
        <v>0</v>
      </c>
      <c r="O42" s="159">
        <v>987000000</v>
      </c>
      <c r="P42" s="123">
        <f t="shared" ref="P42:P46" si="45">B42*1000000</f>
        <v>987000000</v>
      </c>
      <c r="Q42" s="52">
        <f t="shared" ref="Q42:Q46" si="46">O42-P42</f>
        <v>0</v>
      </c>
      <c r="R42" s="153">
        <f t="shared" ref="R42:R46" si="47">(100*Q42)/P42</f>
        <v>0</v>
      </c>
    </row>
    <row r="43" spans="2:18" x14ac:dyDescent="0.25">
      <c r="B43" s="47">
        <v>5987</v>
      </c>
      <c r="C43" s="159">
        <v>5.9870000000000001</v>
      </c>
      <c r="D43" s="123">
        <f t="shared" si="36"/>
        <v>5.9870000000000001</v>
      </c>
      <c r="E43" s="52">
        <f t="shared" si="37"/>
        <v>0</v>
      </c>
      <c r="F43" s="52">
        <f t="shared" si="38"/>
        <v>0</v>
      </c>
      <c r="G43" s="159">
        <v>5987000</v>
      </c>
      <c r="H43" s="123">
        <f t="shared" si="39"/>
        <v>5987000</v>
      </c>
      <c r="I43" s="52">
        <f t="shared" si="40"/>
        <v>0</v>
      </c>
      <c r="J43" s="52">
        <f t="shared" si="41"/>
        <v>0</v>
      </c>
      <c r="K43" s="159">
        <v>5.9870000000000001E-3</v>
      </c>
      <c r="L43" s="123">
        <f t="shared" si="42"/>
        <v>5.9870000000000001E-3</v>
      </c>
      <c r="M43" s="52">
        <f t="shared" si="43"/>
        <v>0</v>
      </c>
      <c r="N43" s="118">
        <f t="shared" si="44"/>
        <v>0</v>
      </c>
      <c r="O43" s="159">
        <v>5987000000</v>
      </c>
      <c r="P43" s="123">
        <f t="shared" si="45"/>
        <v>5987000000</v>
      </c>
      <c r="Q43" s="52">
        <f t="shared" si="46"/>
        <v>0</v>
      </c>
      <c r="R43" s="153">
        <f t="shared" si="47"/>
        <v>0</v>
      </c>
    </row>
    <row r="44" spans="2:18" x14ac:dyDescent="0.25">
      <c r="B44" s="47">
        <v>4455667788</v>
      </c>
      <c r="C44" s="159">
        <v>4455668</v>
      </c>
      <c r="D44" s="123">
        <f t="shared" si="36"/>
        <v>4455667.7879999997</v>
      </c>
      <c r="E44" s="52">
        <f t="shared" si="37"/>
        <v>0.21200000029057264</v>
      </c>
      <c r="F44" s="52">
        <f t="shared" si="38"/>
        <v>4.7579848942403393E-6</v>
      </c>
      <c r="G44" s="159">
        <v>4455667788000</v>
      </c>
      <c r="H44" s="123">
        <f t="shared" si="39"/>
        <v>4455667788000</v>
      </c>
      <c r="I44" s="52">
        <f t="shared" si="40"/>
        <v>0</v>
      </c>
      <c r="J44" s="52">
        <f t="shared" si="41"/>
        <v>0</v>
      </c>
      <c r="K44" s="159">
        <v>4455.67</v>
      </c>
      <c r="L44" s="123">
        <f t="shared" si="42"/>
        <v>4455.6677879999997</v>
      </c>
      <c r="M44" s="52">
        <f t="shared" si="43"/>
        <v>2.2120000003269524E-3</v>
      </c>
      <c r="N44" s="118">
        <f t="shared" si="44"/>
        <v>4.9644634779197604E-5</v>
      </c>
      <c r="O44" s="159">
        <v>4455667788000000</v>
      </c>
      <c r="P44" s="123">
        <f t="shared" si="45"/>
        <v>4455667788000000</v>
      </c>
      <c r="Q44" s="52">
        <f t="shared" si="46"/>
        <v>0</v>
      </c>
      <c r="R44" s="153">
        <f t="shared" si="47"/>
        <v>0</v>
      </c>
    </row>
    <row r="45" spans="2:18" x14ac:dyDescent="0.25">
      <c r="B45" s="47">
        <v>-654</v>
      </c>
      <c r="C45" s="159">
        <v>-0.65400000000000003</v>
      </c>
      <c r="D45" s="123">
        <f t="shared" si="36"/>
        <v>-0.65400000000000003</v>
      </c>
      <c r="E45" s="52">
        <f t="shared" si="37"/>
        <v>0</v>
      </c>
      <c r="F45" s="52">
        <f t="shared" si="38"/>
        <v>0</v>
      </c>
      <c r="G45" s="159">
        <v>-654000</v>
      </c>
      <c r="H45" s="123">
        <f t="shared" si="39"/>
        <v>-654000</v>
      </c>
      <c r="I45" s="52">
        <f t="shared" si="40"/>
        <v>0</v>
      </c>
      <c r="J45" s="52">
        <f t="shared" si="41"/>
        <v>0</v>
      </c>
      <c r="K45" s="159">
        <v>-6.5399999999999996E-4</v>
      </c>
      <c r="L45" s="123">
        <f t="shared" si="42"/>
        <v>-6.5399999999999996E-4</v>
      </c>
      <c r="M45" s="52">
        <f t="shared" si="43"/>
        <v>0</v>
      </c>
      <c r="N45" s="118">
        <f t="shared" si="44"/>
        <v>0</v>
      </c>
      <c r="O45" s="159">
        <v>-654000000</v>
      </c>
      <c r="P45" s="123">
        <f t="shared" si="45"/>
        <v>-654000000</v>
      </c>
      <c r="Q45" s="52">
        <f t="shared" si="46"/>
        <v>0</v>
      </c>
      <c r="R45" s="153">
        <f t="shared" si="47"/>
        <v>0</v>
      </c>
    </row>
    <row r="46" spans="2:18" ht="15.75" thickBot="1" x14ac:dyDescent="0.3">
      <c r="B46" s="74">
        <v>0.65469999999999995</v>
      </c>
      <c r="C46" s="156">
        <v>6.5470000000000003E-4</v>
      </c>
      <c r="D46" s="59">
        <f t="shared" si="36"/>
        <v>6.5469999999999992E-4</v>
      </c>
      <c r="E46" s="57">
        <f t="shared" si="37"/>
        <v>0</v>
      </c>
      <c r="F46" s="57">
        <f t="shared" si="38"/>
        <v>0</v>
      </c>
      <c r="G46" s="156">
        <v>654.70000000000005</v>
      </c>
      <c r="H46" s="59">
        <f t="shared" si="39"/>
        <v>654.69999999999993</v>
      </c>
      <c r="I46" s="57">
        <f t="shared" si="40"/>
        <v>0</v>
      </c>
      <c r="J46" s="57">
        <f t="shared" si="41"/>
        <v>0</v>
      </c>
      <c r="K46" s="156">
        <v>6.5469999999999995E-7</v>
      </c>
      <c r="L46" s="59">
        <f t="shared" si="42"/>
        <v>6.5469999999999995E-7</v>
      </c>
      <c r="M46" s="57">
        <f t="shared" si="43"/>
        <v>0</v>
      </c>
      <c r="N46" s="119">
        <f t="shared" si="44"/>
        <v>0</v>
      </c>
      <c r="O46" s="156">
        <v>654700</v>
      </c>
      <c r="P46" s="59">
        <f t="shared" si="45"/>
        <v>654700</v>
      </c>
      <c r="Q46" s="57">
        <f t="shared" si="46"/>
        <v>0</v>
      </c>
      <c r="R46" s="163">
        <f t="shared" si="47"/>
        <v>0</v>
      </c>
    </row>
    <row r="47" spans="2:18" ht="15.75" thickBot="1" x14ac:dyDescent="0.3">
      <c r="C47" s="165"/>
      <c r="D47" s="165"/>
      <c r="E47" s="180"/>
      <c r="F47" s="180"/>
      <c r="G47" s="181"/>
      <c r="H47" s="165"/>
      <c r="I47" s="164"/>
      <c r="J47" s="164"/>
      <c r="K47" s="165"/>
      <c r="L47" s="165"/>
      <c r="M47" s="164"/>
      <c r="N47" s="164"/>
      <c r="O47" s="165"/>
      <c r="P47" s="165"/>
      <c r="Q47" s="164"/>
      <c r="R47" s="164"/>
    </row>
    <row r="48" spans="2:18" x14ac:dyDescent="0.25">
      <c r="B48" s="341" t="s">
        <v>10</v>
      </c>
      <c r="C48" s="166" t="s">
        <v>14</v>
      </c>
      <c r="D48" s="168" t="s">
        <v>14</v>
      </c>
      <c r="E48" s="343" t="s">
        <v>354</v>
      </c>
      <c r="F48" s="352" t="s">
        <v>355</v>
      </c>
      <c r="G48" s="166" t="s">
        <v>14</v>
      </c>
      <c r="H48" s="168" t="s">
        <v>14</v>
      </c>
      <c r="I48" s="343" t="s">
        <v>354</v>
      </c>
      <c r="J48" s="352" t="s">
        <v>355</v>
      </c>
      <c r="K48" s="166" t="s">
        <v>14</v>
      </c>
      <c r="L48" s="168" t="s">
        <v>14</v>
      </c>
      <c r="M48" s="343" t="s">
        <v>354</v>
      </c>
      <c r="N48" s="357" t="s">
        <v>355</v>
      </c>
      <c r="O48" s="166" t="s">
        <v>14</v>
      </c>
      <c r="P48" s="168" t="s">
        <v>14</v>
      </c>
      <c r="Q48" s="343" t="s">
        <v>354</v>
      </c>
      <c r="R48" s="357" t="s">
        <v>355</v>
      </c>
    </row>
    <row r="49" spans="2:18" ht="15.75" thickBot="1" x14ac:dyDescent="0.3">
      <c r="B49" s="342"/>
      <c r="C49" s="167" t="s">
        <v>290</v>
      </c>
      <c r="D49" s="169" t="s">
        <v>291</v>
      </c>
      <c r="E49" s="344"/>
      <c r="F49" s="353"/>
      <c r="G49" s="167" t="s">
        <v>290</v>
      </c>
      <c r="H49" s="169" t="s">
        <v>291</v>
      </c>
      <c r="I49" s="344"/>
      <c r="J49" s="353"/>
      <c r="K49" s="167" t="s">
        <v>290</v>
      </c>
      <c r="L49" s="169" t="s">
        <v>291</v>
      </c>
      <c r="M49" s="344"/>
      <c r="N49" s="358"/>
      <c r="O49" s="167" t="s">
        <v>290</v>
      </c>
      <c r="P49" s="169" t="s">
        <v>291</v>
      </c>
      <c r="Q49" s="344"/>
      <c r="R49" s="358"/>
    </row>
    <row r="50" spans="2:18" ht="15.75" thickBot="1" x14ac:dyDescent="0.3">
      <c r="B50" s="346" t="s">
        <v>404</v>
      </c>
      <c r="C50" s="363" t="s">
        <v>400</v>
      </c>
      <c r="D50" s="177" t="s">
        <v>400</v>
      </c>
      <c r="E50" s="344"/>
      <c r="F50" s="354"/>
      <c r="G50" s="363" t="s">
        <v>401</v>
      </c>
      <c r="H50" s="177" t="s">
        <v>401</v>
      </c>
      <c r="I50" s="344"/>
      <c r="J50" s="354"/>
      <c r="K50" s="363" t="s">
        <v>402</v>
      </c>
      <c r="L50" s="177" t="s">
        <v>402</v>
      </c>
      <c r="M50" s="344"/>
      <c r="N50" s="358"/>
      <c r="O50" s="363" t="s">
        <v>403</v>
      </c>
      <c r="P50" s="177" t="s">
        <v>403</v>
      </c>
      <c r="Q50" s="344"/>
      <c r="R50" s="358"/>
    </row>
    <row r="51" spans="2:18" ht="30.75" thickBot="1" x14ac:dyDescent="0.3">
      <c r="B51" s="347"/>
      <c r="C51" s="364"/>
      <c r="D51" s="179" t="s">
        <v>422</v>
      </c>
      <c r="E51" s="345"/>
      <c r="F51" s="345"/>
      <c r="G51" s="364"/>
      <c r="H51" s="179" t="s">
        <v>424</v>
      </c>
      <c r="I51" s="345"/>
      <c r="J51" s="345"/>
      <c r="K51" s="364"/>
      <c r="L51" s="179" t="s">
        <v>423</v>
      </c>
      <c r="M51" s="345"/>
      <c r="N51" s="359"/>
      <c r="O51" s="364"/>
      <c r="P51" s="179" t="s">
        <v>421</v>
      </c>
      <c r="Q51" s="345"/>
      <c r="R51" s="359"/>
    </row>
    <row r="52" spans="2:18" x14ac:dyDescent="0.25">
      <c r="B52" s="44">
        <v>1</v>
      </c>
      <c r="C52" s="154">
        <v>1.0000000000000001E-9</v>
      </c>
      <c r="D52" s="123">
        <f>P52/1000</f>
        <v>9.9999999999999986E-10</v>
      </c>
      <c r="E52" s="54">
        <f>C52-D52</f>
        <v>0</v>
      </c>
      <c r="F52" s="54">
        <f>(100*E52)/D52</f>
        <v>0</v>
      </c>
      <c r="G52" s="154">
        <v>1E-3</v>
      </c>
      <c r="H52" s="123">
        <f>P52*1000</f>
        <v>1E-3</v>
      </c>
      <c r="I52" s="54">
        <f>G52-H52</f>
        <v>0</v>
      </c>
      <c r="J52" s="54">
        <f>(100*I52)/H52</f>
        <v>0</v>
      </c>
      <c r="K52" s="154">
        <v>9.9999999999999998E-13</v>
      </c>
      <c r="L52" s="123">
        <f>P52/1000000</f>
        <v>9.9999999999999998E-13</v>
      </c>
      <c r="M52" s="54">
        <f>K52-L52</f>
        <v>0</v>
      </c>
      <c r="N52" s="117">
        <f>(100*M52)/L52</f>
        <v>0</v>
      </c>
      <c r="O52" s="154">
        <v>9.9999999999999995E-7</v>
      </c>
      <c r="P52" s="123">
        <f>B52/1000000</f>
        <v>9.9999999999999995E-7</v>
      </c>
      <c r="Q52" s="54">
        <f>O52-P52</f>
        <v>0</v>
      </c>
      <c r="R52" s="162">
        <f>(100*Q52)/P52</f>
        <v>0</v>
      </c>
    </row>
    <row r="53" spans="2:18" x14ac:dyDescent="0.25">
      <c r="B53" s="47">
        <v>987</v>
      </c>
      <c r="C53" s="159">
        <v>9.8700000000000004E-7</v>
      </c>
      <c r="D53" s="123">
        <f t="shared" ref="D53:D57" si="48">P53/1000</f>
        <v>9.8700000000000004E-7</v>
      </c>
      <c r="E53" s="52">
        <f t="shared" ref="E53:E57" si="49">C53-D53</f>
        <v>0</v>
      </c>
      <c r="F53" s="52">
        <f t="shared" ref="F53:F57" si="50">(100*E53)/D53</f>
        <v>0</v>
      </c>
      <c r="G53" s="159">
        <v>0.98699999999999999</v>
      </c>
      <c r="H53" s="123">
        <f t="shared" ref="H53:H57" si="51">P53*1000</f>
        <v>0.98699999999999999</v>
      </c>
      <c r="I53" s="52">
        <f t="shared" ref="I53:I57" si="52">G53-H53</f>
        <v>0</v>
      </c>
      <c r="J53" s="52">
        <f t="shared" ref="J53:J57" si="53">(100*I53)/H53</f>
        <v>0</v>
      </c>
      <c r="K53" s="159">
        <v>9.87E-10</v>
      </c>
      <c r="L53" s="123">
        <f t="shared" ref="L53:L56" si="54">P53/1000000</f>
        <v>9.87E-10</v>
      </c>
      <c r="M53" s="52">
        <f t="shared" ref="M53:M57" si="55">K53-L53</f>
        <v>0</v>
      </c>
      <c r="N53" s="118">
        <f t="shared" ref="N53:N57" si="56">(100*M53)/L53</f>
        <v>0</v>
      </c>
      <c r="O53" s="159">
        <v>9.8700000000000003E-4</v>
      </c>
      <c r="P53" s="123">
        <f t="shared" ref="P53:P57" si="57">B53/1000000</f>
        <v>9.8700000000000003E-4</v>
      </c>
      <c r="Q53" s="52">
        <f t="shared" ref="Q53:Q57" si="58">O53-P53</f>
        <v>0</v>
      </c>
      <c r="R53" s="153">
        <f t="shared" ref="R53:R57" si="59">(100*Q53)/P53</f>
        <v>0</v>
      </c>
    </row>
    <row r="54" spans="2:18" x14ac:dyDescent="0.25">
      <c r="B54" s="47">
        <v>5987</v>
      </c>
      <c r="C54" s="159">
        <v>5.9869999999999996E-6</v>
      </c>
      <c r="D54" s="123">
        <f t="shared" si="48"/>
        <v>5.9870000000000004E-6</v>
      </c>
      <c r="E54" s="52">
        <f t="shared" si="49"/>
        <v>0</v>
      </c>
      <c r="F54" s="52">
        <f t="shared" si="50"/>
        <v>0</v>
      </c>
      <c r="G54" s="159">
        <v>5.9870000000000001</v>
      </c>
      <c r="H54" s="123">
        <f t="shared" si="51"/>
        <v>5.9870000000000001</v>
      </c>
      <c r="I54" s="52">
        <f t="shared" si="52"/>
        <v>0</v>
      </c>
      <c r="J54" s="52">
        <f t="shared" si="53"/>
        <v>0</v>
      </c>
      <c r="K54" s="159">
        <v>5.9870000000000001E-9</v>
      </c>
      <c r="L54" s="123">
        <f t="shared" si="54"/>
        <v>5.9870000000000001E-9</v>
      </c>
      <c r="M54" s="52">
        <f t="shared" si="55"/>
        <v>0</v>
      </c>
      <c r="N54" s="118">
        <f t="shared" si="56"/>
        <v>0</v>
      </c>
      <c r="O54" s="159">
        <v>5.9870000000000001E-3</v>
      </c>
      <c r="P54" s="123">
        <f t="shared" si="57"/>
        <v>5.9870000000000001E-3</v>
      </c>
      <c r="Q54" s="52">
        <f t="shared" si="58"/>
        <v>0</v>
      </c>
      <c r="R54" s="153">
        <f t="shared" si="59"/>
        <v>0</v>
      </c>
    </row>
    <row r="55" spans="2:18" x14ac:dyDescent="0.25">
      <c r="B55" s="47">
        <v>4455667788</v>
      </c>
      <c r="C55" s="159">
        <v>4.4556699999999996</v>
      </c>
      <c r="D55" s="123">
        <f t="shared" si="48"/>
        <v>4.4556677879999995</v>
      </c>
      <c r="E55" s="52">
        <f t="shared" si="49"/>
        <v>2.2120000000569462E-6</v>
      </c>
      <c r="F55" s="52">
        <f t="shared" si="50"/>
        <v>4.9644634773137768E-5</v>
      </c>
      <c r="G55" s="159">
        <v>4455668</v>
      </c>
      <c r="H55" s="123">
        <f t="shared" si="51"/>
        <v>4455667.7879999997</v>
      </c>
      <c r="I55" s="52">
        <f t="shared" si="52"/>
        <v>0.21200000029057264</v>
      </c>
      <c r="J55" s="52">
        <f t="shared" si="53"/>
        <v>4.7579848942403393E-6</v>
      </c>
      <c r="K55" s="159">
        <v>4.4556700000000001E-3</v>
      </c>
      <c r="L55" s="123">
        <f t="shared" si="54"/>
        <v>4.4556677879999994E-3</v>
      </c>
      <c r="M55" s="52">
        <f t="shared" si="55"/>
        <v>2.2120000007022633E-9</v>
      </c>
      <c r="N55" s="118">
        <f t="shared" si="56"/>
        <v>4.9644634787620832E-5</v>
      </c>
      <c r="O55" s="159">
        <v>4455.67</v>
      </c>
      <c r="P55" s="123">
        <f t="shared" si="57"/>
        <v>4455.6677879999997</v>
      </c>
      <c r="Q55" s="52">
        <f t="shared" si="58"/>
        <v>2.2120000003269524E-3</v>
      </c>
      <c r="R55" s="153">
        <f t="shared" si="59"/>
        <v>4.9644634779197604E-5</v>
      </c>
    </row>
    <row r="56" spans="2:18" x14ac:dyDescent="0.25">
      <c r="B56" s="47">
        <v>-654</v>
      </c>
      <c r="C56" s="159">
        <v>-6.5400000000000001E-7</v>
      </c>
      <c r="D56" s="123">
        <f t="shared" si="48"/>
        <v>-6.5400000000000001E-7</v>
      </c>
      <c r="E56" s="52">
        <f t="shared" si="49"/>
        <v>0</v>
      </c>
      <c r="F56" s="52">
        <f t="shared" si="50"/>
        <v>0</v>
      </c>
      <c r="G56" s="159">
        <v>-0.65400000000000003</v>
      </c>
      <c r="H56" s="123">
        <f t="shared" si="51"/>
        <v>-0.65399999999999991</v>
      </c>
      <c r="I56" s="52">
        <f t="shared" si="52"/>
        <v>0</v>
      </c>
      <c r="J56" s="52">
        <f t="shared" si="53"/>
        <v>0</v>
      </c>
      <c r="K56" s="159">
        <v>-6.5400000000000002E-10</v>
      </c>
      <c r="L56" s="123">
        <f t="shared" si="54"/>
        <v>-6.5399999999999991E-10</v>
      </c>
      <c r="M56" s="52">
        <f t="shared" si="55"/>
        <v>0</v>
      </c>
      <c r="N56" s="118">
        <f t="shared" si="56"/>
        <v>0</v>
      </c>
      <c r="O56" s="159">
        <v>-6.5399999999999996E-4</v>
      </c>
      <c r="P56" s="123">
        <f t="shared" si="57"/>
        <v>-6.5399999999999996E-4</v>
      </c>
      <c r="Q56" s="52">
        <f t="shared" si="58"/>
        <v>0</v>
      </c>
      <c r="R56" s="153">
        <f t="shared" si="59"/>
        <v>0</v>
      </c>
    </row>
    <row r="57" spans="2:18" ht="15.75" thickBot="1" x14ac:dyDescent="0.3">
      <c r="B57" s="74">
        <v>0.65469999999999995</v>
      </c>
      <c r="C57" s="156">
        <v>6.5470000000000002E-10</v>
      </c>
      <c r="D57" s="59">
        <f t="shared" si="48"/>
        <v>6.5469999999999992E-10</v>
      </c>
      <c r="E57" s="57">
        <f t="shared" si="49"/>
        <v>0</v>
      </c>
      <c r="F57" s="57">
        <f t="shared" si="50"/>
        <v>0</v>
      </c>
      <c r="G57" s="156">
        <v>6.5470000000000003E-4</v>
      </c>
      <c r="H57" s="59">
        <f t="shared" si="51"/>
        <v>6.5469999999999992E-4</v>
      </c>
      <c r="I57" s="57">
        <f t="shared" si="52"/>
        <v>0</v>
      </c>
      <c r="J57" s="57">
        <f t="shared" si="53"/>
        <v>0</v>
      </c>
      <c r="K57" s="156">
        <v>6.5470000000000003E-13</v>
      </c>
      <c r="L57" s="59">
        <f>P57/1000000</f>
        <v>6.5469999999999993E-13</v>
      </c>
      <c r="M57" s="57">
        <f t="shared" si="55"/>
        <v>0</v>
      </c>
      <c r="N57" s="119">
        <f t="shared" si="56"/>
        <v>0</v>
      </c>
      <c r="O57" s="156">
        <v>6.5469999999999995E-7</v>
      </c>
      <c r="P57" s="59">
        <f t="shared" si="57"/>
        <v>6.5469999999999995E-7</v>
      </c>
      <c r="Q57" s="57">
        <f t="shared" si="58"/>
        <v>0</v>
      </c>
      <c r="R57" s="163">
        <f t="shared" si="59"/>
        <v>0</v>
      </c>
    </row>
  </sheetData>
  <mergeCells count="71">
    <mergeCell ref="N48:N51"/>
    <mergeCell ref="Q48:Q51"/>
    <mergeCell ref="R48:R51"/>
    <mergeCell ref="B50:B51"/>
    <mergeCell ref="C50:C51"/>
    <mergeCell ref="G50:G51"/>
    <mergeCell ref="K50:K51"/>
    <mergeCell ref="O50:O51"/>
    <mergeCell ref="B48:B49"/>
    <mergeCell ref="E48:E51"/>
    <mergeCell ref="F48:F51"/>
    <mergeCell ref="I48:I51"/>
    <mergeCell ref="J48:J51"/>
    <mergeCell ref="M48:M51"/>
    <mergeCell ref="N37:N40"/>
    <mergeCell ref="Q37:Q40"/>
    <mergeCell ref="R37:R40"/>
    <mergeCell ref="B39:B40"/>
    <mergeCell ref="C39:C40"/>
    <mergeCell ref="G39:G40"/>
    <mergeCell ref="K39:K40"/>
    <mergeCell ref="O39:O40"/>
    <mergeCell ref="B37:B38"/>
    <mergeCell ref="E37:E40"/>
    <mergeCell ref="F37:F40"/>
    <mergeCell ref="I37:I40"/>
    <mergeCell ref="J37:J40"/>
    <mergeCell ref="M37:M40"/>
    <mergeCell ref="N26:N29"/>
    <mergeCell ref="Q26:Q29"/>
    <mergeCell ref="R26:R29"/>
    <mergeCell ref="B28:B29"/>
    <mergeCell ref="C28:C29"/>
    <mergeCell ref="G28:G29"/>
    <mergeCell ref="K28:K29"/>
    <mergeCell ref="O28:O29"/>
    <mergeCell ref="B26:B27"/>
    <mergeCell ref="E26:E29"/>
    <mergeCell ref="F26:F29"/>
    <mergeCell ref="I26:I29"/>
    <mergeCell ref="J26:J29"/>
    <mergeCell ref="M26:M29"/>
    <mergeCell ref="N15:N18"/>
    <mergeCell ref="Q15:Q18"/>
    <mergeCell ref="R15:R18"/>
    <mergeCell ref="B17:B18"/>
    <mergeCell ref="C17:C18"/>
    <mergeCell ref="G17:G18"/>
    <mergeCell ref="K17:K18"/>
    <mergeCell ref="O17:O18"/>
    <mergeCell ref="B15:B16"/>
    <mergeCell ref="E15:E18"/>
    <mergeCell ref="F15:F18"/>
    <mergeCell ref="I15:I18"/>
    <mergeCell ref="J15:J18"/>
    <mergeCell ref="M15:M18"/>
    <mergeCell ref="M4:M7"/>
    <mergeCell ref="N4:N7"/>
    <mergeCell ref="Q4:Q7"/>
    <mergeCell ref="R4:R7"/>
    <mergeCell ref="B6:B7"/>
    <mergeCell ref="C6:C7"/>
    <mergeCell ref="G6:G7"/>
    <mergeCell ref="K6:K7"/>
    <mergeCell ref="O6:O7"/>
    <mergeCell ref="B1:K1"/>
    <mergeCell ref="B4:B5"/>
    <mergeCell ref="E4:E7"/>
    <mergeCell ref="F4:F7"/>
    <mergeCell ref="I4:I7"/>
    <mergeCell ref="J4:J7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R57"/>
  <sheetViews>
    <sheetView workbookViewId="0">
      <pane xSplit="2" ySplit="1" topLeftCell="M41" activePane="bottomRight" state="frozen"/>
      <selection pane="topRight" activeCell="C1" sqref="C1"/>
      <selection pane="bottomLeft" activeCell="A2" sqref="A2"/>
      <selection pane="bottomRight" activeCell="O58" sqref="O58"/>
    </sheetView>
  </sheetViews>
  <sheetFormatPr defaultRowHeight="15" x14ac:dyDescent="0.25"/>
  <cols>
    <col min="1" max="1" width="3.85546875" customWidth="1"/>
    <col min="2" max="2" width="18.85546875" customWidth="1"/>
    <col min="3" max="3" width="31.5703125" bestFit="1" customWidth="1"/>
    <col min="4" max="4" width="42" customWidth="1"/>
    <col min="5" max="5" width="29.85546875" customWidth="1"/>
    <col min="6" max="6" width="23.7109375" bestFit="1" customWidth="1"/>
    <col min="7" max="7" width="31.28515625" bestFit="1" customWidth="1"/>
    <col min="8" max="8" width="39.85546875" customWidth="1"/>
    <col min="9" max="9" width="23.140625" bestFit="1" customWidth="1"/>
    <col min="10" max="10" width="23" bestFit="1" customWidth="1"/>
    <col min="11" max="11" width="34.42578125" bestFit="1" customWidth="1"/>
    <col min="12" max="12" width="40.140625" customWidth="1"/>
    <col min="13" max="13" width="29.28515625" bestFit="1" customWidth="1"/>
    <col min="14" max="14" width="23" bestFit="1" customWidth="1"/>
    <col min="15" max="15" width="37.42578125" bestFit="1" customWidth="1"/>
    <col min="16" max="16" width="37.7109375" customWidth="1"/>
    <col min="17" max="17" width="32.28515625" customWidth="1"/>
    <col min="18" max="18" width="23" bestFit="1" customWidth="1"/>
  </cols>
  <sheetData>
    <row r="1" spans="2:18" ht="31.5" x14ac:dyDescent="0.5">
      <c r="B1" s="340" t="s">
        <v>289</v>
      </c>
      <c r="C1" s="340"/>
      <c r="D1" s="340"/>
      <c r="E1" s="340"/>
      <c r="F1" s="340"/>
      <c r="G1" s="340"/>
      <c r="H1" s="340"/>
      <c r="I1" s="340"/>
      <c r="J1" s="340"/>
      <c r="K1" s="340"/>
    </row>
    <row r="2" spans="2:18" x14ac:dyDescent="0.25">
      <c r="B2" s="70" t="s">
        <v>340</v>
      </c>
      <c r="C2" t="s">
        <v>341</v>
      </c>
      <c r="D2" t="s">
        <v>476</v>
      </c>
    </row>
    <row r="3" spans="2:18" ht="15.75" thickBot="1" x14ac:dyDescent="0.3"/>
    <row r="4" spans="2:18" x14ac:dyDescent="0.25">
      <c r="B4" s="341" t="s">
        <v>10</v>
      </c>
      <c r="C4" s="62" t="s">
        <v>14</v>
      </c>
      <c r="D4" s="65" t="s">
        <v>14</v>
      </c>
      <c r="E4" s="330" t="s">
        <v>354</v>
      </c>
      <c r="F4" s="324" t="s">
        <v>355</v>
      </c>
      <c r="G4" s="62" t="s">
        <v>14</v>
      </c>
      <c r="H4" s="65" t="s">
        <v>14</v>
      </c>
      <c r="I4" s="330" t="s">
        <v>354</v>
      </c>
      <c r="J4" s="324" t="s">
        <v>355</v>
      </c>
      <c r="K4" s="62" t="s">
        <v>14</v>
      </c>
      <c r="L4" s="65" t="s">
        <v>14</v>
      </c>
      <c r="M4" s="330" t="s">
        <v>354</v>
      </c>
      <c r="N4" s="321" t="s">
        <v>355</v>
      </c>
      <c r="O4" s="62" t="s">
        <v>14</v>
      </c>
      <c r="P4" s="65" t="s">
        <v>14</v>
      </c>
      <c r="Q4" s="330" t="s">
        <v>354</v>
      </c>
      <c r="R4" s="321" t="s">
        <v>355</v>
      </c>
    </row>
    <row r="5" spans="2:18" ht="15.75" thickBot="1" x14ac:dyDescent="0.3">
      <c r="B5" s="342"/>
      <c r="C5" s="63" t="s">
        <v>290</v>
      </c>
      <c r="D5" s="27" t="s">
        <v>291</v>
      </c>
      <c r="E5" s="331"/>
      <c r="F5" s="325"/>
      <c r="G5" s="63" t="s">
        <v>290</v>
      </c>
      <c r="H5" s="27" t="s">
        <v>291</v>
      </c>
      <c r="I5" s="331"/>
      <c r="J5" s="325"/>
      <c r="K5" s="63" t="s">
        <v>290</v>
      </c>
      <c r="L5" s="27" t="s">
        <v>291</v>
      </c>
      <c r="M5" s="331"/>
      <c r="N5" s="322"/>
      <c r="O5" s="63" t="s">
        <v>290</v>
      </c>
      <c r="P5" s="27" t="s">
        <v>291</v>
      </c>
      <c r="Q5" s="331"/>
      <c r="R5" s="322"/>
    </row>
    <row r="6" spans="2:18" ht="15.75" thickBot="1" x14ac:dyDescent="0.3">
      <c r="B6" s="346" t="s">
        <v>425</v>
      </c>
      <c r="C6" s="346" t="s">
        <v>426</v>
      </c>
      <c r="D6" s="16" t="s">
        <v>426</v>
      </c>
      <c r="E6" s="331"/>
      <c r="F6" s="326"/>
      <c r="G6" s="346" t="s">
        <v>427</v>
      </c>
      <c r="H6" s="16" t="s">
        <v>427</v>
      </c>
      <c r="I6" s="331"/>
      <c r="J6" s="326"/>
      <c r="K6" s="346" t="s">
        <v>428</v>
      </c>
      <c r="L6" s="16" t="s">
        <v>428</v>
      </c>
      <c r="M6" s="331"/>
      <c r="N6" s="322"/>
      <c r="O6" s="346" t="s">
        <v>429</v>
      </c>
      <c r="P6" s="16" t="s">
        <v>429</v>
      </c>
      <c r="Q6" s="331"/>
      <c r="R6" s="322"/>
    </row>
    <row r="7" spans="2:18" ht="30.75" thickBot="1" x14ac:dyDescent="0.3">
      <c r="B7" s="347"/>
      <c r="C7" s="347"/>
      <c r="D7" s="120" t="s">
        <v>431</v>
      </c>
      <c r="E7" s="327"/>
      <c r="F7" s="327"/>
      <c r="G7" s="347"/>
      <c r="H7" s="120" t="s">
        <v>430</v>
      </c>
      <c r="I7" s="327"/>
      <c r="J7" s="327"/>
      <c r="K7" s="347"/>
      <c r="L7" s="121" t="s">
        <v>432</v>
      </c>
      <c r="M7" s="327"/>
      <c r="N7" s="323"/>
      <c r="O7" s="347"/>
      <c r="P7" s="121" t="s">
        <v>433</v>
      </c>
      <c r="Q7" s="327"/>
      <c r="R7" s="323"/>
    </row>
    <row r="8" spans="2:18" x14ac:dyDescent="0.25">
      <c r="B8" s="44">
        <v>1</v>
      </c>
      <c r="C8" s="154">
        <v>3600</v>
      </c>
      <c r="D8" s="123">
        <f>H8</f>
        <v>3600</v>
      </c>
      <c r="E8" s="54">
        <f>C8-D8</f>
        <v>0</v>
      </c>
      <c r="F8" s="54">
        <f>(100*E8)/D8</f>
        <v>0</v>
      </c>
      <c r="G8" s="154">
        <v>3600</v>
      </c>
      <c r="H8" s="123">
        <f>B8*3600</f>
        <v>3600</v>
      </c>
      <c r="I8" s="54">
        <f>G8-H8</f>
        <v>0</v>
      </c>
      <c r="J8" s="54">
        <f>(100*I8)/H8</f>
        <v>0</v>
      </c>
      <c r="K8" s="154">
        <v>3600000</v>
      </c>
      <c r="L8" s="123">
        <f>H8*1000</f>
        <v>3600000</v>
      </c>
      <c r="M8" s="54">
        <f>K8-L8</f>
        <v>0</v>
      </c>
      <c r="N8" s="117">
        <f>(100*M8)/L8</f>
        <v>0</v>
      </c>
      <c r="O8" s="154">
        <v>3600000000</v>
      </c>
      <c r="P8" s="123">
        <f>H8*1000000</f>
        <v>3600000000</v>
      </c>
      <c r="Q8" s="54">
        <f>O8-P8</f>
        <v>0</v>
      </c>
      <c r="R8" s="162">
        <f>(100*Q8)/P8</f>
        <v>0</v>
      </c>
    </row>
    <row r="9" spans="2:18" x14ac:dyDescent="0.25">
      <c r="B9" s="47">
        <v>987</v>
      </c>
      <c r="C9" s="159">
        <v>3553200</v>
      </c>
      <c r="D9" s="123">
        <f t="shared" ref="D9:D13" si="0">H9</f>
        <v>3553200</v>
      </c>
      <c r="E9" s="52">
        <f t="shared" ref="E9:E13" si="1">C9-D9</f>
        <v>0</v>
      </c>
      <c r="F9" s="52">
        <f t="shared" ref="F9:F13" si="2">(100*E9)/D9</f>
        <v>0</v>
      </c>
      <c r="G9" s="159">
        <v>3553200</v>
      </c>
      <c r="H9" s="123">
        <f t="shared" ref="H9:H13" si="3">B9*3600</f>
        <v>3553200</v>
      </c>
      <c r="I9" s="52">
        <f t="shared" ref="I9:I13" si="4">G9-H9</f>
        <v>0</v>
      </c>
      <c r="J9" s="52">
        <f t="shared" ref="J9:J13" si="5">(100*I9)/H9</f>
        <v>0</v>
      </c>
      <c r="K9" s="159">
        <v>3553200000</v>
      </c>
      <c r="L9" s="123">
        <f t="shared" ref="L9:L13" si="6">H9*1000</f>
        <v>3553200000</v>
      </c>
      <c r="M9" s="52">
        <f t="shared" ref="M9:M13" si="7">K9-L9</f>
        <v>0</v>
      </c>
      <c r="N9" s="118">
        <f t="shared" ref="N9:N13" si="8">(100*M9)/L9</f>
        <v>0</v>
      </c>
      <c r="O9" s="159">
        <v>3553200000000</v>
      </c>
      <c r="P9" s="123">
        <f t="shared" ref="P9:P13" si="9">H9*1000000</f>
        <v>3553200000000</v>
      </c>
      <c r="Q9" s="52">
        <f t="shared" ref="Q9:Q13" si="10">O9-P9</f>
        <v>0</v>
      </c>
      <c r="R9" s="153">
        <f t="shared" ref="R9:R13" si="11">(100*Q9)/P9</f>
        <v>0</v>
      </c>
    </row>
    <row r="10" spans="2:18" x14ac:dyDescent="0.25">
      <c r="B10" s="47">
        <v>5987</v>
      </c>
      <c r="C10" s="159">
        <v>21553200</v>
      </c>
      <c r="D10" s="123">
        <f t="shared" si="0"/>
        <v>21553200</v>
      </c>
      <c r="E10" s="52">
        <f t="shared" si="1"/>
        <v>0</v>
      </c>
      <c r="F10" s="52">
        <f t="shared" si="2"/>
        <v>0</v>
      </c>
      <c r="G10" s="159">
        <v>21553200</v>
      </c>
      <c r="H10" s="123">
        <f t="shared" si="3"/>
        <v>21553200</v>
      </c>
      <c r="I10" s="52">
        <f t="shared" si="4"/>
        <v>0</v>
      </c>
      <c r="J10" s="52">
        <f t="shared" si="5"/>
        <v>0</v>
      </c>
      <c r="K10" s="159">
        <v>21553200000</v>
      </c>
      <c r="L10" s="123">
        <f t="shared" si="6"/>
        <v>21553200000</v>
      </c>
      <c r="M10" s="52">
        <f t="shared" si="7"/>
        <v>0</v>
      </c>
      <c r="N10" s="118">
        <f t="shared" si="8"/>
        <v>0</v>
      </c>
      <c r="O10" s="159">
        <v>21553200000000</v>
      </c>
      <c r="P10" s="123">
        <f t="shared" si="9"/>
        <v>21553200000000</v>
      </c>
      <c r="Q10" s="52">
        <f t="shared" si="10"/>
        <v>0</v>
      </c>
      <c r="R10" s="153">
        <f t="shared" si="11"/>
        <v>0</v>
      </c>
    </row>
    <row r="11" spans="2:18" x14ac:dyDescent="0.25">
      <c r="B11" s="47">
        <v>4455667788</v>
      </c>
      <c r="C11" s="159">
        <v>16040404036800</v>
      </c>
      <c r="D11" s="123">
        <f t="shared" si="0"/>
        <v>16040404036800</v>
      </c>
      <c r="E11" s="52">
        <f t="shared" si="1"/>
        <v>0</v>
      </c>
      <c r="F11" s="52">
        <f t="shared" si="2"/>
        <v>0</v>
      </c>
      <c r="G11" s="159">
        <v>16040404036800</v>
      </c>
      <c r="H11" s="123">
        <f t="shared" si="3"/>
        <v>16040404036800</v>
      </c>
      <c r="I11" s="52">
        <f t="shared" si="4"/>
        <v>0</v>
      </c>
      <c r="J11" s="52">
        <f t="shared" si="5"/>
        <v>0</v>
      </c>
      <c r="K11" s="159">
        <v>1.60404040368E+16</v>
      </c>
      <c r="L11" s="123">
        <f t="shared" si="6"/>
        <v>1.60404040368E+16</v>
      </c>
      <c r="M11" s="52">
        <f t="shared" si="7"/>
        <v>0</v>
      </c>
      <c r="N11" s="118">
        <f t="shared" si="8"/>
        <v>0</v>
      </c>
      <c r="O11" s="159">
        <v>1.60404040368E+19</v>
      </c>
      <c r="P11" s="123">
        <f t="shared" si="9"/>
        <v>1.60404040368E+19</v>
      </c>
      <c r="Q11" s="52">
        <f t="shared" si="10"/>
        <v>0</v>
      </c>
      <c r="R11" s="153">
        <f t="shared" si="11"/>
        <v>0</v>
      </c>
    </row>
    <row r="12" spans="2:18" x14ac:dyDescent="0.25">
      <c r="B12" s="47">
        <v>-654</v>
      </c>
      <c r="C12" s="159">
        <v>-2354400</v>
      </c>
      <c r="D12" s="123">
        <f t="shared" si="0"/>
        <v>-2354400</v>
      </c>
      <c r="E12" s="52">
        <f t="shared" si="1"/>
        <v>0</v>
      </c>
      <c r="F12" s="52">
        <f t="shared" si="2"/>
        <v>0</v>
      </c>
      <c r="G12" s="159">
        <v>-2354400</v>
      </c>
      <c r="H12" s="123">
        <f t="shared" si="3"/>
        <v>-2354400</v>
      </c>
      <c r="I12" s="52">
        <f t="shared" si="4"/>
        <v>0</v>
      </c>
      <c r="J12" s="52">
        <f t="shared" si="5"/>
        <v>0</v>
      </c>
      <c r="K12" s="159">
        <v>-2354400000</v>
      </c>
      <c r="L12" s="123">
        <f t="shared" si="6"/>
        <v>-2354400000</v>
      </c>
      <c r="M12" s="52">
        <f t="shared" si="7"/>
        <v>0</v>
      </c>
      <c r="N12" s="118">
        <f t="shared" si="8"/>
        <v>0</v>
      </c>
      <c r="O12" s="159">
        <v>-2354400000000</v>
      </c>
      <c r="P12" s="123">
        <f t="shared" si="9"/>
        <v>-2354400000000</v>
      </c>
      <c r="Q12" s="52">
        <f t="shared" si="10"/>
        <v>0</v>
      </c>
      <c r="R12" s="153">
        <f t="shared" si="11"/>
        <v>0</v>
      </c>
    </row>
    <row r="13" spans="2:18" ht="15.75" thickBot="1" x14ac:dyDescent="0.3">
      <c r="B13" s="74">
        <v>0.65469999999999995</v>
      </c>
      <c r="C13" s="156">
        <v>2356.92</v>
      </c>
      <c r="D13" s="59">
        <f t="shared" si="0"/>
        <v>2356.9199999999996</v>
      </c>
      <c r="E13" s="57">
        <f t="shared" si="1"/>
        <v>0</v>
      </c>
      <c r="F13" s="57">
        <f t="shared" si="2"/>
        <v>0</v>
      </c>
      <c r="G13" s="156">
        <v>2356.92</v>
      </c>
      <c r="H13" s="59">
        <f t="shared" si="3"/>
        <v>2356.9199999999996</v>
      </c>
      <c r="I13" s="57">
        <f t="shared" si="4"/>
        <v>0</v>
      </c>
      <c r="J13" s="57">
        <f t="shared" si="5"/>
        <v>0</v>
      </c>
      <c r="K13" s="156">
        <v>2356920</v>
      </c>
      <c r="L13" s="59">
        <f t="shared" si="6"/>
        <v>2356919.9999999995</v>
      </c>
      <c r="M13" s="57">
        <f t="shared" si="7"/>
        <v>0</v>
      </c>
      <c r="N13" s="119">
        <f t="shared" si="8"/>
        <v>0</v>
      </c>
      <c r="O13" s="156">
        <v>2356920000</v>
      </c>
      <c r="P13" s="59">
        <f t="shared" si="9"/>
        <v>2356919999.9999995</v>
      </c>
      <c r="Q13" s="57">
        <f t="shared" si="10"/>
        <v>0</v>
      </c>
      <c r="R13" s="163">
        <f t="shared" si="11"/>
        <v>0</v>
      </c>
    </row>
    <row r="14" spans="2:18" ht="15.75" thickBot="1" x14ac:dyDescent="0.3">
      <c r="C14" s="165"/>
      <c r="D14" s="165"/>
      <c r="E14" s="164"/>
      <c r="F14" s="164"/>
      <c r="G14" s="165"/>
      <c r="H14" s="165"/>
      <c r="I14" s="164"/>
      <c r="J14" s="164"/>
      <c r="K14" s="165"/>
      <c r="L14" s="165"/>
      <c r="M14" s="164"/>
      <c r="N14" s="164"/>
      <c r="O14" s="165"/>
      <c r="P14" s="165"/>
      <c r="Q14" s="164"/>
      <c r="R14" s="164"/>
    </row>
    <row r="15" spans="2:18" x14ac:dyDescent="0.25">
      <c r="B15" s="341" t="s">
        <v>10</v>
      </c>
      <c r="C15" s="166" t="s">
        <v>14</v>
      </c>
      <c r="D15" s="168" t="s">
        <v>14</v>
      </c>
      <c r="E15" s="343" t="s">
        <v>354</v>
      </c>
      <c r="F15" s="352" t="s">
        <v>355</v>
      </c>
      <c r="G15" s="166" t="s">
        <v>14</v>
      </c>
      <c r="H15" s="168" t="s">
        <v>14</v>
      </c>
      <c r="I15" s="343" t="s">
        <v>354</v>
      </c>
      <c r="J15" s="352" t="s">
        <v>355</v>
      </c>
      <c r="K15" s="166" t="s">
        <v>14</v>
      </c>
      <c r="L15" s="168" t="s">
        <v>14</v>
      </c>
      <c r="M15" s="343" t="s">
        <v>354</v>
      </c>
      <c r="N15" s="357" t="s">
        <v>355</v>
      </c>
      <c r="O15" s="166" t="s">
        <v>14</v>
      </c>
      <c r="P15" s="168" t="s">
        <v>14</v>
      </c>
      <c r="Q15" s="343" t="s">
        <v>354</v>
      </c>
      <c r="R15" s="357" t="s">
        <v>355</v>
      </c>
    </row>
    <row r="16" spans="2:18" ht="15.75" thickBot="1" x14ac:dyDescent="0.3">
      <c r="B16" s="342"/>
      <c r="C16" s="167" t="s">
        <v>290</v>
      </c>
      <c r="D16" s="169" t="s">
        <v>291</v>
      </c>
      <c r="E16" s="344"/>
      <c r="F16" s="353"/>
      <c r="G16" s="167" t="s">
        <v>290</v>
      </c>
      <c r="H16" s="169" t="s">
        <v>291</v>
      </c>
      <c r="I16" s="344"/>
      <c r="J16" s="353"/>
      <c r="K16" s="167" t="s">
        <v>290</v>
      </c>
      <c r="L16" s="169" t="s">
        <v>291</v>
      </c>
      <c r="M16" s="344"/>
      <c r="N16" s="358"/>
      <c r="O16" s="167" t="s">
        <v>290</v>
      </c>
      <c r="P16" s="169" t="s">
        <v>291</v>
      </c>
      <c r="Q16" s="344"/>
      <c r="R16" s="358"/>
    </row>
    <row r="17" spans="2:18" ht="15.75" thickBot="1" x14ac:dyDescent="0.3">
      <c r="B17" s="346" t="s">
        <v>426</v>
      </c>
      <c r="C17" s="363" t="s">
        <v>425</v>
      </c>
      <c r="D17" s="177" t="s">
        <v>425</v>
      </c>
      <c r="E17" s="344"/>
      <c r="F17" s="354"/>
      <c r="G17" s="363" t="s">
        <v>427</v>
      </c>
      <c r="H17" s="177" t="s">
        <v>427</v>
      </c>
      <c r="I17" s="344"/>
      <c r="J17" s="354"/>
      <c r="K17" s="363" t="s">
        <v>428</v>
      </c>
      <c r="L17" s="177" t="s">
        <v>428</v>
      </c>
      <c r="M17" s="344"/>
      <c r="N17" s="358"/>
      <c r="O17" s="363" t="s">
        <v>429</v>
      </c>
      <c r="P17" s="177" t="s">
        <v>429</v>
      </c>
      <c r="Q17" s="344"/>
      <c r="R17" s="358"/>
    </row>
    <row r="18" spans="2:18" ht="30.75" thickBot="1" x14ac:dyDescent="0.3">
      <c r="B18" s="362"/>
      <c r="C18" s="364"/>
      <c r="D18" s="178" t="s">
        <v>435</v>
      </c>
      <c r="E18" s="345"/>
      <c r="F18" s="345"/>
      <c r="G18" s="364"/>
      <c r="H18" s="178" t="s">
        <v>434</v>
      </c>
      <c r="I18" s="345"/>
      <c r="J18" s="345"/>
      <c r="K18" s="364"/>
      <c r="L18" s="179" t="s">
        <v>436</v>
      </c>
      <c r="M18" s="345"/>
      <c r="N18" s="359"/>
      <c r="O18" s="364"/>
      <c r="P18" s="179" t="s">
        <v>437</v>
      </c>
      <c r="Q18" s="345"/>
      <c r="R18" s="359"/>
    </row>
    <row r="19" spans="2:18" x14ac:dyDescent="0.25">
      <c r="B19" s="44">
        <v>1</v>
      </c>
      <c r="C19" s="154">
        <v>2.7777800000000001E-4</v>
      </c>
      <c r="D19" s="123">
        <f>H19/3600</f>
        <v>2.7777777777777778E-4</v>
      </c>
      <c r="E19" s="54">
        <f>C19-D19</f>
        <v>2.2222222223174451E-10</v>
      </c>
      <c r="F19" s="54">
        <f>(100*E19)/D19</f>
        <v>8.0000000003428023E-5</v>
      </c>
      <c r="G19" s="154">
        <v>1</v>
      </c>
      <c r="H19" s="123">
        <f>B19</f>
        <v>1</v>
      </c>
      <c r="I19" s="54">
        <f>G19-H19</f>
        <v>0</v>
      </c>
      <c r="J19" s="54">
        <f>(100*I19)/H19</f>
        <v>0</v>
      </c>
      <c r="K19" s="154">
        <v>1000</v>
      </c>
      <c r="L19" s="123">
        <f>H19*1000</f>
        <v>1000</v>
      </c>
      <c r="M19" s="54">
        <f>K19-L19</f>
        <v>0</v>
      </c>
      <c r="N19" s="117">
        <f>(100*M19)/L19</f>
        <v>0</v>
      </c>
      <c r="O19" s="154">
        <v>1000000</v>
      </c>
      <c r="P19" s="123">
        <f>H19*1000000</f>
        <v>1000000</v>
      </c>
      <c r="Q19" s="54">
        <f>O19-P19</f>
        <v>0</v>
      </c>
      <c r="R19" s="162">
        <f>(100*Q19)/P19</f>
        <v>0</v>
      </c>
    </row>
    <row r="20" spans="2:18" x14ac:dyDescent="0.25">
      <c r="B20" s="47">
        <v>987</v>
      </c>
      <c r="C20" s="159">
        <v>0.27416699999999999</v>
      </c>
      <c r="D20" s="123">
        <f t="shared" ref="D20:D24" si="12">H20/3600</f>
        <v>0.27416666666666667</v>
      </c>
      <c r="E20" s="52">
        <f t="shared" ref="E20:E24" si="13">C20-D20</f>
        <v>3.3333333332441484E-7</v>
      </c>
      <c r="F20" s="52">
        <f t="shared" ref="F20:F24" si="14">(100*E20)/D20</f>
        <v>1.2158054710920906E-4</v>
      </c>
      <c r="G20" s="159">
        <v>987</v>
      </c>
      <c r="H20" s="123">
        <f t="shared" ref="H20:H24" si="15">B20</f>
        <v>987</v>
      </c>
      <c r="I20" s="52">
        <f t="shared" ref="I20:I24" si="16">G20-H20</f>
        <v>0</v>
      </c>
      <c r="J20" s="52">
        <f t="shared" ref="J20:J24" si="17">(100*I20)/H20</f>
        <v>0</v>
      </c>
      <c r="K20" s="159">
        <v>987000</v>
      </c>
      <c r="L20" s="123">
        <f t="shared" ref="L20:L24" si="18">H20*1000</f>
        <v>987000</v>
      </c>
      <c r="M20" s="52">
        <f t="shared" ref="M20:M24" si="19">K20-L20</f>
        <v>0</v>
      </c>
      <c r="N20" s="118">
        <f t="shared" ref="N20:N24" si="20">(100*M20)/L20</f>
        <v>0</v>
      </c>
      <c r="O20" s="159">
        <v>987000000</v>
      </c>
      <c r="P20" s="123">
        <f t="shared" ref="P20:P24" si="21">H20*1000000</f>
        <v>987000000</v>
      </c>
      <c r="Q20" s="52">
        <f t="shared" ref="Q20:Q24" si="22">O20-P20</f>
        <v>0</v>
      </c>
      <c r="R20" s="153">
        <f t="shared" ref="R20:R24" si="23">(100*Q20)/P20</f>
        <v>0</v>
      </c>
    </row>
    <row r="21" spans="2:18" x14ac:dyDescent="0.25">
      <c r="B21" s="47">
        <v>5987</v>
      </c>
      <c r="C21" s="159">
        <v>1.66306</v>
      </c>
      <c r="D21" s="123">
        <f t="shared" si="12"/>
        <v>1.6630555555555555</v>
      </c>
      <c r="E21" s="52">
        <f t="shared" si="13"/>
        <v>4.4444444444735609E-6</v>
      </c>
      <c r="F21" s="52">
        <f t="shared" si="14"/>
        <v>2.672456990162823E-4</v>
      </c>
      <c r="G21" s="159">
        <v>5987</v>
      </c>
      <c r="H21" s="123">
        <f t="shared" si="15"/>
        <v>5987</v>
      </c>
      <c r="I21" s="52">
        <f t="shared" si="16"/>
        <v>0</v>
      </c>
      <c r="J21" s="52">
        <f t="shared" si="17"/>
        <v>0</v>
      </c>
      <c r="K21" s="159">
        <v>5987000</v>
      </c>
      <c r="L21" s="123">
        <f t="shared" si="18"/>
        <v>5987000</v>
      </c>
      <c r="M21" s="52">
        <f t="shared" si="19"/>
        <v>0</v>
      </c>
      <c r="N21" s="118">
        <f t="shared" si="20"/>
        <v>0</v>
      </c>
      <c r="O21" s="159">
        <v>5987000000</v>
      </c>
      <c r="P21" s="123">
        <f t="shared" si="21"/>
        <v>5987000000</v>
      </c>
      <c r="Q21" s="52">
        <f t="shared" si="22"/>
        <v>0</v>
      </c>
      <c r="R21" s="153">
        <f t="shared" si="23"/>
        <v>0</v>
      </c>
    </row>
    <row r="22" spans="2:18" x14ac:dyDescent="0.25">
      <c r="B22" s="47">
        <v>4455667788</v>
      </c>
      <c r="C22" s="159">
        <v>1237685</v>
      </c>
      <c r="D22" s="123">
        <f t="shared" si="12"/>
        <v>1237685.4966666666</v>
      </c>
      <c r="E22" s="52">
        <f t="shared" si="13"/>
        <v>-0.49666666658595204</v>
      </c>
      <c r="F22" s="52">
        <f t="shared" si="14"/>
        <v>-4.0128664989900445E-5</v>
      </c>
      <c r="G22" s="159">
        <v>4455667788</v>
      </c>
      <c r="H22" s="123">
        <f t="shared" si="15"/>
        <v>4455667788</v>
      </c>
      <c r="I22" s="52">
        <f t="shared" si="16"/>
        <v>0</v>
      </c>
      <c r="J22" s="52">
        <f t="shared" si="17"/>
        <v>0</v>
      </c>
      <c r="K22" s="159">
        <v>4455667788000</v>
      </c>
      <c r="L22" s="123">
        <f t="shared" si="18"/>
        <v>4455667788000</v>
      </c>
      <c r="M22" s="52">
        <f t="shared" si="19"/>
        <v>0</v>
      </c>
      <c r="N22" s="118">
        <f t="shared" si="20"/>
        <v>0</v>
      </c>
      <c r="O22" s="159">
        <v>4455667788000000</v>
      </c>
      <c r="P22" s="123">
        <f t="shared" si="21"/>
        <v>4455667788000000</v>
      </c>
      <c r="Q22" s="52">
        <f t="shared" si="22"/>
        <v>0</v>
      </c>
      <c r="R22" s="153">
        <f t="shared" si="23"/>
        <v>0</v>
      </c>
    </row>
    <row r="23" spans="2:18" x14ac:dyDescent="0.25">
      <c r="B23" s="47">
        <v>-654</v>
      </c>
      <c r="C23" s="159">
        <v>-0.181667</v>
      </c>
      <c r="D23" s="123">
        <f t="shared" si="12"/>
        <v>-0.18166666666666667</v>
      </c>
      <c r="E23" s="52">
        <f t="shared" si="13"/>
        <v>-3.3333333332441484E-7</v>
      </c>
      <c r="F23" s="52">
        <f t="shared" si="14"/>
        <v>1.8348623852720082E-4</v>
      </c>
      <c r="G23" s="159">
        <v>-654</v>
      </c>
      <c r="H23" s="123">
        <f t="shared" si="15"/>
        <v>-654</v>
      </c>
      <c r="I23" s="52">
        <f t="shared" si="16"/>
        <v>0</v>
      </c>
      <c r="J23" s="52">
        <f t="shared" si="17"/>
        <v>0</v>
      </c>
      <c r="K23" s="159">
        <v>-654000</v>
      </c>
      <c r="L23" s="123">
        <f t="shared" si="18"/>
        <v>-654000</v>
      </c>
      <c r="M23" s="52">
        <f t="shared" si="19"/>
        <v>0</v>
      </c>
      <c r="N23" s="118">
        <f t="shared" si="20"/>
        <v>0</v>
      </c>
      <c r="O23" s="159">
        <v>-654000000</v>
      </c>
      <c r="P23" s="123">
        <f t="shared" si="21"/>
        <v>-654000000</v>
      </c>
      <c r="Q23" s="52">
        <f t="shared" si="22"/>
        <v>0</v>
      </c>
      <c r="R23" s="153">
        <f t="shared" si="23"/>
        <v>0</v>
      </c>
    </row>
    <row r="24" spans="2:18" ht="15.75" thickBot="1" x14ac:dyDescent="0.3">
      <c r="B24" s="74">
        <v>0.65469999999999995</v>
      </c>
      <c r="C24" s="156">
        <v>1.8186100000000001E-4</v>
      </c>
      <c r="D24" s="59">
        <f t="shared" si="12"/>
        <v>1.818611111111111E-4</v>
      </c>
      <c r="E24" s="57">
        <f t="shared" si="13"/>
        <v>-1.111111110887672E-10</v>
      </c>
      <c r="F24" s="57">
        <f t="shared" si="14"/>
        <v>-6.1096685492525115E-5</v>
      </c>
      <c r="G24" s="156">
        <v>0.65469999999999995</v>
      </c>
      <c r="H24" s="59">
        <f t="shared" si="15"/>
        <v>0.65469999999999995</v>
      </c>
      <c r="I24" s="57">
        <f t="shared" si="16"/>
        <v>0</v>
      </c>
      <c r="J24" s="57">
        <f t="shared" si="17"/>
        <v>0</v>
      </c>
      <c r="K24" s="156">
        <v>654.70000000000005</v>
      </c>
      <c r="L24" s="59">
        <f t="shared" si="18"/>
        <v>654.69999999999993</v>
      </c>
      <c r="M24" s="57">
        <f t="shared" si="19"/>
        <v>0</v>
      </c>
      <c r="N24" s="119">
        <f t="shared" si="20"/>
        <v>0</v>
      </c>
      <c r="O24" s="156">
        <v>654700</v>
      </c>
      <c r="P24" s="59">
        <f t="shared" si="21"/>
        <v>654700</v>
      </c>
      <c r="Q24" s="57">
        <f t="shared" si="22"/>
        <v>0</v>
      </c>
      <c r="R24" s="163">
        <f t="shared" si="23"/>
        <v>0</v>
      </c>
    </row>
    <row r="25" spans="2:18" ht="15.75" thickBot="1" x14ac:dyDescent="0.3">
      <c r="C25" s="165"/>
      <c r="D25" s="165"/>
      <c r="E25" s="164"/>
      <c r="F25" s="164"/>
      <c r="G25" s="165"/>
      <c r="H25" s="165"/>
      <c r="I25" s="164"/>
      <c r="J25" s="164"/>
      <c r="K25" s="165"/>
      <c r="L25" s="165"/>
      <c r="M25" s="164"/>
      <c r="N25" s="164"/>
      <c r="O25" s="165"/>
      <c r="P25" s="165"/>
      <c r="Q25" s="164"/>
      <c r="R25" s="164"/>
    </row>
    <row r="26" spans="2:18" x14ac:dyDescent="0.25">
      <c r="B26" s="341" t="s">
        <v>10</v>
      </c>
      <c r="C26" s="166" t="s">
        <v>14</v>
      </c>
      <c r="D26" s="168" t="s">
        <v>14</v>
      </c>
      <c r="E26" s="343" t="s">
        <v>354</v>
      </c>
      <c r="F26" s="352" t="s">
        <v>355</v>
      </c>
      <c r="G26" s="166" t="s">
        <v>14</v>
      </c>
      <c r="H26" s="168" t="s">
        <v>14</v>
      </c>
      <c r="I26" s="343" t="s">
        <v>354</v>
      </c>
      <c r="J26" s="352" t="s">
        <v>355</v>
      </c>
      <c r="K26" s="166" t="s">
        <v>14</v>
      </c>
      <c r="L26" s="168" t="s">
        <v>14</v>
      </c>
      <c r="M26" s="343" t="s">
        <v>354</v>
      </c>
      <c r="N26" s="357" t="s">
        <v>355</v>
      </c>
      <c r="O26" s="166" t="s">
        <v>14</v>
      </c>
      <c r="P26" s="168" t="s">
        <v>14</v>
      </c>
      <c r="Q26" s="343" t="s">
        <v>354</v>
      </c>
      <c r="R26" s="357" t="s">
        <v>355</v>
      </c>
    </row>
    <row r="27" spans="2:18" ht="15.75" thickBot="1" x14ac:dyDescent="0.3">
      <c r="B27" s="342"/>
      <c r="C27" s="167" t="s">
        <v>290</v>
      </c>
      <c r="D27" s="169" t="s">
        <v>291</v>
      </c>
      <c r="E27" s="344"/>
      <c r="F27" s="353"/>
      <c r="G27" s="167" t="s">
        <v>290</v>
      </c>
      <c r="H27" s="169" t="s">
        <v>291</v>
      </c>
      <c r="I27" s="344"/>
      <c r="J27" s="353"/>
      <c r="K27" s="167" t="s">
        <v>290</v>
      </c>
      <c r="L27" s="169" t="s">
        <v>291</v>
      </c>
      <c r="M27" s="344"/>
      <c r="N27" s="358"/>
      <c r="O27" s="167" t="s">
        <v>290</v>
      </c>
      <c r="P27" s="169" t="s">
        <v>291</v>
      </c>
      <c r="Q27" s="344"/>
      <c r="R27" s="358"/>
    </row>
    <row r="28" spans="2:18" ht="15.75" thickBot="1" x14ac:dyDescent="0.3">
      <c r="B28" s="346" t="s">
        <v>427</v>
      </c>
      <c r="C28" s="363" t="s">
        <v>425</v>
      </c>
      <c r="D28" s="177" t="s">
        <v>425</v>
      </c>
      <c r="E28" s="344"/>
      <c r="F28" s="354"/>
      <c r="G28" s="363" t="s">
        <v>426</v>
      </c>
      <c r="H28" s="177" t="s">
        <v>426</v>
      </c>
      <c r="I28" s="344"/>
      <c r="J28" s="354"/>
      <c r="K28" s="363" t="s">
        <v>428</v>
      </c>
      <c r="L28" s="177" t="s">
        <v>428</v>
      </c>
      <c r="M28" s="344"/>
      <c r="N28" s="358"/>
      <c r="O28" s="363" t="s">
        <v>429</v>
      </c>
      <c r="P28" s="177" t="s">
        <v>429</v>
      </c>
      <c r="Q28" s="344"/>
      <c r="R28" s="358"/>
    </row>
    <row r="29" spans="2:18" ht="15.75" thickBot="1" x14ac:dyDescent="0.3">
      <c r="B29" s="347"/>
      <c r="C29" s="364"/>
      <c r="D29" s="178" t="s">
        <v>438</v>
      </c>
      <c r="E29" s="345"/>
      <c r="F29" s="345"/>
      <c r="G29" s="364"/>
      <c r="H29" s="178" t="s">
        <v>439</v>
      </c>
      <c r="I29" s="345"/>
      <c r="J29" s="345"/>
      <c r="K29" s="364"/>
      <c r="L29" s="179" t="s">
        <v>440</v>
      </c>
      <c r="M29" s="345"/>
      <c r="N29" s="359"/>
      <c r="O29" s="364"/>
      <c r="P29" s="179" t="s">
        <v>441</v>
      </c>
      <c r="Q29" s="345"/>
      <c r="R29" s="359"/>
    </row>
    <row r="30" spans="2:18" x14ac:dyDescent="0.25">
      <c r="B30" s="44">
        <v>1</v>
      </c>
      <c r="C30" s="154">
        <v>2.7777800000000001E-4</v>
      </c>
      <c r="D30" s="123">
        <f>B30/3600</f>
        <v>2.7777777777777778E-4</v>
      </c>
      <c r="E30" s="54">
        <f>C30-D30</f>
        <v>2.2222222223174451E-10</v>
      </c>
      <c r="F30" s="54">
        <f>(100*E30)/D30</f>
        <v>8.0000000003428023E-5</v>
      </c>
      <c r="G30" s="154">
        <v>1</v>
      </c>
      <c r="H30" s="123">
        <f>B30</f>
        <v>1</v>
      </c>
      <c r="I30" s="54">
        <f>G30-H30</f>
        <v>0</v>
      </c>
      <c r="J30" s="54">
        <f>(100*I30)/H30</f>
        <v>0</v>
      </c>
      <c r="K30" s="154">
        <v>1000</v>
      </c>
      <c r="L30" s="123">
        <f>H30*1000</f>
        <v>1000</v>
      </c>
      <c r="M30" s="54">
        <f>K30-L30</f>
        <v>0</v>
      </c>
      <c r="N30" s="117">
        <f>(100*M30)/L30</f>
        <v>0</v>
      </c>
      <c r="O30" s="154">
        <v>1000000</v>
      </c>
      <c r="P30" s="123">
        <f>H30*1000000</f>
        <v>1000000</v>
      </c>
      <c r="Q30" s="54">
        <f>O30-P30</f>
        <v>0</v>
      </c>
      <c r="R30" s="162">
        <f>(100*Q30)/P30</f>
        <v>0</v>
      </c>
    </row>
    <row r="31" spans="2:18" x14ac:dyDescent="0.25">
      <c r="B31" s="47">
        <v>987</v>
      </c>
      <c r="C31" s="159">
        <v>0.27416699999999999</v>
      </c>
      <c r="D31" s="123">
        <f t="shared" ref="D31:D35" si="24">B31/3600</f>
        <v>0.27416666666666667</v>
      </c>
      <c r="E31" s="52">
        <f t="shared" ref="E31:E35" si="25">C31-D31</f>
        <v>3.3333333332441484E-7</v>
      </c>
      <c r="F31" s="52">
        <f t="shared" ref="F31:F35" si="26">(100*E31)/D31</f>
        <v>1.2158054710920906E-4</v>
      </c>
      <c r="G31" s="159">
        <v>987</v>
      </c>
      <c r="H31" s="123">
        <f t="shared" ref="H31:H35" si="27">B31</f>
        <v>987</v>
      </c>
      <c r="I31" s="52">
        <f t="shared" ref="I31:I35" si="28">G31-H31</f>
        <v>0</v>
      </c>
      <c r="J31" s="52">
        <f t="shared" ref="J31:J35" si="29">(100*I31)/H31</f>
        <v>0</v>
      </c>
      <c r="K31" s="159">
        <v>987000</v>
      </c>
      <c r="L31" s="123">
        <f t="shared" ref="L31:L35" si="30">H31*1000</f>
        <v>987000</v>
      </c>
      <c r="M31" s="52">
        <f t="shared" ref="M31:M35" si="31">K31-L31</f>
        <v>0</v>
      </c>
      <c r="N31" s="118">
        <f t="shared" ref="N31:N35" si="32">(100*M31)/L31</f>
        <v>0</v>
      </c>
      <c r="O31" s="159">
        <v>987000000</v>
      </c>
      <c r="P31" s="123">
        <f t="shared" ref="P31:P35" si="33">H31*1000000</f>
        <v>987000000</v>
      </c>
      <c r="Q31" s="52">
        <f t="shared" ref="Q31:Q35" si="34">O31-P31</f>
        <v>0</v>
      </c>
      <c r="R31" s="153">
        <f t="shared" ref="R31:R35" si="35">(100*Q31)/P31</f>
        <v>0</v>
      </c>
    </row>
    <row r="32" spans="2:18" x14ac:dyDescent="0.25">
      <c r="B32" s="47">
        <v>5987</v>
      </c>
      <c r="C32" s="159">
        <v>1.66306</v>
      </c>
      <c r="D32" s="123">
        <f t="shared" si="24"/>
        <v>1.6630555555555555</v>
      </c>
      <c r="E32" s="52">
        <f t="shared" si="25"/>
        <v>4.4444444444735609E-6</v>
      </c>
      <c r="F32" s="52">
        <f t="shared" si="26"/>
        <v>2.672456990162823E-4</v>
      </c>
      <c r="G32" s="159">
        <v>5987</v>
      </c>
      <c r="H32" s="123">
        <f t="shared" si="27"/>
        <v>5987</v>
      </c>
      <c r="I32" s="52">
        <f t="shared" si="28"/>
        <v>0</v>
      </c>
      <c r="J32" s="52">
        <f t="shared" si="29"/>
        <v>0</v>
      </c>
      <c r="K32" s="159">
        <v>5987000</v>
      </c>
      <c r="L32" s="123">
        <f t="shared" si="30"/>
        <v>5987000</v>
      </c>
      <c r="M32" s="52">
        <f t="shared" si="31"/>
        <v>0</v>
      </c>
      <c r="N32" s="118">
        <f t="shared" si="32"/>
        <v>0</v>
      </c>
      <c r="O32" s="159">
        <v>5987000000</v>
      </c>
      <c r="P32" s="123">
        <f t="shared" si="33"/>
        <v>5987000000</v>
      </c>
      <c r="Q32" s="52">
        <f t="shared" si="34"/>
        <v>0</v>
      </c>
      <c r="R32" s="153">
        <f t="shared" si="35"/>
        <v>0</v>
      </c>
    </row>
    <row r="33" spans="2:18" x14ac:dyDescent="0.25">
      <c r="B33" s="47">
        <v>4455667788</v>
      </c>
      <c r="C33" s="159">
        <v>1237685</v>
      </c>
      <c r="D33" s="123">
        <f t="shared" si="24"/>
        <v>1237685.4966666666</v>
      </c>
      <c r="E33" s="52">
        <f t="shared" si="25"/>
        <v>-0.49666666658595204</v>
      </c>
      <c r="F33" s="52">
        <f t="shared" si="26"/>
        <v>-4.0128664989900445E-5</v>
      </c>
      <c r="G33" s="159">
        <v>4455667788</v>
      </c>
      <c r="H33" s="123">
        <f t="shared" si="27"/>
        <v>4455667788</v>
      </c>
      <c r="I33" s="52">
        <f t="shared" si="28"/>
        <v>0</v>
      </c>
      <c r="J33" s="52">
        <f t="shared" si="29"/>
        <v>0</v>
      </c>
      <c r="K33" s="159">
        <v>4455667788000</v>
      </c>
      <c r="L33" s="123">
        <f t="shared" si="30"/>
        <v>4455667788000</v>
      </c>
      <c r="M33" s="52">
        <f t="shared" si="31"/>
        <v>0</v>
      </c>
      <c r="N33" s="118">
        <f t="shared" si="32"/>
        <v>0</v>
      </c>
      <c r="O33" s="159">
        <v>4455667788000000</v>
      </c>
      <c r="P33" s="123">
        <f t="shared" si="33"/>
        <v>4455667788000000</v>
      </c>
      <c r="Q33" s="52">
        <f t="shared" si="34"/>
        <v>0</v>
      </c>
      <c r="R33" s="153">
        <f t="shared" si="35"/>
        <v>0</v>
      </c>
    </row>
    <row r="34" spans="2:18" x14ac:dyDescent="0.25">
      <c r="B34" s="47">
        <v>-654</v>
      </c>
      <c r="C34" s="159">
        <v>-0.181667</v>
      </c>
      <c r="D34" s="123">
        <f t="shared" si="24"/>
        <v>-0.18166666666666667</v>
      </c>
      <c r="E34" s="52">
        <f t="shared" si="25"/>
        <v>-3.3333333332441484E-7</v>
      </c>
      <c r="F34" s="52">
        <f t="shared" si="26"/>
        <v>1.8348623852720082E-4</v>
      </c>
      <c r="G34" s="159">
        <v>-654</v>
      </c>
      <c r="H34" s="123">
        <f t="shared" si="27"/>
        <v>-654</v>
      </c>
      <c r="I34" s="52">
        <f t="shared" si="28"/>
        <v>0</v>
      </c>
      <c r="J34" s="52">
        <f t="shared" si="29"/>
        <v>0</v>
      </c>
      <c r="K34" s="159">
        <v>-654000</v>
      </c>
      <c r="L34" s="123">
        <f t="shared" si="30"/>
        <v>-654000</v>
      </c>
      <c r="M34" s="52">
        <f t="shared" si="31"/>
        <v>0</v>
      </c>
      <c r="N34" s="118">
        <f t="shared" si="32"/>
        <v>0</v>
      </c>
      <c r="O34" s="159">
        <v>-654000000</v>
      </c>
      <c r="P34" s="123">
        <f t="shared" si="33"/>
        <v>-654000000</v>
      </c>
      <c r="Q34" s="52">
        <f t="shared" si="34"/>
        <v>0</v>
      </c>
      <c r="R34" s="153">
        <f t="shared" si="35"/>
        <v>0</v>
      </c>
    </row>
    <row r="35" spans="2:18" ht="15.75" thickBot="1" x14ac:dyDescent="0.3">
      <c r="B35" s="74">
        <v>0.65469999999999995</v>
      </c>
      <c r="C35" s="156">
        <v>1.8186100000000001E-4</v>
      </c>
      <c r="D35" s="59">
        <f t="shared" si="24"/>
        <v>1.818611111111111E-4</v>
      </c>
      <c r="E35" s="57">
        <f t="shared" si="25"/>
        <v>-1.111111110887672E-10</v>
      </c>
      <c r="F35" s="57">
        <f t="shared" si="26"/>
        <v>-6.1096685492525115E-5</v>
      </c>
      <c r="G35" s="156">
        <v>0.65469999999999995</v>
      </c>
      <c r="H35" s="59">
        <f t="shared" si="27"/>
        <v>0.65469999999999995</v>
      </c>
      <c r="I35" s="57">
        <f t="shared" si="28"/>
        <v>0</v>
      </c>
      <c r="J35" s="57">
        <f t="shared" si="29"/>
        <v>0</v>
      </c>
      <c r="K35" s="156">
        <v>654.70000000000005</v>
      </c>
      <c r="L35" s="59">
        <f t="shared" si="30"/>
        <v>654.69999999999993</v>
      </c>
      <c r="M35" s="57">
        <f t="shared" si="31"/>
        <v>0</v>
      </c>
      <c r="N35" s="119">
        <f t="shared" si="32"/>
        <v>0</v>
      </c>
      <c r="O35" s="156">
        <v>654700</v>
      </c>
      <c r="P35" s="59">
        <f t="shared" si="33"/>
        <v>654700</v>
      </c>
      <c r="Q35" s="57">
        <f t="shared" si="34"/>
        <v>0</v>
      </c>
      <c r="R35" s="163">
        <f t="shared" si="35"/>
        <v>0</v>
      </c>
    </row>
    <row r="36" spans="2:18" ht="15.75" thickBot="1" x14ac:dyDescent="0.3">
      <c r="C36" s="165"/>
      <c r="D36" s="165"/>
      <c r="E36" s="164"/>
      <c r="F36" s="164"/>
      <c r="G36" s="165"/>
      <c r="H36" s="165"/>
      <c r="I36" s="164"/>
      <c r="J36" s="164"/>
      <c r="K36" s="165"/>
      <c r="L36" s="165"/>
      <c r="M36" s="164"/>
      <c r="N36" s="164"/>
      <c r="O36" s="165"/>
      <c r="P36" s="165"/>
      <c r="Q36" s="164"/>
      <c r="R36" s="164"/>
    </row>
    <row r="37" spans="2:18" x14ac:dyDescent="0.25">
      <c r="B37" s="341" t="s">
        <v>10</v>
      </c>
      <c r="C37" s="166" t="s">
        <v>14</v>
      </c>
      <c r="D37" s="168" t="s">
        <v>14</v>
      </c>
      <c r="E37" s="343" t="s">
        <v>354</v>
      </c>
      <c r="F37" s="352" t="s">
        <v>355</v>
      </c>
      <c r="G37" s="166" t="s">
        <v>14</v>
      </c>
      <c r="H37" s="168" t="s">
        <v>14</v>
      </c>
      <c r="I37" s="343" t="s">
        <v>354</v>
      </c>
      <c r="J37" s="352" t="s">
        <v>355</v>
      </c>
      <c r="K37" s="166" t="s">
        <v>14</v>
      </c>
      <c r="L37" s="168" t="s">
        <v>14</v>
      </c>
      <c r="M37" s="343" t="s">
        <v>354</v>
      </c>
      <c r="N37" s="357" t="s">
        <v>355</v>
      </c>
      <c r="O37" s="166" t="s">
        <v>14</v>
      </c>
      <c r="P37" s="168" t="s">
        <v>14</v>
      </c>
      <c r="Q37" s="343" t="s">
        <v>354</v>
      </c>
      <c r="R37" s="357" t="s">
        <v>355</v>
      </c>
    </row>
    <row r="38" spans="2:18" ht="15.75" thickBot="1" x14ac:dyDescent="0.3">
      <c r="B38" s="342"/>
      <c r="C38" s="167" t="s">
        <v>290</v>
      </c>
      <c r="D38" s="169" t="s">
        <v>291</v>
      </c>
      <c r="E38" s="344"/>
      <c r="F38" s="353"/>
      <c r="G38" s="167" t="s">
        <v>290</v>
      </c>
      <c r="H38" s="169" t="s">
        <v>291</v>
      </c>
      <c r="I38" s="344"/>
      <c r="J38" s="353"/>
      <c r="K38" s="167" t="s">
        <v>290</v>
      </c>
      <c r="L38" s="169" t="s">
        <v>291</v>
      </c>
      <c r="M38" s="344"/>
      <c r="N38" s="358"/>
      <c r="O38" s="167" t="s">
        <v>290</v>
      </c>
      <c r="P38" s="169" t="s">
        <v>291</v>
      </c>
      <c r="Q38" s="344"/>
      <c r="R38" s="358"/>
    </row>
    <row r="39" spans="2:18" ht="15.75" thickBot="1" x14ac:dyDescent="0.3">
      <c r="B39" s="346" t="s">
        <v>428</v>
      </c>
      <c r="C39" s="363" t="s">
        <v>425</v>
      </c>
      <c r="D39" s="177" t="s">
        <v>425</v>
      </c>
      <c r="E39" s="344"/>
      <c r="F39" s="354"/>
      <c r="G39" s="363" t="s">
        <v>426</v>
      </c>
      <c r="H39" s="177" t="s">
        <v>426</v>
      </c>
      <c r="I39" s="344"/>
      <c r="J39" s="354"/>
      <c r="K39" s="363" t="s">
        <v>427</v>
      </c>
      <c r="L39" s="177" t="s">
        <v>427</v>
      </c>
      <c r="M39" s="344"/>
      <c r="N39" s="358"/>
      <c r="O39" s="363" t="s">
        <v>429</v>
      </c>
      <c r="P39" s="177" t="s">
        <v>429</v>
      </c>
      <c r="Q39" s="344"/>
      <c r="R39" s="358"/>
    </row>
    <row r="40" spans="2:18" ht="30.75" thickBot="1" x14ac:dyDescent="0.3">
      <c r="B40" s="347"/>
      <c r="C40" s="364"/>
      <c r="D40" s="178" t="s">
        <v>443</v>
      </c>
      <c r="E40" s="345"/>
      <c r="F40" s="345"/>
      <c r="G40" s="364"/>
      <c r="H40" s="178" t="s">
        <v>444</v>
      </c>
      <c r="I40" s="345"/>
      <c r="J40" s="345"/>
      <c r="K40" s="364"/>
      <c r="L40" s="179" t="s">
        <v>442</v>
      </c>
      <c r="M40" s="345"/>
      <c r="N40" s="359"/>
      <c r="O40" s="365"/>
      <c r="P40" s="179" t="s">
        <v>445</v>
      </c>
      <c r="Q40" s="345"/>
      <c r="R40" s="359"/>
    </row>
    <row r="41" spans="2:18" x14ac:dyDescent="0.25">
      <c r="B41" s="44">
        <v>1</v>
      </c>
      <c r="C41" s="154">
        <v>2.7777777777777802E-7</v>
      </c>
      <c r="D41" s="123">
        <f>L41/3600</f>
        <v>2.7777777777777776E-7</v>
      </c>
      <c r="E41" s="54">
        <f>C41-D41</f>
        <v>0</v>
      </c>
      <c r="F41" s="54">
        <f>(100*E41)/D41</f>
        <v>0</v>
      </c>
      <c r="G41" s="154">
        <v>1E-3</v>
      </c>
      <c r="H41" s="123">
        <f>L41</f>
        <v>1E-3</v>
      </c>
      <c r="I41" s="54">
        <f>G41-H41</f>
        <v>0</v>
      </c>
      <c r="J41" s="54">
        <f>(100*I41)/H41</f>
        <v>0</v>
      </c>
      <c r="K41" s="154">
        <v>1E-3</v>
      </c>
      <c r="L41" s="123">
        <f>B41/1000</f>
        <v>1E-3</v>
      </c>
      <c r="M41" s="54">
        <f>K41-L41</f>
        <v>0</v>
      </c>
      <c r="N41" s="117">
        <f>(100*M41)/L41</f>
        <v>0</v>
      </c>
      <c r="O41" s="183">
        <v>1000</v>
      </c>
      <c r="P41" s="123">
        <f>L41*1000000</f>
        <v>1000</v>
      </c>
      <c r="Q41" s="54">
        <f>O41-P41</f>
        <v>0</v>
      </c>
      <c r="R41" s="162">
        <f>(100*Q41)/P41</f>
        <v>0</v>
      </c>
    </row>
    <row r="42" spans="2:18" x14ac:dyDescent="0.25">
      <c r="B42" s="47">
        <v>987</v>
      </c>
      <c r="C42" s="159">
        <v>2.7416700000000002E-4</v>
      </c>
      <c r="D42" s="123">
        <f t="shared" ref="D42:D46" si="36">L42/3600</f>
        <v>2.7416666666666664E-4</v>
      </c>
      <c r="E42" s="52">
        <f t="shared" ref="E42:E46" si="37">C42-D42</f>
        <v>3.3333333337472182E-10</v>
      </c>
      <c r="F42" s="52">
        <f t="shared" ref="F42:F46" si="38">(100*E42)/D42</f>
        <v>1.2158054712755811E-4</v>
      </c>
      <c r="G42" s="159">
        <v>0.98699999999999999</v>
      </c>
      <c r="H42" s="123">
        <f t="shared" ref="H42:H46" si="39">L42</f>
        <v>0.98699999999999999</v>
      </c>
      <c r="I42" s="52">
        <f t="shared" ref="I42:I46" si="40">G42-H42</f>
        <v>0</v>
      </c>
      <c r="J42" s="52">
        <f t="shared" ref="J42:J46" si="41">(100*I42)/H42</f>
        <v>0</v>
      </c>
      <c r="K42" s="159">
        <v>0.98699999999999999</v>
      </c>
      <c r="L42" s="123">
        <f t="shared" ref="L42:L46" si="42">B42/1000</f>
        <v>0.98699999999999999</v>
      </c>
      <c r="M42" s="52">
        <f t="shared" ref="M42:M46" si="43">K42-L42</f>
        <v>0</v>
      </c>
      <c r="N42" s="118">
        <f t="shared" ref="N42:N46" si="44">(100*M42)/L42</f>
        <v>0</v>
      </c>
      <c r="O42" s="159">
        <v>987000</v>
      </c>
      <c r="P42" s="123">
        <f t="shared" ref="P42:P46" si="45">L42*1000000</f>
        <v>987000</v>
      </c>
      <c r="Q42" s="52">
        <f t="shared" ref="Q42:Q46" si="46">O42-P42</f>
        <v>0</v>
      </c>
      <c r="R42" s="153">
        <f t="shared" ref="R42:R46" si="47">(100*Q42)/P42</f>
        <v>0</v>
      </c>
    </row>
    <row r="43" spans="2:18" x14ac:dyDescent="0.25">
      <c r="B43" s="47">
        <v>5987</v>
      </c>
      <c r="C43" s="159">
        <v>1.6630600000000001E-3</v>
      </c>
      <c r="D43" s="123">
        <f t="shared" si="36"/>
        <v>1.6630555555555556E-3</v>
      </c>
      <c r="E43" s="52">
        <f t="shared" si="37"/>
        <v>4.4444444444180498E-9</v>
      </c>
      <c r="F43" s="52">
        <f t="shared" si="38"/>
        <v>2.6724569901294436E-4</v>
      </c>
      <c r="G43" s="159">
        <v>5.9870000000000001</v>
      </c>
      <c r="H43" s="123">
        <f t="shared" si="39"/>
        <v>5.9870000000000001</v>
      </c>
      <c r="I43" s="52">
        <f t="shared" si="40"/>
        <v>0</v>
      </c>
      <c r="J43" s="52">
        <f t="shared" si="41"/>
        <v>0</v>
      </c>
      <c r="K43" s="159">
        <v>5.9870000000000001</v>
      </c>
      <c r="L43" s="123">
        <f t="shared" si="42"/>
        <v>5.9870000000000001</v>
      </c>
      <c r="M43" s="52">
        <f t="shared" si="43"/>
        <v>0</v>
      </c>
      <c r="N43" s="118">
        <f t="shared" si="44"/>
        <v>0</v>
      </c>
      <c r="O43" s="159">
        <v>5987000</v>
      </c>
      <c r="P43" s="123">
        <f t="shared" si="45"/>
        <v>5987000</v>
      </c>
      <c r="Q43" s="52">
        <f t="shared" si="46"/>
        <v>0</v>
      </c>
      <c r="R43" s="153">
        <f t="shared" si="47"/>
        <v>0</v>
      </c>
    </row>
    <row r="44" spans="2:18" x14ac:dyDescent="0.25">
      <c r="B44" s="47">
        <v>4455667788</v>
      </c>
      <c r="C44" s="159">
        <v>1237.69</v>
      </c>
      <c r="D44" s="123">
        <f t="shared" si="36"/>
        <v>1237.6854966666665</v>
      </c>
      <c r="E44" s="52">
        <f t="shared" si="37"/>
        <v>4.5033333335595671E-3</v>
      </c>
      <c r="F44" s="52">
        <f t="shared" si="38"/>
        <v>3.6385118397912398E-4</v>
      </c>
      <c r="G44" s="159">
        <v>4455668</v>
      </c>
      <c r="H44" s="123">
        <f t="shared" si="39"/>
        <v>4455667.7879999997</v>
      </c>
      <c r="I44" s="52">
        <f t="shared" si="40"/>
        <v>0.21200000029057264</v>
      </c>
      <c r="J44" s="52">
        <f t="shared" si="41"/>
        <v>4.7579848942403393E-6</v>
      </c>
      <c r="K44" s="159">
        <v>4455668</v>
      </c>
      <c r="L44" s="123">
        <f t="shared" si="42"/>
        <v>4455667.7879999997</v>
      </c>
      <c r="M44" s="52">
        <f t="shared" si="43"/>
        <v>0.21200000029057264</v>
      </c>
      <c r="N44" s="118">
        <f t="shared" si="44"/>
        <v>4.7579848942403393E-6</v>
      </c>
      <c r="O44" s="159">
        <v>4455667788000</v>
      </c>
      <c r="P44" s="123">
        <f t="shared" si="45"/>
        <v>4455667788000</v>
      </c>
      <c r="Q44" s="52">
        <f t="shared" si="46"/>
        <v>0</v>
      </c>
      <c r="R44" s="153">
        <f t="shared" si="47"/>
        <v>0</v>
      </c>
    </row>
    <row r="45" spans="2:18" x14ac:dyDescent="0.25">
      <c r="B45" s="47">
        <v>-654</v>
      </c>
      <c r="C45" s="159">
        <v>-1.8166699999999999E-4</v>
      </c>
      <c r="D45" s="123">
        <f t="shared" si="36"/>
        <v>-1.8166666666666667E-4</v>
      </c>
      <c r="E45" s="52">
        <f t="shared" si="37"/>
        <v>-3.3333333332051171E-10</v>
      </c>
      <c r="F45" s="52">
        <f t="shared" si="38"/>
        <v>1.8348623852505231E-4</v>
      </c>
      <c r="G45" s="159">
        <v>-0.65400000000000003</v>
      </c>
      <c r="H45" s="123">
        <f t="shared" si="39"/>
        <v>-0.65400000000000003</v>
      </c>
      <c r="I45" s="52">
        <f t="shared" si="40"/>
        <v>0</v>
      </c>
      <c r="J45" s="52">
        <f t="shared" si="41"/>
        <v>0</v>
      </c>
      <c r="K45" s="159">
        <v>-0.65400000000000003</v>
      </c>
      <c r="L45" s="123">
        <f t="shared" si="42"/>
        <v>-0.65400000000000003</v>
      </c>
      <c r="M45" s="52">
        <f t="shared" si="43"/>
        <v>0</v>
      </c>
      <c r="N45" s="118">
        <f t="shared" si="44"/>
        <v>0</v>
      </c>
      <c r="O45" s="159">
        <v>-654000</v>
      </c>
      <c r="P45" s="123">
        <f t="shared" si="45"/>
        <v>-654000</v>
      </c>
      <c r="Q45" s="52">
        <f t="shared" si="46"/>
        <v>0</v>
      </c>
      <c r="R45" s="153">
        <f t="shared" si="47"/>
        <v>0</v>
      </c>
    </row>
    <row r="46" spans="2:18" ht="15.75" thickBot="1" x14ac:dyDescent="0.3">
      <c r="B46" s="74">
        <v>0.65469999999999995</v>
      </c>
      <c r="C46" s="156">
        <v>1.81861111111111E-7</v>
      </c>
      <c r="D46" s="59">
        <f t="shared" si="36"/>
        <v>1.8186111111111108E-7</v>
      </c>
      <c r="E46" s="57">
        <f t="shared" si="37"/>
        <v>0</v>
      </c>
      <c r="F46" s="57">
        <f t="shared" si="38"/>
        <v>0</v>
      </c>
      <c r="G46" s="156">
        <v>6.5470000000000003E-4</v>
      </c>
      <c r="H46" s="59">
        <f t="shared" si="39"/>
        <v>6.5469999999999992E-4</v>
      </c>
      <c r="I46" s="57">
        <f t="shared" si="40"/>
        <v>0</v>
      </c>
      <c r="J46" s="57">
        <f t="shared" si="41"/>
        <v>0</v>
      </c>
      <c r="K46" s="156">
        <v>6.5470000000000003E-4</v>
      </c>
      <c r="L46" s="59">
        <f t="shared" si="42"/>
        <v>6.5469999999999992E-4</v>
      </c>
      <c r="M46" s="57">
        <f t="shared" si="43"/>
        <v>0</v>
      </c>
      <c r="N46" s="119">
        <f t="shared" si="44"/>
        <v>0</v>
      </c>
      <c r="O46" s="156">
        <v>654.70000000000005</v>
      </c>
      <c r="P46" s="59">
        <f t="shared" si="45"/>
        <v>654.69999999999993</v>
      </c>
      <c r="Q46" s="57">
        <f t="shared" si="46"/>
        <v>0</v>
      </c>
      <c r="R46" s="163">
        <f t="shared" si="47"/>
        <v>0</v>
      </c>
    </row>
    <row r="47" spans="2:18" ht="15.75" thickBot="1" x14ac:dyDescent="0.3">
      <c r="C47" s="165"/>
      <c r="D47" s="165"/>
      <c r="E47" s="180"/>
      <c r="F47" s="180"/>
      <c r="G47" s="181"/>
      <c r="H47" s="165"/>
      <c r="I47" s="164"/>
      <c r="J47" s="164"/>
      <c r="K47" s="165"/>
      <c r="L47" s="165"/>
      <c r="M47" s="164"/>
      <c r="N47" s="164"/>
      <c r="O47" s="165"/>
      <c r="P47" s="165"/>
      <c r="Q47" s="164"/>
      <c r="R47" s="164"/>
    </row>
    <row r="48" spans="2:18" x14ac:dyDescent="0.25">
      <c r="B48" s="341" t="s">
        <v>10</v>
      </c>
      <c r="C48" s="166" t="s">
        <v>14</v>
      </c>
      <c r="D48" s="168" t="s">
        <v>14</v>
      </c>
      <c r="E48" s="343" t="s">
        <v>354</v>
      </c>
      <c r="F48" s="352" t="s">
        <v>355</v>
      </c>
      <c r="G48" s="166" t="s">
        <v>14</v>
      </c>
      <c r="H48" s="168" t="s">
        <v>14</v>
      </c>
      <c r="I48" s="343" t="s">
        <v>354</v>
      </c>
      <c r="J48" s="352" t="s">
        <v>355</v>
      </c>
      <c r="K48" s="166" t="s">
        <v>14</v>
      </c>
      <c r="L48" s="168" t="s">
        <v>14</v>
      </c>
      <c r="M48" s="343" t="s">
        <v>354</v>
      </c>
      <c r="N48" s="357" t="s">
        <v>355</v>
      </c>
      <c r="O48" s="166" t="s">
        <v>14</v>
      </c>
      <c r="P48" s="168" t="s">
        <v>14</v>
      </c>
      <c r="Q48" s="343" t="s">
        <v>354</v>
      </c>
      <c r="R48" s="357" t="s">
        <v>355</v>
      </c>
    </row>
    <row r="49" spans="2:18" ht="15.75" thickBot="1" x14ac:dyDescent="0.3">
      <c r="B49" s="342"/>
      <c r="C49" s="167" t="s">
        <v>290</v>
      </c>
      <c r="D49" s="169" t="s">
        <v>291</v>
      </c>
      <c r="E49" s="344"/>
      <c r="F49" s="353"/>
      <c r="G49" s="167" t="s">
        <v>290</v>
      </c>
      <c r="H49" s="169" t="s">
        <v>291</v>
      </c>
      <c r="I49" s="344"/>
      <c r="J49" s="353"/>
      <c r="K49" s="167" t="s">
        <v>290</v>
      </c>
      <c r="L49" s="169" t="s">
        <v>291</v>
      </c>
      <c r="M49" s="344"/>
      <c r="N49" s="358"/>
      <c r="O49" s="167" t="s">
        <v>290</v>
      </c>
      <c r="P49" s="169" t="s">
        <v>291</v>
      </c>
      <c r="Q49" s="344"/>
      <c r="R49" s="358"/>
    </row>
    <row r="50" spans="2:18" ht="15.75" thickBot="1" x14ac:dyDescent="0.3">
      <c r="B50" s="346" t="s">
        <v>429</v>
      </c>
      <c r="C50" s="363" t="s">
        <v>425</v>
      </c>
      <c r="D50" s="177" t="s">
        <v>425</v>
      </c>
      <c r="E50" s="344"/>
      <c r="F50" s="354"/>
      <c r="G50" s="363" t="s">
        <v>426</v>
      </c>
      <c r="H50" s="177" t="s">
        <v>426</v>
      </c>
      <c r="I50" s="344"/>
      <c r="J50" s="354"/>
      <c r="K50" s="363" t="s">
        <v>427</v>
      </c>
      <c r="L50" s="177" t="s">
        <v>427</v>
      </c>
      <c r="M50" s="344"/>
      <c r="N50" s="358"/>
      <c r="O50" s="363" t="s">
        <v>428</v>
      </c>
      <c r="P50" s="177" t="s">
        <v>428</v>
      </c>
      <c r="Q50" s="344"/>
      <c r="R50" s="358"/>
    </row>
    <row r="51" spans="2:18" ht="30.75" thickBot="1" x14ac:dyDescent="0.3">
      <c r="B51" s="347"/>
      <c r="C51" s="364"/>
      <c r="D51" s="179" t="s">
        <v>447</v>
      </c>
      <c r="E51" s="345"/>
      <c r="F51" s="345"/>
      <c r="G51" s="364"/>
      <c r="H51" s="179" t="s">
        <v>448</v>
      </c>
      <c r="I51" s="345"/>
      <c r="J51" s="345"/>
      <c r="K51" s="364"/>
      <c r="L51" s="179" t="s">
        <v>446</v>
      </c>
      <c r="M51" s="345"/>
      <c r="N51" s="359"/>
      <c r="O51" s="364"/>
      <c r="P51" s="179" t="s">
        <v>449</v>
      </c>
      <c r="Q51" s="345"/>
      <c r="R51" s="359"/>
    </row>
    <row r="52" spans="2:18" x14ac:dyDescent="0.25">
      <c r="B52" s="44">
        <v>1</v>
      </c>
      <c r="C52" s="154">
        <v>2.7777777777777802E-10</v>
      </c>
      <c r="D52" s="123">
        <f>L52/3600</f>
        <v>2.7777777777777777E-10</v>
      </c>
      <c r="E52" s="54">
        <f>C52-D52</f>
        <v>0</v>
      </c>
      <c r="F52" s="54">
        <f>(100*E52)/D52</f>
        <v>0</v>
      </c>
      <c r="G52" s="154">
        <v>9.9999999999999995E-7</v>
      </c>
      <c r="H52" s="123">
        <f>L52</f>
        <v>9.9999999999999995E-7</v>
      </c>
      <c r="I52" s="54">
        <f>G52-H52</f>
        <v>0</v>
      </c>
      <c r="J52" s="54">
        <f>(100*I52)/H52</f>
        <v>0</v>
      </c>
      <c r="K52" s="154">
        <v>9.9999999999999995E-7</v>
      </c>
      <c r="L52" s="123">
        <f>B52/1000000</f>
        <v>9.9999999999999995E-7</v>
      </c>
      <c r="M52" s="54">
        <f>K52-L52</f>
        <v>0</v>
      </c>
      <c r="N52" s="117">
        <f>(100*M52)/L52</f>
        <v>0</v>
      </c>
      <c r="O52" s="154">
        <v>1E-3</v>
      </c>
      <c r="P52" s="123">
        <f>L52*1000</f>
        <v>1E-3</v>
      </c>
      <c r="Q52" s="54">
        <f>O52-P52</f>
        <v>0</v>
      </c>
      <c r="R52" s="162">
        <f>(100*Q52)/P52</f>
        <v>0</v>
      </c>
    </row>
    <row r="53" spans="2:18" x14ac:dyDescent="0.25">
      <c r="B53" s="47">
        <v>987</v>
      </c>
      <c r="C53" s="159">
        <v>2.7416666666666702E-7</v>
      </c>
      <c r="D53" s="123">
        <f t="shared" ref="D53:D57" si="48">L53/3600</f>
        <v>2.7416666666666665E-7</v>
      </c>
      <c r="E53" s="52">
        <f t="shared" ref="E53:E57" si="49">C53-D53</f>
        <v>0</v>
      </c>
      <c r="F53" s="52">
        <f t="shared" ref="F53:F57" si="50">(100*E53)/D53</f>
        <v>0</v>
      </c>
      <c r="G53" s="159">
        <v>9.8700000000000003E-4</v>
      </c>
      <c r="H53" s="123">
        <f t="shared" ref="H53:H57" si="51">L53</f>
        <v>9.8700000000000003E-4</v>
      </c>
      <c r="I53" s="52">
        <f t="shared" ref="I53:I57" si="52">G53-H53</f>
        <v>0</v>
      </c>
      <c r="J53" s="52">
        <f t="shared" ref="J53:J57" si="53">(100*I53)/H53</f>
        <v>0</v>
      </c>
      <c r="K53" s="159">
        <v>9.8700000000000003E-4</v>
      </c>
      <c r="L53" s="123">
        <f t="shared" ref="L53:L57" si="54">B53/1000000</f>
        <v>9.8700000000000003E-4</v>
      </c>
      <c r="M53" s="52">
        <f t="shared" ref="M53:M57" si="55">K53-L53</f>
        <v>0</v>
      </c>
      <c r="N53" s="118">
        <f t="shared" ref="N53:N57" si="56">(100*M53)/L53</f>
        <v>0</v>
      </c>
      <c r="O53" s="159">
        <v>0.98699999999999999</v>
      </c>
      <c r="P53" s="123">
        <f t="shared" ref="P53:P57" si="57">L53*1000</f>
        <v>0.98699999999999999</v>
      </c>
      <c r="Q53" s="52">
        <f t="shared" ref="Q53:Q57" si="58">O53-P53</f>
        <v>0</v>
      </c>
      <c r="R53" s="153">
        <f t="shared" ref="R53:R57" si="59">(100*Q53)/P53</f>
        <v>0</v>
      </c>
    </row>
    <row r="54" spans="2:18" x14ac:dyDescent="0.25">
      <c r="B54" s="47">
        <v>5987</v>
      </c>
      <c r="C54" s="159">
        <v>1.6630555555555601E-6</v>
      </c>
      <c r="D54" s="123">
        <f t="shared" si="48"/>
        <v>1.6630555555555556E-6</v>
      </c>
      <c r="E54" s="52">
        <f t="shared" si="49"/>
        <v>4.4469229730850768E-21</v>
      </c>
      <c r="F54" s="52">
        <f t="shared" si="50"/>
        <v>2.6739473364132749E-13</v>
      </c>
      <c r="G54" s="159">
        <v>5.9870000000000001E-3</v>
      </c>
      <c r="H54" s="123">
        <f t="shared" si="51"/>
        <v>5.9870000000000001E-3</v>
      </c>
      <c r="I54" s="52">
        <f t="shared" si="52"/>
        <v>0</v>
      </c>
      <c r="J54" s="52">
        <f t="shared" si="53"/>
        <v>0</v>
      </c>
      <c r="K54" s="159">
        <v>5.9870000000000001E-3</v>
      </c>
      <c r="L54" s="123">
        <f t="shared" si="54"/>
        <v>5.9870000000000001E-3</v>
      </c>
      <c r="M54" s="52">
        <f t="shared" si="55"/>
        <v>0</v>
      </c>
      <c r="N54" s="118">
        <f t="shared" si="56"/>
        <v>0</v>
      </c>
      <c r="O54" s="159">
        <v>5.9870000000000001</v>
      </c>
      <c r="P54" s="123">
        <f t="shared" si="57"/>
        <v>5.9870000000000001</v>
      </c>
      <c r="Q54" s="52">
        <f t="shared" si="58"/>
        <v>0</v>
      </c>
      <c r="R54" s="153">
        <f t="shared" si="59"/>
        <v>0</v>
      </c>
    </row>
    <row r="55" spans="2:18" x14ac:dyDescent="0.25">
      <c r="B55" s="47">
        <v>4455667788</v>
      </c>
      <c r="C55" s="159">
        <v>1.23769</v>
      </c>
      <c r="D55" s="123">
        <f t="shared" si="48"/>
        <v>1.2376854966666666</v>
      </c>
      <c r="E55" s="52">
        <f t="shared" si="49"/>
        <v>4.503333333349957E-6</v>
      </c>
      <c r="F55" s="52">
        <f t="shared" si="50"/>
        <v>3.6385118396218831E-4</v>
      </c>
      <c r="G55" s="159">
        <v>4455.67</v>
      </c>
      <c r="H55" s="123">
        <f t="shared" si="51"/>
        <v>4455.6677879999997</v>
      </c>
      <c r="I55" s="52">
        <f t="shared" si="52"/>
        <v>2.2120000003269524E-3</v>
      </c>
      <c r="J55" s="52">
        <f t="shared" si="53"/>
        <v>4.9644634779197604E-5</v>
      </c>
      <c r="K55" s="159">
        <v>4455.67</v>
      </c>
      <c r="L55" s="123">
        <f t="shared" si="54"/>
        <v>4455.6677879999997</v>
      </c>
      <c r="M55" s="52">
        <f t="shared" si="55"/>
        <v>2.2120000003269524E-3</v>
      </c>
      <c r="N55" s="118">
        <f t="shared" si="56"/>
        <v>4.9644634779197604E-5</v>
      </c>
      <c r="O55" s="159">
        <v>4455668</v>
      </c>
      <c r="P55" s="123">
        <f t="shared" si="57"/>
        <v>4455667.7879999997</v>
      </c>
      <c r="Q55" s="52">
        <f t="shared" si="58"/>
        <v>0.21200000029057264</v>
      </c>
      <c r="R55" s="153">
        <f t="shared" si="59"/>
        <v>4.7579848942403393E-6</v>
      </c>
    </row>
    <row r="56" spans="2:18" x14ac:dyDescent="0.25">
      <c r="B56" s="47">
        <v>-654</v>
      </c>
      <c r="C56" s="159">
        <v>-1.8166666666666701E-7</v>
      </c>
      <c r="D56" s="123">
        <f t="shared" si="48"/>
        <v>-1.8166666666666667E-7</v>
      </c>
      <c r="E56" s="52">
        <f t="shared" si="49"/>
        <v>-3.4410713482205951E-22</v>
      </c>
      <c r="F56" s="52">
        <f t="shared" si="50"/>
        <v>1.8941677146168414E-13</v>
      </c>
      <c r="G56" s="159">
        <v>-6.5399999999999996E-4</v>
      </c>
      <c r="H56" s="123">
        <f t="shared" si="51"/>
        <v>-6.5399999999999996E-4</v>
      </c>
      <c r="I56" s="52">
        <f t="shared" si="52"/>
        <v>0</v>
      </c>
      <c r="J56" s="52">
        <f t="shared" si="53"/>
        <v>0</v>
      </c>
      <c r="K56" s="159">
        <v>-6.5399999999999996E-4</v>
      </c>
      <c r="L56" s="123">
        <f t="shared" si="54"/>
        <v>-6.5399999999999996E-4</v>
      </c>
      <c r="M56" s="52">
        <f t="shared" si="55"/>
        <v>0</v>
      </c>
      <c r="N56" s="118">
        <f t="shared" si="56"/>
        <v>0</v>
      </c>
      <c r="O56" s="159">
        <v>-0.65400000000000003</v>
      </c>
      <c r="P56" s="123">
        <f t="shared" si="57"/>
        <v>-0.65399999999999991</v>
      </c>
      <c r="Q56" s="52">
        <f t="shared" si="58"/>
        <v>0</v>
      </c>
      <c r="R56" s="153">
        <f t="shared" si="59"/>
        <v>0</v>
      </c>
    </row>
    <row r="57" spans="2:18" ht="15.75" thickBot="1" x14ac:dyDescent="0.3">
      <c r="B57" s="74">
        <v>0.65469999999999995</v>
      </c>
      <c r="C57" s="156">
        <v>1.8186111111111099E-10</v>
      </c>
      <c r="D57" s="59">
        <f t="shared" si="48"/>
        <v>1.8186111111111109E-10</v>
      </c>
      <c r="E57" s="57">
        <f t="shared" si="49"/>
        <v>0</v>
      </c>
      <c r="F57" s="57">
        <f t="shared" si="50"/>
        <v>0</v>
      </c>
      <c r="G57" s="156">
        <v>6.5469999999999995E-7</v>
      </c>
      <c r="H57" s="59">
        <f t="shared" si="51"/>
        <v>6.5469999999999995E-7</v>
      </c>
      <c r="I57" s="57">
        <f t="shared" si="52"/>
        <v>0</v>
      </c>
      <c r="J57" s="57">
        <f t="shared" si="53"/>
        <v>0</v>
      </c>
      <c r="K57" s="156">
        <v>6.5469999999999995E-7</v>
      </c>
      <c r="L57" s="59">
        <f t="shared" si="54"/>
        <v>6.5469999999999995E-7</v>
      </c>
      <c r="M57" s="57">
        <f t="shared" si="55"/>
        <v>0</v>
      </c>
      <c r="N57" s="119">
        <f t="shared" si="56"/>
        <v>0</v>
      </c>
      <c r="O57" s="156">
        <v>6.5470000000000003E-4</v>
      </c>
      <c r="P57" s="59">
        <f t="shared" si="57"/>
        <v>6.5469999999999992E-4</v>
      </c>
      <c r="Q57" s="57">
        <f t="shared" si="58"/>
        <v>0</v>
      </c>
      <c r="R57" s="163">
        <f t="shared" si="59"/>
        <v>0</v>
      </c>
    </row>
  </sheetData>
  <mergeCells count="71">
    <mergeCell ref="B1:K1"/>
    <mergeCell ref="B4:B5"/>
    <mergeCell ref="E4:E7"/>
    <mergeCell ref="F4:F7"/>
    <mergeCell ref="I4:I7"/>
    <mergeCell ref="J4:J7"/>
    <mergeCell ref="M4:M7"/>
    <mergeCell ref="N4:N7"/>
    <mergeCell ref="Q4:Q7"/>
    <mergeCell ref="R4:R7"/>
    <mergeCell ref="B6:B7"/>
    <mergeCell ref="C6:C7"/>
    <mergeCell ref="G6:G7"/>
    <mergeCell ref="K6:K7"/>
    <mergeCell ref="O6:O7"/>
    <mergeCell ref="N15:N18"/>
    <mergeCell ref="Q15:Q18"/>
    <mergeCell ref="R15:R18"/>
    <mergeCell ref="B17:B18"/>
    <mergeCell ref="C17:C18"/>
    <mergeCell ref="G17:G18"/>
    <mergeCell ref="K17:K18"/>
    <mergeCell ref="O17:O18"/>
    <mergeCell ref="B15:B16"/>
    <mergeCell ref="E15:E18"/>
    <mergeCell ref="F15:F18"/>
    <mergeCell ref="I15:I18"/>
    <mergeCell ref="J15:J18"/>
    <mergeCell ref="M15:M18"/>
    <mergeCell ref="N26:N29"/>
    <mergeCell ref="Q26:Q29"/>
    <mergeCell ref="R26:R29"/>
    <mergeCell ref="B28:B29"/>
    <mergeCell ref="C28:C29"/>
    <mergeCell ref="G28:G29"/>
    <mergeCell ref="K28:K29"/>
    <mergeCell ref="O28:O29"/>
    <mergeCell ref="B26:B27"/>
    <mergeCell ref="E26:E29"/>
    <mergeCell ref="F26:F29"/>
    <mergeCell ref="I26:I29"/>
    <mergeCell ref="J26:J29"/>
    <mergeCell ref="M26:M29"/>
    <mergeCell ref="N37:N40"/>
    <mergeCell ref="Q37:Q40"/>
    <mergeCell ref="R37:R40"/>
    <mergeCell ref="B39:B40"/>
    <mergeCell ref="C39:C40"/>
    <mergeCell ref="G39:G40"/>
    <mergeCell ref="K39:K40"/>
    <mergeCell ref="O39:O40"/>
    <mergeCell ref="B37:B38"/>
    <mergeCell ref="E37:E40"/>
    <mergeCell ref="F37:F40"/>
    <mergeCell ref="I37:I40"/>
    <mergeCell ref="J37:J40"/>
    <mergeCell ref="M37:M40"/>
    <mergeCell ref="N48:N51"/>
    <mergeCell ref="Q48:Q51"/>
    <mergeCell ref="R48:R51"/>
    <mergeCell ref="B50:B51"/>
    <mergeCell ref="C50:C51"/>
    <mergeCell ref="G50:G51"/>
    <mergeCell ref="K50:K51"/>
    <mergeCell ref="O50:O51"/>
    <mergeCell ref="B48:B49"/>
    <mergeCell ref="E48:E51"/>
    <mergeCell ref="F48:F51"/>
    <mergeCell ref="I48:I51"/>
    <mergeCell ref="J48:J51"/>
    <mergeCell ref="M48:M51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R57"/>
  <sheetViews>
    <sheetView workbookViewId="0">
      <pane xSplit="2" ySplit="1" topLeftCell="N35" activePane="bottomRight" state="frozen"/>
      <selection pane="topRight" activeCell="C1" sqref="C1"/>
      <selection pane="bottomLeft" activeCell="A2" sqref="A2"/>
      <selection pane="bottomRight" activeCell="P58" sqref="P58"/>
    </sheetView>
  </sheetViews>
  <sheetFormatPr defaultRowHeight="15" x14ac:dyDescent="0.25"/>
  <cols>
    <col min="1" max="1" width="4" customWidth="1"/>
    <col min="2" max="2" width="18.85546875" bestFit="1" customWidth="1"/>
    <col min="3" max="3" width="33.28515625" bestFit="1" customWidth="1"/>
    <col min="4" max="4" width="43.42578125" customWidth="1"/>
    <col min="5" max="5" width="23.85546875" bestFit="1" customWidth="1"/>
    <col min="6" max="6" width="23" bestFit="1" customWidth="1"/>
    <col min="7" max="7" width="36.42578125" bestFit="1" customWidth="1"/>
    <col min="8" max="8" width="40.7109375" customWidth="1"/>
    <col min="9" max="9" width="23.140625" bestFit="1" customWidth="1"/>
    <col min="10" max="10" width="23" bestFit="1" customWidth="1"/>
    <col min="11" max="11" width="39.5703125" bestFit="1" customWidth="1"/>
    <col min="12" max="12" width="49.140625" customWidth="1"/>
    <col min="13" max="13" width="30.42578125" customWidth="1"/>
    <col min="14" max="14" width="23" bestFit="1" customWidth="1"/>
    <col min="15" max="15" width="33.28515625" bestFit="1" customWidth="1"/>
    <col min="16" max="16" width="45.85546875" customWidth="1"/>
    <col min="17" max="17" width="32.28515625" customWidth="1"/>
    <col min="18" max="18" width="23" bestFit="1" customWidth="1"/>
  </cols>
  <sheetData>
    <row r="1" spans="2:18" ht="31.5" x14ac:dyDescent="0.5">
      <c r="B1" s="340" t="s">
        <v>289</v>
      </c>
      <c r="C1" s="340"/>
      <c r="D1" s="340"/>
      <c r="E1" s="340"/>
      <c r="F1" s="340"/>
      <c r="G1" s="340"/>
      <c r="H1" s="340"/>
      <c r="I1" s="340"/>
      <c r="J1" s="340"/>
      <c r="K1" s="340"/>
    </row>
    <row r="2" spans="2:18" x14ac:dyDescent="0.25">
      <c r="B2" s="70" t="s">
        <v>340</v>
      </c>
      <c r="C2" t="s">
        <v>341</v>
      </c>
      <c r="D2" t="s">
        <v>450</v>
      </c>
    </row>
    <row r="3" spans="2:18" ht="15.75" thickBot="1" x14ac:dyDescent="0.3"/>
    <row r="4" spans="2:18" x14ac:dyDescent="0.25">
      <c r="B4" s="341" t="s">
        <v>10</v>
      </c>
      <c r="C4" s="62" t="s">
        <v>14</v>
      </c>
      <c r="D4" s="65" t="s">
        <v>14</v>
      </c>
      <c r="E4" s="330" t="s">
        <v>354</v>
      </c>
      <c r="F4" s="324" t="s">
        <v>355</v>
      </c>
      <c r="G4" s="62" t="s">
        <v>14</v>
      </c>
      <c r="H4" s="65" t="s">
        <v>14</v>
      </c>
      <c r="I4" s="330" t="s">
        <v>354</v>
      </c>
      <c r="J4" s="324" t="s">
        <v>355</v>
      </c>
      <c r="K4" s="62" t="s">
        <v>14</v>
      </c>
      <c r="L4" s="65" t="s">
        <v>14</v>
      </c>
      <c r="M4" s="330" t="s">
        <v>354</v>
      </c>
      <c r="N4" s="321" t="s">
        <v>355</v>
      </c>
      <c r="O4" s="62" t="s">
        <v>14</v>
      </c>
      <c r="P4" s="65" t="s">
        <v>14</v>
      </c>
      <c r="Q4" s="330" t="s">
        <v>354</v>
      </c>
      <c r="R4" s="321" t="s">
        <v>355</v>
      </c>
    </row>
    <row r="5" spans="2:18" ht="15.75" thickBot="1" x14ac:dyDescent="0.3">
      <c r="B5" s="342"/>
      <c r="C5" s="63" t="s">
        <v>290</v>
      </c>
      <c r="D5" s="27" t="s">
        <v>291</v>
      </c>
      <c r="E5" s="331"/>
      <c r="F5" s="325"/>
      <c r="G5" s="63" t="s">
        <v>290</v>
      </c>
      <c r="H5" s="27" t="s">
        <v>291</v>
      </c>
      <c r="I5" s="331"/>
      <c r="J5" s="325"/>
      <c r="K5" s="63" t="s">
        <v>290</v>
      </c>
      <c r="L5" s="27" t="s">
        <v>291</v>
      </c>
      <c r="M5" s="331"/>
      <c r="N5" s="322"/>
      <c r="O5" s="63" t="s">
        <v>290</v>
      </c>
      <c r="P5" s="27" t="s">
        <v>291</v>
      </c>
      <c r="Q5" s="331"/>
      <c r="R5" s="322"/>
    </row>
    <row r="6" spans="2:18" ht="15.75" thickBot="1" x14ac:dyDescent="0.3">
      <c r="B6" s="346" t="s">
        <v>451</v>
      </c>
      <c r="C6" s="346" t="s">
        <v>452</v>
      </c>
      <c r="D6" s="16" t="s">
        <v>452</v>
      </c>
      <c r="E6" s="331"/>
      <c r="F6" s="326"/>
      <c r="G6" s="346" t="s">
        <v>453</v>
      </c>
      <c r="H6" s="16" t="s">
        <v>453</v>
      </c>
      <c r="I6" s="331"/>
      <c r="J6" s="326"/>
      <c r="K6" s="346" t="s">
        <v>454</v>
      </c>
      <c r="L6" s="16" t="s">
        <v>454</v>
      </c>
      <c r="M6" s="331"/>
      <c r="N6" s="322"/>
      <c r="O6" s="346" t="s">
        <v>455</v>
      </c>
      <c r="P6" s="16" t="s">
        <v>455</v>
      </c>
      <c r="Q6" s="331"/>
      <c r="R6" s="322"/>
    </row>
    <row r="7" spans="2:18" ht="30.75" thickBot="1" x14ac:dyDescent="0.3">
      <c r="B7" s="347"/>
      <c r="C7" s="347"/>
      <c r="D7" s="120" t="s">
        <v>456</v>
      </c>
      <c r="E7" s="327"/>
      <c r="F7" s="327"/>
      <c r="G7" s="347"/>
      <c r="H7" s="120" t="s">
        <v>458</v>
      </c>
      <c r="I7" s="327"/>
      <c r="J7" s="327"/>
      <c r="K7" s="347"/>
      <c r="L7" s="121" t="s">
        <v>457</v>
      </c>
      <c r="M7" s="327"/>
      <c r="N7" s="323"/>
      <c r="O7" s="347"/>
      <c r="P7" s="121" t="s">
        <v>459</v>
      </c>
      <c r="Q7" s="327"/>
      <c r="R7" s="323"/>
    </row>
    <row r="8" spans="2:18" x14ac:dyDescent="0.25">
      <c r="B8" s="44">
        <v>1</v>
      </c>
      <c r="C8" s="154">
        <v>1000000</v>
      </c>
      <c r="D8" s="123">
        <f>P8*1000</f>
        <v>1000000</v>
      </c>
      <c r="E8" s="54">
        <f>C8-D8</f>
        <v>0</v>
      </c>
      <c r="F8" s="54">
        <f>(100*E8)/D8</f>
        <v>0</v>
      </c>
      <c r="G8" s="154">
        <v>1E-3</v>
      </c>
      <c r="H8" s="123">
        <f>P8/1000000</f>
        <v>1E-3</v>
      </c>
      <c r="I8" s="54">
        <f>G8-H8</f>
        <v>0</v>
      </c>
      <c r="J8" s="54">
        <f>(100*I8)/H8</f>
        <v>0</v>
      </c>
      <c r="K8" s="154">
        <v>1000000000</v>
      </c>
      <c r="L8" s="123">
        <f>P8*1000000</f>
        <v>1000000000</v>
      </c>
      <c r="M8" s="54">
        <f>K8-L8</f>
        <v>0</v>
      </c>
      <c r="N8" s="117">
        <f>(100*M8)/L8</f>
        <v>0</v>
      </c>
      <c r="O8" s="154">
        <v>1000</v>
      </c>
      <c r="P8" s="123">
        <f>B8*1000</f>
        <v>1000</v>
      </c>
      <c r="Q8" s="54">
        <f>O8-P8</f>
        <v>0</v>
      </c>
      <c r="R8" s="162">
        <f>(100*Q8)/P8</f>
        <v>0</v>
      </c>
    </row>
    <row r="9" spans="2:18" x14ac:dyDescent="0.25">
      <c r="B9" s="47">
        <v>987</v>
      </c>
      <c r="C9" s="159">
        <v>987000000</v>
      </c>
      <c r="D9" s="123">
        <f t="shared" ref="D9:D13" si="0">P9*1000</f>
        <v>987000000</v>
      </c>
      <c r="E9" s="52">
        <f t="shared" ref="E9:E13" si="1">C9-D9</f>
        <v>0</v>
      </c>
      <c r="F9" s="52">
        <f t="shared" ref="F9:F13" si="2">(100*E9)/D9</f>
        <v>0</v>
      </c>
      <c r="G9" s="159">
        <v>0.98699999999999999</v>
      </c>
      <c r="H9" s="123">
        <f t="shared" ref="H9:H13" si="3">P9/1000000</f>
        <v>0.98699999999999999</v>
      </c>
      <c r="I9" s="52">
        <f t="shared" ref="I9:I13" si="4">G9-H9</f>
        <v>0</v>
      </c>
      <c r="J9" s="52">
        <f t="shared" ref="J9:J13" si="5">(100*I9)/H9</f>
        <v>0</v>
      </c>
      <c r="K9" s="159">
        <v>987000000000</v>
      </c>
      <c r="L9" s="123">
        <f t="shared" ref="L9:L13" si="6">P9*1000000</f>
        <v>987000000000</v>
      </c>
      <c r="M9" s="52">
        <f t="shared" ref="M9:M13" si="7">K9-L9</f>
        <v>0</v>
      </c>
      <c r="N9" s="118">
        <f t="shared" ref="N9:N13" si="8">(100*M9)/L9</f>
        <v>0</v>
      </c>
      <c r="O9" s="159">
        <v>987000</v>
      </c>
      <c r="P9" s="123">
        <f t="shared" ref="P9:P13" si="9">B9*1000</f>
        <v>987000</v>
      </c>
      <c r="Q9" s="52">
        <f t="shared" ref="Q9:Q13" si="10">O9-P9</f>
        <v>0</v>
      </c>
      <c r="R9" s="153">
        <f t="shared" ref="R9:R13" si="11">(100*Q9)/P9</f>
        <v>0</v>
      </c>
    </row>
    <row r="10" spans="2:18" x14ac:dyDescent="0.25">
      <c r="B10" s="47">
        <v>5987</v>
      </c>
      <c r="C10" s="159">
        <v>5987000000</v>
      </c>
      <c r="D10" s="123">
        <f t="shared" si="0"/>
        <v>5987000000</v>
      </c>
      <c r="E10" s="52">
        <f t="shared" si="1"/>
        <v>0</v>
      </c>
      <c r="F10" s="52">
        <f t="shared" si="2"/>
        <v>0</v>
      </c>
      <c r="G10" s="159">
        <v>5.9870000000000001</v>
      </c>
      <c r="H10" s="123">
        <f t="shared" si="3"/>
        <v>5.9870000000000001</v>
      </c>
      <c r="I10" s="52">
        <f t="shared" si="4"/>
        <v>0</v>
      </c>
      <c r="J10" s="52">
        <f t="shared" si="5"/>
        <v>0</v>
      </c>
      <c r="K10" s="159">
        <v>5987000000000</v>
      </c>
      <c r="L10" s="123">
        <f t="shared" si="6"/>
        <v>5987000000000</v>
      </c>
      <c r="M10" s="52">
        <f t="shared" si="7"/>
        <v>0</v>
      </c>
      <c r="N10" s="118">
        <f t="shared" si="8"/>
        <v>0</v>
      </c>
      <c r="O10" s="159">
        <v>5987000</v>
      </c>
      <c r="P10" s="123">
        <f t="shared" si="9"/>
        <v>5987000</v>
      </c>
      <c r="Q10" s="52">
        <f t="shared" si="10"/>
        <v>0</v>
      </c>
      <c r="R10" s="153">
        <f t="shared" si="11"/>
        <v>0</v>
      </c>
    </row>
    <row r="11" spans="2:18" x14ac:dyDescent="0.25">
      <c r="B11" s="47">
        <v>4455667788</v>
      </c>
      <c r="C11" s="159">
        <v>4455667788000000</v>
      </c>
      <c r="D11" s="123">
        <f t="shared" si="0"/>
        <v>4455667788000000</v>
      </c>
      <c r="E11" s="52">
        <f t="shared" si="1"/>
        <v>0</v>
      </c>
      <c r="F11" s="52">
        <f t="shared" si="2"/>
        <v>0</v>
      </c>
      <c r="G11" s="159">
        <v>4455668</v>
      </c>
      <c r="H11" s="123">
        <f t="shared" si="3"/>
        <v>4455667.7879999997</v>
      </c>
      <c r="I11" s="52">
        <f t="shared" si="4"/>
        <v>0.21200000029057264</v>
      </c>
      <c r="J11" s="52">
        <f t="shared" si="5"/>
        <v>4.7579848942403393E-6</v>
      </c>
      <c r="K11" s="159">
        <v>4.455667788E+18</v>
      </c>
      <c r="L11" s="123">
        <f t="shared" si="6"/>
        <v>4.455667788E+18</v>
      </c>
      <c r="M11" s="52">
        <f t="shared" si="7"/>
        <v>0</v>
      </c>
      <c r="N11" s="118">
        <f t="shared" si="8"/>
        <v>0</v>
      </c>
      <c r="O11" s="159">
        <v>4455667788000</v>
      </c>
      <c r="P11" s="123">
        <f t="shared" si="9"/>
        <v>4455667788000</v>
      </c>
      <c r="Q11" s="52">
        <f t="shared" si="10"/>
        <v>0</v>
      </c>
      <c r="R11" s="153">
        <f t="shared" si="11"/>
        <v>0</v>
      </c>
    </row>
    <row r="12" spans="2:18" x14ac:dyDescent="0.25">
      <c r="B12" s="47">
        <v>-654</v>
      </c>
      <c r="C12" s="159">
        <v>-654000000</v>
      </c>
      <c r="D12" s="123">
        <f t="shared" si="0"/>
        <v>-654000000</v>
      </c>
      <c r="E12" s="52">
        <f t="shared" si="1"/>
        <v>0</v>
      </c>
      <c r="F12" s="52">
        <f t="shared" si="2"/>
        <v>0</v>
      </c>
      <c r="G12" s="159">
        <v>-0.65400000000000003</v>
      </c>
      <c r="H12" s="123">
        <f t="shared" si="3"/>
        <v>-0.65400000000000003</v>
      </c>
      <c r="I12" s="52">
        <f t="shared" si="4"/>
        <v>0</v>
      </c>
      <c r="J12" s="52">
        <f t="shared" si="5"/>
        <v>0</v>
      </c>
      <c r="K12" s="159">
        <v>-654000000000</v>
      </c>
      <c r="L12" s="123">
        <f t="shared" si="6"/>
        <v>-654000000000</v>
      </c>
      <c r="M12" s="52">
        <f t="shared" si="7"/>
        <v>0</v>
      </c>
      <c r="N12" s="118">
        <f t="shared" si="8"/>
        <v>0</v>
      </c>
      <c r="O12" s="159">
        <v>-654000</v>
      </c>
      <c r="P12" s="123">
        <f t="shared" si="9"/>
        <v>-654000</v>
      </c>
      <c r="Q12" s="52">
        <f t="shared" si="10"/>
        <v>0</v>
      </c>
      <c r="R12" s="153">
        <f t="shared" si="11"/>
        <v>0</v>
      </c>
    </row>
    <row r="13" spans="2:18" ht="15.75" thickBot="1" x14ac:dyDescent="0.3">
      <c r="B13" s="74">
        <v>0.65469999999999995</v>
      </c>
      <c r="C13" s="156">
        <v>654700</v>
      </c>
      <c r="D13" s="59">
        <f t="shared" si="0"/>
        <v>654699.99999999988</v>
      </c>
      <c r="E13" s="57">
        <f t="shared" si="1"/>
        <v>0</v>
      </c>
      <c r="F13" s="57">
        <f t="shared" si="2"/>
        <v>0</v>
      </c>
      <c r="G13" s="156">
        <v>6.5470000000000003E-4</v>
      </c>
      <c r="H13" s="59">
        <f t="shared" si="3"/>
        <v>6.5469999999999992E-4</v>
      </c>
      <c r="I13" s="57">
        <f t="shared" si="4"/>
        <v>0</v>
      </c>
      <c r="J13" s="57">
        <f t="shared" si="5"/>
        <v>0</v>
      </c>
      <c r="K13" s="156">
        <v>654700000</v>
      </c>
      <c r="L13" s="59">
        <f t="shared" si="6"/>
        <v>654699999.99999988</v>
      </c>
      <c r="M13" s="57">
        <f t="shared" si="7"/>
        <v>0</v>
      </c>
      <c r="N13" s="119">
        <f t="shared" si="8"/>
        <v>0</v>
      </c>
      <c r="O13" s="156">
        <v>654.70000000000005</v>
      </c>
      <c r="P13" s="59">
        <f t="shared" si="9"/>
        <v>654.69999999999993</v>
      </c>
      <c r="Q13" s="57">
        <f t="shared" si="10"/>
        <v>0</v>
      </c>
      <c r="R13" s="163">
        <f t="shared" si="11"/>
        <v>0</v>
      </c>
    </row>
    <row r="14" spans="2:18" ht="15.75" thickBot="1" x14ac:dyDescent="0.3">
      <c r="C14" s="165"/>
      <c r="D14" s="165"/>
      <c r="E14" s="164"/>
      <c r="F14" s="164"/>
      <c r="G14" s="165"/>
      <c r="H14" s="165"/>
      <c r="I14" s="164"/>
      <c r="J14" s="164"/>
      <c r="K14" s="165"/>
      <c r="L14" s="165"/>
      <c r="M14" s="164"/>
      <c r="N14" s="164"/>
      <c r="O14" s="165"/>
      <c r="P14" s="165"/>
      <c r="Q14" s="164"/>
      <c r="R14" s="164"/>
    </row>
    <row r="15" spans="2:18" x14ac:dyDescent="0.25">
      <c r="B15" s="341" t="s">
        <v>10</v>
      </c>
      <c r="C15" s="166" t="s">
        <v>14</v>
      </c>
      <c r="D15" s="168" t="s">
        <v>14</v>
      </c>
      <c r="E15" s="343" t="s">
        <v>354</v>
      </c>
      <c r="F15" s="352" t="s">
        <v>355</v>
      </c>
      <c r="G15" s="166" t="s">
        <v>14</v>
      </c>
      <c r="H15" s="168" t="s">
        <v>14</v>
      </c>
      <c r="I15" s="343" t="s">
        <v>354</v>
      </c>
      <c r="J15" s="352" t="s">
        <v>355</v>
      </c>
      <c r="K15" s="166" t="s">
        <v>14</v>
      </c>
      <c r="L15" s="168" t="s">
        <v>14</v>
      </c>
      <c r="M15" s="343" t="s">
        <v>354</v>
      </c>
      <c r="N15" s="357" t="s">
        <v>355</v>
      </c>
      <c r="O15" s="166" t="s">
        <v>14</v>
      </c>
      <c r="P15" s="168" t="s">
        <v>14</v>
      </c>
      <c r="Q15" s="343" t="s">
        <v>354</v>
      </c>
      <c r="R15" s="357" t="s">
        <v>355</v>
      </c>
    </row>
    <row r="16" spans="2:18" ht="15.75" thickBot="1" x14ac:dyDescent="0.3">
      <c r="B16" s="342"/>
      <c r="C16" s="167" t="s">
        <v>290</v>
      </c>
      <c r="D16" s="169" t="s">
        <v>291</v>
      </c>
      <c r="E16" s="344"/>
      <c r="F16" s="353"/>
      <c r="G16" s="167" t="s">
        <v>290</v>
      </c>
      <c r="H16" s="169" t="s">
        <v>291</v>
      </c>
      <c r="I16" s="344"/>
      <c r="J16" s="353"/>
      <c r="K16" s="167" t="s">
        <v>290</v>
      </c>
      <c r="L16" s="169" t="s">
        <v>291</v>
      </c>
      <c r="M16" s="344"/>
      <c r="N16" s="358"/>
      <c r="O16" s="167" t="s">
        <v>290</v>
      </c>
      <c r="P16" s="169" t="s">
        <v>291</v>
      </c>
      <c r="Q16" s="344"/>
      <c r="R16" s="358"/>
    </row>
    <row r="17" spans="2:18" ht="15.75" thickBot="1" x14ac:dyDescent="0.3">
      <c r="B17" s="346" t="s">
        <v>452</v>
      </c>
      <c r="C17" s="363" t="s">
        <v>451</v>
      </c>
      <c r="D17" s="177" t="s">
        <v>451</v>
      </c>
      <c r="E17" s="344"/>
      <c r="F17" s="354"/>
      <c r="G17" s="363" t="s">
        <v>453</v>
      </c>
      <c r="H17" s="177" t="s">
        <v>453</v>
      </c>
      <c r="I17" s="344"/>
      <c r="J17" s="354"/>
      <c r="K17" s="363" t="s">
        <v>454</v>
      </c>
      <c r="L17" s="177" t="s">
        <v>454</v>
      </c>
      <c r="M17" s="344"/>
      <c r="N17" s="358"/>
      <c r="O17" s="363" t="s">
        <v>455</v>
      </c>
      <c r="P17" s="177" t="s">
        <v>455</v>
      </c>
      <c r="Q17" s="344"/>
      <c r="R17" s="358"/>
    </row>
    <row r="18" spans="2:18" ht="30.75" thickBot="1" x14ac:dyDescent="0.3">
      <c r="B18" s="362"/>
      <c r="C18" s="364"/>
      <c r="D18" s="178" t="s">
        <v>461</v>
      </c>
      <c r="E18" s="345"/>
      <c r="F18" s="345"/>
      <c r="G18" s="364"/>
      <c r="H18" s="178" t="s">
        <v>463</v>
      </c>
      <c r="I18" s="345"/>
      <c r="J18" s="345"/>
      <c r="K18" s="364"/>
      <c r="L18" s="179" t="s">
        <v>462</v>
      </c>
      <c r="M18" s="345"/>
      <c r="N18" s="359"/>
      <c r="O18" s="364"/>
      <c r="P18" s="179" t="s">
        <v>460</v>
      </c>
      <c r="Q18" s="345"/>
      <c r="R18" s="359"/>
    </row>
    <row r="19" spans="2:18" x14ac:dyDescent="0.25">
      <c r="B19" s="44">
        <v>1</v>
      </c>
      <c r="C19" s="154">
        <v>9.9999999999999995E-7</v>
      </c>
      <c r="D19" s="123">
        <f>P19/1000</f>
        <v>9.9999999999999995E-7</v>
      </c>
      <c r="E19" s="54">
        <f>C19-D19</f>
        <v>0</v>
      </c>
      <c r="F19" s="54">
        <f>(100*E19)/D19</f>
        <v>0</v>
      </c>
      <c r="G19" s="154">
        <v>1.0000000000000001E-9</v>
      </c>
      <c r="H19" s="123">
        <f>P19/1000000</f>
        <v>1.0000000000000001E-9</v>
      </c>
      <c r="I19" s="54">
        <f>G19-H19</f>
        <v>0</v>
      </c>
      <c r="J19" s="54">
        <f>(100*I19)/H19</f>
        <v>0</v>
      </c>
      <c r="K19" s="154">
        <v>1000</v>
      </c>
      <c r="L19" s="123">
        <f>P19*1000000</f>
        <v>1000</v>
      </c>
      <c r="M19" s="54">
        <f>K19-L19</f>
        <v>0</v>
      </c>
      <c r="N19" s="117">
        <f>(100*M19)/L19</f>
        <v>0</v>
      </c>
      <c r="O19" s="154">
        <v>1E-3</v>
      </c>
      <c r="P19" s="123">
        <f>B19/1000</f>
        <v>1E-3</v>
      </c>
      <c r="Q19" s="54">
        <f>O19-P19</f>
        <v>0</v>
      </c>
      <c r="R19" s="162">
        <f>(100*Q19)/P19</f>
        <v>0</v>
      </c>
    </row>
    <row r="20" spans="2:18" x14ac:dyDescent="0.25">
      <c r="B20" s="47">
        <v>987</v>
      </c>
      <c r="C20" s="159">
        <v>9.8700000000000003E-4</v>
      </c>
      <c r="D20" s="123">
        <f t="shared" ref="D20:D24" si="12">P20/1000</f>
        <v>9.8700000000000003E-4</v>
      </c>
      <c r="E20" s="52">
        <f t="shared" ref="E20:E24" si="13">C20-D20</f>
        <v>0</v>
      </c>
      <c r="F20" s="52">
        <f t="shared" ref="F20:F24" si="14">(100*E20)/D20</f>
        <v>0</v>
      </c>
      <c r="G20" s="159">
        <v>9.8700000000000004E-7</v>
      </c>
      <c r="H20" s="123">
        <f t="shared" ref="H20:H24" si="15">P20/1000000</f>
        <v>9.8700000000000004E-7</v>
      </c>
      <c r="I20" s="52">
        <f t="shared" ref="I20:I24" si="16">G20-H20</f>
        <v>0</v>
      </c>
      <c r="J20" s="52">
        <f t="shared" ref="J20:J24" si="17">(100*I20)/H20</f>
        <v>0</v>
      </c>
      <c r="K20" s="159">
        <v>987000</v>
      </c>
      <c r="L20" s="123">
        <f t="shared" ref="L20:L24" si="18">P20*1000000</f>
        <v>987000</v>
      </c>
      <c r="M20" s="52">
        <f t="shared" ref="M20:M24" si="19">K20-L20</f>
        <v>0</v>
      </c>
      <c r="N20" s="118">
        <f t="shared" ref="N20:N24" si="20">(100*M20)/L20</f>
        <v>0</v>
      </c>
      <c r="O20" s="159">
        <v>0.98699999999999999</v>
      </c>
      <c r="P20" s="123">
        <f t="shared" ref="P20:P24" si="21">B20/1000</f>
        <v>0.98699999999999999</v>
      </c>
      <c r="Q20" s="52">
        <f t="shared" ref="Q20:Q24" si="22">O20-P20</f>
        <v>0</v>
      </c>
      <c r="R20" s="153">
        <f t="shared" ref="R20:R24" si="23">(100*Q20)/P20</f>
        <v>0</v>
      </c>
    </row>
    <row r="21" spans="2:18" x14ac:dyDescent="0.25">
      <c r="B21" s="47">
        <v>5987</v>
      </c>
      <c r="C21" s="159">
        <v>5.9870000000000001E-3</v>
      </c>
      <c r="D21" s="123">
        <f t="shared" si="12"/>
        <v>5.9870000000000001E-3</v>
      </c>
      <c r="E21" s="52">
        <f t="shared" si="13"/>
        <v>0</v>
      </c>
      <c r="F21" s="52">
        <f t="shared" si="14"/>
        <v>0</v>
      </c>
      <c r="G21" s="159">
        <v>5.9869999999999996E-6</v>
      </c>
      <c r="H21" s="123">
        <f t="shared" si="15"/>
        <v>5.9870000000000004E-6</v>
      </c>
      <c r="I21" s="52">
        <f t="shared" si="16"/>
        <v>0</v>
      </c>
      <c r="J21" s="52">
        <f t="shared" si="17"/>
        <v>0</v>
      </c>
      <c r="K21" s="159">
        <v>5987000</v>
      </c>
      <c r="L21" s="123">
        <f t="shared" si="18"/>
        <v>5987000</v>
      </c>
      <c r="M21" s="52">
        <f t="shared" si="19"/>
        <v>0</v>
      </c>
      <c r="N21" s="118">
        <f t="shared" si="20"/>
        <v>0</v>
      </c>
      <c r="O21" s="159">
        <v>5.9870000000000001</v>
      </c>
      <c r="P21" s="123">
        <f t="shared" si="21"/>
        <v>5.9870000000000001</v>
      </c>
      <c r="Q21" s="52">
        <f t="shared" si="22"/>
        <v>0</v>
      </c>
      <c r="R21" s="153">
        <f t="shared" si="23"/>
        <v>0</v>
      </c>
    </row>
    <row r="22" spans="2:18" x14ac:dyDescent="0.25">
      <c r="B22" s="47">
        <v>4455667788</v>
      </c>
      <c r="C22" s="159">
        <v>4455.67</v>
      </c>
      <c r="D22" s="123">
        <f t="shared" si="12"/>
        <v>4455.6677879999997</v>
      </c>
      <c r="E22" s="52">
        <f t="shared" si="13"/>
        <v>2.2120000003269524E-3</v>
      </c>
      <c r="F22" s="52">
        <f t="shared" si="14"/>
        <v>4.9644634779197604E-5</v>
      </c>
      <c r="G22" s="159">
        <v>4.4556699999999996</v>
      </c>
      <c r="H22" s="123">
        <f t="shared" si="15"/>
        <v>4.4556677879999995</v>
      </c>
      <c r="I22" s="52">
        <f t="shared" si="16"/>
        <v>2.2120000000569462E-6</v>
      </c>
      <c r="J22" s="52">
        <f t="shared" si="17"/>
        <v>4.9644634773137768E-5</v>
      </c>
      <c r="K22" s="159">
        <v>4455667788000</v>
      </c>
      <c r="L22" s="123">
        <f t="shared" si="18"/>
        <v>4455667788000</v>
      </c>
      <c r="M22" s="52">
        <f t="shared" si="19"/>
        <v>0</v>
      </c>
      <c r="N22" s="118">
        <f t="shared" si="20"/>
        <v>0</v>
      </c>
      <c r="O22" s="159">
        <v>4455668</v>
      </c>
      <c r="P22" s="123">
        <f t="shared" si="21"/>
        <v>4455667.7879999997</v>
      </c>
      <c r="Q22" s="52">
        <f t="shared" si="22"/>
        <v>0.21200000029057264</v>
      </c>
      <c r="R22" s="153">
        <f t="shared" si="23"/>
        <v>4.7579848942403393E-6</v>
      </c>
    </row>
    <row r="23" spans="2:18" x14ac:dyDescent="0.25">
      <c r="B23" s="47">
        <v>-654</v>
      </c>
      <c r="C23" s="159">
        <v>-6.5399999999999996E-4</v>
      </c>
      <c r="D23" s="123">
        <f t="shared" si="12"/>
        <v>-6.5400000000000007E-4</v>
      </c>
      <c r="E23" s="52">
        <f t="shared" si="13"/>
        <v>0</v>
      </c>
      <c r="F23" s="52">
        <f t="shared" si="14"/>
        <v>0</v>
      </c>
      <c r="G23" s="159">
        <v>-6.5400000000000001E-7</v>
      </c>
      <c r="H23" s="123">
        <f t="shared" si="15"/>
        <v>-6.5400000000000001E-7</v>
      </c>
      <c r="I23" s="52">
        <f t="shared" si="16"/>
        <v>0</v>
      </c>
      <c r="J23" s="52">
        <f t="shared" si="17"/>
        <v>0</v>
      </c>
      <c r="K23" s="159">
        <v>-654000</v>
      </c>
      <c r="L23" s="123">
        <f t="shared" si="18"/>
        <v>-654000</v>
      </c>
      <c r="M23" s="52">
        <f t="shared" si="19"/>
        <v>0</v>
      </c>
      <c r="N23" s="118">
        <f t="shared" si="20"/>
        <v>0</v>
      </c>
      <c r="O23" s="159">
        <v>-0.65400000000000003</v>
      </c>
      <c r="P23" s="123">
        <f t="shared" si="21"/>
        <v>-0.65400000000000003</v>
      </c>
      <c r="Q23" s="52">
        <f t="shared" si="22"/>
        <v>0</v>
      </c>
      <c r="R23" s="153">
        <f t="shared" si="23"/>
        <v>0</v>
      </c>
    </row>
    <row r="24" spans="2:18" ht="15.75" thickBot="1" x14ac:dyDescent="0.3">
      <c r="B24" s="74">
        <v>0.65469999999999995</v>
      </c>
      <c r="C24" s="156">
        <v>6.5469999999999995E-7</v>
      </c>
      <c r="D24" s="59">
        <f t="shared" si="12"/>
        <v>6.5469999999999995E-7</v>
      </c>
      <c r="E24" s="57">
        <f t="shared" si="13"/>
        <v>0</v>
      </c>
      <c r="F24" s="57">
        <f t="shared" si="14"/>
        <v>0</v>
      </c>
      <c r="G24" s="156">
        <v>6.5470000000000002E-10</v>
      </c>
      <c r="H24" s="59">
        <f t="shared" si="15"/>
        <v>6.5469999999999992E-10</v>
      </c>
      <c r="I24" s="57">
        <f t="shared" si="16"/>
        <v>0</v>
      </c>
      <c r="J24" s="57">
        <f t="shared" si="17"/>
        <v>0</v>
      </c>
      <c r="K24" s="156">
        <v>654.70000000000005</v>
      </c>
      <c r="L24" s="59">
        <f t="shared" si="18"/>
        <v>654.69999999999993</v>
      </c>
      <c r="M24" s="57">
        <f t="shared" si="19"/>
        <v>0</v>
      </c>
      <c r="N24" s="119">
        <f t="shared" si="20"/>
        <v>0</v>
      </c>
      <c r="O24" s="156">
        <v>6.5470000000000003E-4</v>
      </c>
      <c r="P24" s="59">
        <f t="shared" si="21"/>
        <v>6.5469999999999992E-4</v>
      </c>
      <c r="Q24" s="57">
        <f t="shared" si="22"/>
        <v>0</v>
      </c>
      <c r="R24" s="163">
        <f t="shared" si="23"/>
        <v>0</v>
      </c>
    </row>
    <row r="25" spans="2:18" ht="15.75" thickBot="1" x14ac:dyDescent="0.3">
      <c r="C25" s="165"/>
      <c r="D25" s="165"/>
      <c r="E25" s="164"/>
      <c r="F25" s="164"/>
      <c r="G25" s="165"/>
      <c r="H25" s="165"/>
      <c r="I25" s="164"/>
      <c r="J25" s="164"/>
      <c r="K25" s="165"/>
      <c r="L25" s="165"/>
      <c r="M25" s="164"/>
      <c r="N25" s="164"/>
      <c r="O25" s="165"/>
      <c r="P25" s="165"/>
      <c r="Q25" s="164"/>
      <c r="R25" s="164"/>
    </row>
    <row r="26" spans="2:18" x14ac:dyDescent="0.25">
      <c r="B26" s="341" t="s">
        <v>10</v>
      </c>
      <c r="C26" s="166" t="s">
        <v>14</v>
      </c>
      <c r="D26" s="168" t="s">
        <v>14</v>
      </c>
      <c r="E26" s="343" t="s">
        <v>354</v>
      </c>
      <c r="F26" s="352" t="s">
        <v>355</v>
      </c>
      <c r="G26" s="166" t="s">
        <v>14</v>
      </c>
      <c r="H26" s="168" t="s">
        <v>14</v>
      </c>
      <c r="I26" s="343" t="s">
        <v>354</v>
      </c>
      <c r="J26" s="352" t="s">
        <v>355</v>
      </c>
      <c r="K26" s="166" t="s">
        <v>14</v>
      </c>
      <c r="L26" s="168" t="s">
        <v>14</v>
      </c>
      <c r="M26" s="343" t="s">
        <v>354</v>
      </c>
      <c r="N26" s="357" t="s">
        <v>355</v>
      </c>
      <c r="O26" s="166" t="s">
        <v>14</v>
      </c>
      <c r="P26" s="168" t="s">
        <v>14</v>
      </c>
      <c r="Q26" s="343" t="s">
        <v>354</v>
      </c>
      <c r="R26" s="357" t="s">
        <v>355</v>
      </c>
    </row>
    <row r="27" spans="2:18" ht="15.75" thickBot="1" x14ac:dyDescent="0.3">
      <c r="B27" s="342"/>
      <c r="C27" s="167" t="s">
        <v>290</v>
      </c>
      <c r="D27" s="169" t="s">
        <v>291</v>
      </c>
      <c r="E27" s="344"/>
      <c r="F27" s="353"/>
      <c r="G27" s="167" t="s">
        <v>290</v>
      </c>
      <c r="H27" s="169" t="s">
        <v>291</v>
      </c>
      <c r="I27" s="344"/>
      <c r="J27" s="353"/>
      <c r="K27" s="167" t="s">
        <v>290</v>
      </c>
      <c r="L27" s="169" t="s">
        <v>291</v>
      </c>
      <c r="M27" s="344"/>
      <c r="N27" s="358"/>
      <c r="O27" s="167" t="s">
        <v>290</v>
      </c>
      <c r="P27" s="169" t="s">
        <v>291</v>
      </c>
      <c r="Q27" s="344"/>
      <c r="R27" s="358"/>
    </row>
    <row r="28" spans="2:18" ht="15.75" thickBot="1" x14ac:dyDescent="0.3">
      <c r="B28" s="346" t="s">
        <v>453</v>
      </c>
      <c r="C28" s="363" t="s">
        <v>451</v>
      </c>
      <c r="D28" s="177" t="s">
        <v>451</v>
      </c>
      <c r="E28" s="344"/>
      <c r="F28" s="354"/>
      <c r="G28" s="363" t="s">
        <v>452</v>
      </c>
      <c r="H28" s="177" t="s">
        <v>452</v>
      </c>
      <c r="I28" s="344"/>
      <c r="J28" s="354"/>
      <c r="K28" s="363" t="s">
        <v>454</v>
      </c>
      <c r="L28" s="177" t="s">
        <v>454</v>
      </c>
      <c r="M28" s="344"/>
      <c r="N28" s="358"/>
      <c r="O28" s="363" t="s">
        <v>455</v>
      </c>
      <c r="P28" s="177" t="s">
        <v>464</v>
      </c>
      <c r="Q28" s="344"/>
      <c r="R28" s="358"/>
    </row>
    <row r="29" spans="2:18" ht="30.75" thickBot="1" x14ac:dyDescent="0.3">
      <c r="B29" s="347"/>
      <c r="C29" s="364"/>
      <c r="D29" s="178" t="s">
        <v>465</v>
      </c>
      <c r="E29" s="345"/>
      <c r="F29" s="345"/>
      <c r="G29" s="364"/>
      <c r="H29" s="178" t="s">
        <v>466</v>
      </c>
      <c r="I29" s="345"/>
      <c r="J29" s="345"/>
      <c r="K29" s="364"/>
      <c r="L29" s="179" t="s">
        <v>467</v>
      </c>
      <c r="M29" s="345"/>
      <c r="N29" s="359"/>
      <c r="O29" s="364"/>
      <c r="P29" s="179" t="s">
        <v>441</v>
      </c>
      <c r="Q29" s="345"/>
      <c r="R29" s="359"/>
    </row>
    <row r="30" spans="2:18" x14ac:dyDescent="0.25">
      <c r="B30" s="44">
        <v>1</v>
      </c>
      <c r="C30" s="154">
        <v>1000</v>
      </c>
      <c r="D30" s="123">
        <f>P30/1000</f>
        <v>1000</v>
      </c>
      <c r="E30" s="54">
        <f>C30-D30</f>
        <v>0</v>
      </c>
      <c r="F30" s="54">
        <f>(100*E30)/D30</f>
        <v>0</v>
      </c>
      <c r="G30" s="154">
        <v>1000000000</v>
      </c>
      <c r="H30" s="123">
        <f>P30*1000</f>
        <v>1000000000</v>
      </c>
      <c r="I30" s="54">
        <f>G30-H30</f>
        <v>0</v>
      </c>
      <c r="J30" s="54">
        <f>(100*I30)/H30</f>
        <v>0</v>
      </c>
      <c r="K30" s="154">
        <v>1000000000000</v>
      </c>
      <c r="L30" s="123">
        <f>P30*1000000</f>
        <v>1000000000000</v>
      </c>
      <c r="M30" s="54">
        <f>K30-L30</f>
        <v>0</v>
      </c>
      <c r="N30" s="117">
        <f>(100*M30)/L30</f>
        <v>0</v>
      </c>
      <c r="O30" s="154">
        <v>1000000</v>
      </c>
      <c r="P30" s="123">
        <f>B30*1000000</f>
        <v>1000000</v>
      </c>
      <c r="Q30" s="54">
        <f>O30-P30</f>
        <v>0</v>
      </c>
      <c r="R30" s="162">
        <f>(100*Q30)/P30</f>
        <v>0</v>
      </c>
    </row>
    <row r="31" spans="2:18" x14ac:dyDescent="0.25">
      <c r="B31" s="47">
        <v>987</v>
      </c>
      <c r="C31" s="159">
        <v>987000</v>
      </c>
      <c r="D31" s="123">
        <f t="shared" ref="D31:D35" si="24">P31/1000</f>
        <v>987000</v>
      </c>
      <c r="E31" s="52">
        <f t="shared" ref="E31:E35" si="25">C31-D31</f>
        <v>0</v>
      </c>
      <c r="F31" s="52">
        <f t="shared" ref="F31:F35" si="26">(100*E31)/D31</f>
        <v>0</v>
      </c>
      <c r="G31" s="159">
        <v>987000000000</v>
      </c>
      <c r="H31" s="123">
        <f t="shared" ref="H31:H35" si="27">P31*1000</f>
        <v>987000000000</v>
      </c>
      <c r="I31" s="52">
        <f t="shared" ref="I31:I35" si="28">G31-H31</f>
        <v>0</v>
      </c>
      <c r="J31" s="52">
        <f t="shared" ref="J31:J35" si="29">(100*I31)/H31</f>
        <v>0</v>
      </c>
      <c r="K31" s="159">
        <v>987000000000000</v>
      </c>
      <c r="L31" s="123">
        <f t="shared" ref="L31:L35" si="30">P31*1000000</f>
        <v>987000000000000</v>
      </c>
      <c r="M31" s="52">
        <f t="shared" ref="M31:M35" si="31">K31-L31</f>
        <v>0</v>
      </c>
      <c r="N31" s="118">
        <f t="shared" ref="N31:N35" si="32">(100*M31)/L31</f>
        <v>0</v>
      </c>
      <c r="O31" s="159">
        <v>987000000</v>
      </c>
      <c r="P31" s="123">
        <f t="shared" ref="P31:P35" si="33">B31*1000000</f>
        <v>987000000</v>
      </c>
      <c r="Q31" s="52">
        <f t="shared" ref="Q31:Q35" si="34">O31-P31</f>
        <v>0</v>
      </c>
      <c r="R31" s="153">
        <f t="shared" ref="R31:R35" si="35">(100*Q31)/P31</f>
        <v>0</v>
      </c>
    </row>
    <row r="32" spans="2:18" x14ac:dyDescent="0.25">
      <c r="B32" s="47">
        <v>5987</v>
      </c>
      <c r="C32" s="159">
        <v>5987000</v>
      </c>
      <c r="D32" s="123">
        <f t="shared" si="24"/>
        <v>5987000</v>
      </c>
      <c r="E32" s="52">
        <f t="shared" si="25"/>
        <v>0</v>
      </c>
      <c r="F32" s="52">
        <f t="shared" si="26"/>
        <v>0</v>
      </c>
      <c r="G32" s="159">
        <v>5987000000000</v>
      </c>
      <c r="H32" s="123">
        <f t="shared" si="27"/>
        <v>5987000000000</v>
      </c>
      <c r="I32" s="52">
        <f t="shared" si="28"/>
        <v>0</v>
      </c>
      <c r="J32" s="52">
        <f t="shared" si="29"/>
        <v>0</v>
      </c>
      <c r="K32" s="159">
        <v>5987000000000000</v>
      </c>
      <c r="L32" s="123">
        <f t="shared" si="30"/>
        <v>5987000000000000</v>
      </c>
      <c r="M32" s="52">
        <f t="shared" si="31"/>
        <v>0</v>
      </c>
      <c r="N32" s="118">
        <f t="shared" si="32"/>
        <v>0</v>
      </c>
      <c r="O32" s="159">
        <v>5987000000</v>
      </c>
      <c r="P32" s="123">
        <f t="shared" si="33"/>
        <v>5987000000</v>
      </c>
      <c r="Q32" s="52">
        <f t="shared" si="34"/>
        <v>0</v>
      </c>
      <c r="R32" s="153">
        <f t="shared" si="35"/>
        <v>0</v>
      </c>
    </row>
    <row r="33" spans="2:18" x14ac:dyDescent="0.25">
      <c r="B33" s="47">
        <v>4455667788</v>
      </c>
      <c r="C33" s="159">
        <v>4455667788000</v>
      </c>
      <c r="D33" s="123">
        <f t="shared" si="24"/>
        <v>4455667788000</v>
      </c>
      <c r="E33" s="52">
        <f t="shared" si="25"/>
        <v>0</v>
      </c>
      <c r="F33" s="52">
        <f t="shared" si="26"/>
        <v>0</v>
      </c>
      <c r="G33" s="159">
        <v>4.455667788E+18</v>
      </c>
      <c r="H33" s="123">
        <f t="shared" si="27"/>
        <v>4.455667788E+18</v>
      </c>
      <c r="I33" s="52">
        <f t="shared" si="28"/>
        <v>0</v>
      </c>
      <c r="J33" s="52">
        <f t="shared" si="29"/>
        <v>0</v>
      </c>
      <c r="K33" s="159">
        <v>4.455667788E+21</v>
      </c>
      <c r="L33" s="123">
        <f t="shared" si="30"/>
        <v>4.455667788E+21</v>
      </c>
      <c r="M33" s="52">
        <f t="shared" si="31"/>
        <v>0</v>
      </c>
      <c r="N33" s="118">
        <f t="shared" si="32"/>
        <v>0</v>
      </c>
      <c r="O33" s="159">
        <v>4455667788000000</v>
      </c>
      <c r="P33" s="123">
        <f t="shared" si="33"/>
        <v>4455667788000000</v>
      </c>
      <c r="Q33" s="52">
        <f t="shared" si="34"/>
        <v>0</v>
      </c>
      <c r="R33" s="153">
        <f t="shared" si="35"/>
        <v>0</v>
      </c>
    </row>
    <row r="34" spans="2:18" x14ac:dyDescent="0.25">
      <c r="B34" s="47">
        <v>-654</v>
      </c>
      <c r="C34" s="159">
        <v>-654000</v>
      </c>
      <c r="D34" s="123">
        <f t="shared" si="24"/>
        <v>-654000</v>
      </c>
      <c r="E34" s="52">
        <f t="shared" si="25"/>
        <v>0</v>
      </c>
      <c r="F34" s="52">
        <f t="shared" si="26"/>
        <v>0</v>
      </c>
      <c r="G34" s="159">
        <v>-654000000000</v>
      </c>
      <c r="H34" s="123">
        <f t="shared" si="27"/>
        <v>-654000000000</v>
      </c>
      <c r="I34" s="52">
        <f t="shared" si="28"/>
        <v>0</v>
      </c>
      <c r="J34" s="52">
        <f t="shared" si="29"/>
        <v>0</v>
      </c>
      <c r="K34" s="159">
        <v>-654000000000000</v>
      </c>
      <c r="L34" s="123">
        <f t="shared" si="30"/>
        <v>-654000000000000</v>
      </c>
      <c r="M34" s="52">
        <f t="shared" si="31"/>
        <v>0</v>
      </c>
      <c r="N34" s="118">
        <f t="shared" si="32"/>
        <v>0</v>
      </c>
      <c r="O34" s="159">
        <v>-654000000</v>
      </c>
      <c r="P34" s="123">
        <f t="shared" si="33"/>
        <v>-654000000</v>
      </c>
      <c r="Q34" s="52">
        <f t="shared" si="34"/>
        <v>0</v>
      </c>
      <c r="R34" s="153">
        <f t="shared" si="35"/>
        <v>0</v>
      </c>
    </row>
    <row r="35" spans="2:18" ht="15.75" thickBot="1" x14ac:dyDescent="0.3">
      <c r="B35" s="74">
        <v>0.65469999999999995</v>
      </c>
      <c r="C35" s="156">
        <v>654.70000000000005</v>
      </c>
      <c r="D35" s="59">
        <f t="shared" si="24"/>
        <v>654.70000000000005</v>
      </c>
      <c r="E35" s="57">
        <f t="shared" si="25"/>
        <v>0</v>
      </c>
      <c r="F35" s="57">
        <f t="shared" si="26"/>
        <v>0</v>
      </c>
      <c r="G35" s="156">
        <v>654700000</v>
      </c>
      <c r="H35" s="59">
        <f t="shared" si="27"/>
        <v>654700000</v>
      </c>
      <c r="I35" s="57">
        <f t="shared" si="28"/>
        <v>0</v>
      </c>
      <c r="J35" s="57">
        <f t="shared" si="29"/>
        <v>0</v>
      </c>
      <c r="K35" s="156">
        <v>654700000000</v>
      </c>
      <c r="L35" s="59">
        <f t="shared" si="30"/>
        <v>654700000000</v>
      </c>
      <c r="M35" s="57">
        <f t="shared" si="31"/>
        <v>0</v>
      </c>
      <c r="N35" s="119">
        <f t="shared" si="32"/>
        <v>0</v>
      </c>
      <c r="O35" s="156">
        <v>654700</v>
      </c>
      <c r="P35" s="59">
        <f t="shared" si="33"/>
        <v>654700</v>
      </c>
      <c r="Q35" s="57">
        <f t="shared" si="34"/>
        <v>0</v>
      </c>
      <c r="R35" s="163">
        <f t="shared" si="35"/>
        <v>0</v>
      </c>
    </row>
    <row r="36" spans="2:18" ht="15.75" thickBot="1" x14ac:dyDescent="0.3">
      <c r="C36" s="165"/>
      <c r="D36" s="165"/>
      <c r="E36" s="164"/>
      <c r="F36" s="164"/>
      <c r="G36" s="165"/>
      <c r="H36" s="165"/>
      <c r="I36" s="164"/>
      <c r="J36" s="164"/>
      <c r="K36" s="165"/>
      <c r="L36" s="165"/>
      <c r="M36" s="164"/>
      <c r="N36" s="164"/>
      <c r="O36" s="165"/>
      <c r="P36" s="165"/>
      <c r="Q36" s="164"/>
      <c r="R36" s="164"/>
    </row>
    <row r="37" spans="2:18" x14ac:dyDescent="0.25">
      <c r="B37" s="341" t="s">
        <v>10</v>
      </c>
      <c r="C37" s="166" t="s">
        <v>14</v>
      </c>
      <c r="D37" s="168" t="s">
        <v>14</v>
      </c>
      <c r="E37" s="343" t="s">
        <v>354</v>
      </c>
      <c r="F37" s="352" t="s">
        <v>355</v>
      </c>
      <c r="G37" s="166" t="s">
        <v>14</v>
      </c>
      <c r="H37" s="168" t="s">
        <v>14</v>
      </c>
      <c r="I37" s="343" t="s">
        <v>354</v>
      </c>
      <c r="J37" s="352" t="s">
        <v>355</v>
      </c>
      <c r="K37" s="166" t="s">
        <v>14</v>
      </c>
      <c r="L37" s="168" t="s">
        <v>14</v>
      </c>
      <c r="M37" s="343" t="s">
        <v>354</v>
      </c>
      <c r="N37" s="357" t="s">
        <v>355</v>
      </c>
      <c r="O37" s="166" t="s">
        <v>14</v>
      </c>
      <c r="P37" s="168" t="s">
        <v>14</v>
      </c>
      <c r="Q37" s="343" t="s">
        <v>354</v>
      </c>
      <c r="R37" s="357" t="s">
        <v>355</v>
      </c>
    </row>
    <row r="38" spans="2:18" ht="15.75" thickBot="1" x14ac:dyDescent="0.3">
      <c r="B38" s="342"/>
      <c r="C38" s="167" t="s">
        <v>290</v>
      </c>
      <c r="D38" s="169" t="s">
        <v>291</v>
      </c>
      <c r="E38" s="344"/>
      <c r="F38" s="353"/>
      <c r="G38" s="167" t="s">
        <v>290</v>
      </c>
      <c r="H38" s="169" t="s">
        <v>291</v>
      </c>
      <c r="I38" s="344"/>
      <c r="J38" s="353"/>
      <c r="K38" s="167" t="s">
        <v>290</v>
      </c>
      <c r="L38" s="169" t="s">
        <v>291</v>
      </c>
      <c r="M38" s="344"/>
      <c r="N38" s="358"/>
      <c r="O38" s="167" t="s">
        <v>290</v>
      </c>
      <c r="P38" s="169" t="s">
        <v>291</v>
      </c>
      <c r="Q38" s="344"/>
      <c r="R38" s="358"/>
    </row>
    <row r="39" spans="2:18" ht="15.75" thickBot="1" x14ac:dyDescent="0.3">
      <c r="B39" s="346" t="s">
        <v>454</v>
      </c>
      <c r="C39" s="363" t="s">
        <v>451</v>
      </c>
      <c r="D39" s="177" t="s">
        <v>451</v>
      </c>
      <c r="E39" s="344"/>
      <c r="F39" s="354"/>
      <c r="G39" s="363" t="s">
        <v>452</v>
      </c>
      <c r="H39" s="177" t="s">
        <v>452</v>
      </c>
      <c r="I39" s="344"/>
      <c r="J39" s="354"/>
      <c r="K39" s="363" t="s">
        <v>453</v>
      </c>
      <c r="L39" s="177" t="s">
        <v>453</v>
      </c>
      <c r="M39" s="344"/>
      <c r="N39" s="358"/>
      <c r="O39" s="363" t="s">
        <v>455</v>
      </c>
      <c r="P39" s="177" t="s">
        <v>455</v>
      </c>
      <c r="Q39" s="344"/>
      <c r="R39" s="358"/>
    </row>
    <row r="40" spans="2:18" ht="30.75" thickBot="1" x14ac:dyDescent="0.3">
      <c r="B40" s="347"/>
      <c r="C40" s="364"/>
      <c r="D40" s="178" t="s">
        <v>469</v>
      </c>
      <c r="E40" s="345"/>
      <c r="F40" s="345"/>
      <c r="G40" s="364"/>
      <c r="H40" s="178" t="s">
        <v>470</v>
      </c>
      <c r="I40" s="345"/>
      <c r="J40" s="345"/>
      <c r="K40" s="364"/>
      <c r="L40" s="179" t="s">
        <v>471</v>
      </c>
      <c r="M40" s="345"/>
      <c r="N40" s="359"/>
      <c r="O40" s="365"/>
      <c r="P40" s="179" t="s">
        <v>468</v>
      </c>
      <c r="Q40" s="345"/>
      <c r="R40" s="359"/>
    </row>
    <row r="41" spans="2:18" x14ac:dyDescent="0.25">
      <c r="B41" s="44">
        <v>1</v>
      </c>
      <c r="C41" s="154">
        <v>1.0000000000000001E-9</v>
      </c>
      <c r="D41" s="123">
        <f>P41/1000</f>
        <v>9.9999999999999986E-10</v>
      </c>
      <c r="E41" s="54">
        <f>C41-D41</f>
        <v>0</v>
      </c>
      <c r="F41" s="54">
        <f>(100*E41)/D41</f>
        <v>0</v>
      </c>
      <c r="G41" s="154">
        <v>1E-3</v>
      </c>
      <c r="H41" s="123">
        <f>P41*1000</f>
        <v>1E-3</v>
      </c>
      <c r="I41" s="54">
        <f>G41-H41</f>
        <v>0</v>
      </c>
      <c r="J41" s="54">
        <f>(100*I41)/H41</f>
        <v>0</v>
      </c>
      <c r="K41" s="154">
        <v>9.9999999999999998E-13</v>
      </c>
      <c r="L41" s="123">
        <f>P41/1000000</f>
        <v>9.9999999999999998E-13</v>
      </c>
      <c r="M41" s="54">
        <f>K41-L41</f>
        <v>0</v>
      </c>
      <c r="N41" s="117">
        <f>(100*M41)/L41</f>
        <v>0</v>
      </c>
      <c r="O41" s="183">
        <v>9.9999999999999995E-7</v>
      </c>
      <c r="P41" s="123">
        <f>B41/1000000</f>
        <v>9.9999999999999995E-7</v>
      </c>
      <c r="Q41" s="54">
        <f>O41-P41</f>
        <v>0</v>
      </c>
      <c r="R41" s="162">
        <f>(100*Q41)/P41</f>
        <v>0</v>
      </c>
    </row>
    <row r="42" spans="2:18" x14ac:dyDescent="0.25">
      <c r="B42" s="47">
        <v>987</v>
      </c>
      <c r="C42" s="159">
        <v>9.8700000000000004E-7</v>
      </c>
      <c r="D42" s="123">
        <f t="shared" ref="D42:D46" si="36">P42/1000</f>
        <v>9.8700000000000004E-7</v>
      </c>
      <c r="E42" s="52">
        <f t="shared" ref="E42:E46" si="37">C42-D42</f>
        <v>0</v>
      </c>
      <c r="F42" s="52">
        <f t="shared" ref="F42:F46" si="38">(100*E42)/D42</f>
        <v>0</v>
      </c>
      <c r="G42" s="159">
        <v>0.98699999999999999</v>
      </c>
      <c r="H42" s="123">
        <f t="shared" ref="H42:H46" si="39">P42*1000</f>
        <v>0.98699999999999999</v>
      </c>
      <c r="I42" s="52">
        <f t="shared" ref="I42:I46" si="40">G42-H42</f>
        <v>0</v>
      </c>
      <c r="J42" s="52">
        <f t="shared" ref="J42:J46" si="41">(100*I42)/H42</f>
        <v>0</v>
      </c>
      <c r="K42" s="159">
        <v>9.87E-10</v>
      </c>
      <c r="L42" s="123">
        <f t="shared" ref="L42:L46" si="42">P42/1000000</f>
        <v>9.87E-10</v>
      </c>
      <c r="M42" s="52">
        <f t="shared" ref="M42:M46" si="43">K42-L42</f>
        <v>0</v>
      </c>
      <c r="N42" s="118">
        <f t="shared" ref="N42:N46" si="44">(100*M42)/L42</f>
        <v>0</v>
      </c>
      <c r="O42" s="159">
        <v>9.8700000000000003E-4</v>
      </c>
      <c r="P42" s="123">
        <f t="shared" ref="P42:P46" si="45">B42/1000000</f>
        <v>9.8700000000000003E-4</v>
      </c>
      <c r="Q42" s="52">
        <f t="shared" ref="Q42:Q46" si="46">O42-P42</f>
        <v>0</v>
      </c>
      <c r="R42" s="153">
        <f t="shared" ref="R42:R46" si="47">(100*Q42)/P42</f>
        <v>0</v>
      </c>
    </row>
    <row r="43" spans="2:18" x14ac:dyDescent="0.25">
      <c r="B43" s="47">
        <v>5987</v>
      </c>
      <c r="C43" s="159">
        <v>5.9869999999999996E-6</v>
      </c>
      <c r="D43" s="123">
        <f t="shared" si="36"/>
        <v>5.9870000000000004E-6</v>
      </c>
      <c r="E43" s="52">
        <f t="shared" si="37"/>
        <v>0</v>
      </c>
      <c r="F43" s="52">
        <f t="shared" si="38"/>
        <v>0</v>
      </c>
      <c r="G43" s="159">
        <v>5.9870000000000001</v>
      </c>
      <c r="H43" s="123">
        <f t="shared" si="39"/>
        <v>5.9870000000000001</v>
      </c>
      <c r="I43" s="52">
        <f t="shared" si="40"/>
        <v>0</v>
      </c>
      <c r="J43" s="52">
        <f t="shared" si="41"/>
        <v>0</v>
      </c>
      <c r="K43" s="159">
        <v>5.9870000000000001E-9</v>
      </c>
      <c r="L43" s="123">
        <f t="shared" si="42"/>
        <v>5.9870000000000001E-9</v>
      </c>
      <c r="M43" s="52">
        <f t="shared" si="43"/>
        <v>0</v>
      </c>
      <c r="N43" s="118">
        <f t="shared" si="44"/>
        <v>0</v>
      </c>
      <c r="O43" s="159">
        <v>5.9870000000000001E-3</v>
      </c>
      <c r="P43" s="123">
        <f t="shared" si="45"/>
        <v>5.9870000000000001E-3</v>
      </c>
      <c r="Q43" s="52">
        <f t="shared" si="46"/>
        <v>0</v>
      </c>
      <c r="R43" s="153">
        <f t="shared" si="47"/>
        <v>0</v>
      </c>
    </row>
    <row r="44" spans="2:18" x14ac:dyDescent="0.25">
      <c r="B44" s="47">
        <v>4455667788</v>
      </c>
      <c r="C44" s="159">
        <v>4.4556699999999996</v>
      </c>
      <c r="D44" s="123">
        <f t="shared" si="36"/>
        <v>4.4556677879999995</v>
      </c>
      <c r="E44" s="52">
        <f t="shared" si="37"/>
        <v>2.2120000000569462E-6</v>
      </c>
      <c r="F44" s="52">
        <f t="shared" si="38"/>
        <v>4.9644634773137768E-5</v>
      </c>
      <c r="G44" s="159">
        <v>4455668</v>
      </c>
      <c r="H44" s="123">
        <f t="shared" si="39"/>
        <v>4455667.7879999997</v>
      </c>
      <c r="I44" s="52">
        <f t="shared" si="40"/>
        <v>0.21200000029057264</v>
      </c>
      <c r="J44" s="52">
        <f t="shared" si="41"/>
        <v>4.7579848942403393E-6</v>
      </c>
      <c r="K44" s="159">
        <v>4.4556700000000001E-3</v>
      </c>
      <c r="L44" s="123">
        <f t="shared" si="42"/>
        <v>4.4556677879999994E-3</v>
      </c>
      <c r="M44" s="52">
        <f t="shared" si="43"/>
        <v>2.2120000007022633E-9</v>
      </c>
      <c r="N44" s="118">
        <f t="shared" si="44"/>
        <v>4.9644634787620832E-5</v>
      </c>
      <c r="O44" s="159">
        <v>4455.67</v>
      </c>
      <c r="P44" s="123">
        <f t="shared" si="45"/>
        <v>4455.6677879999997</v>
      </c>
      <c r="Q44" s="52">
        <f t="shared" si="46"/>
        <v>2.2120000003269524E-3</v>
      </c>
      <c r="R44" s="153">
        <f t="shared" si="47"/>
        <v>4.9644634779197604E-5</v>
      </c>
    </row>
    <row r="45" spans="2:18" x14ac:dyDescent="0.25">
      <c r="B45" s="47">
        <v>-654</v>
      </c>
      <c r="C45" s="159">
        <v>-6.5400000000000001E-7</v>
      </c>
      <c r="D45" s="123">
        <f t="shared" si="36"/>
        <v>-6.5400000000000001E-7</v>
      </c>
      <c r="E45" s="52">
        <f t="shared" si="37"/>
        <v>0</v>
      </c>
      <c r="F45" s="52">
        <f t="shared" si="38"/>
        <v>0</v>
      </c>
      <c r="G45" s="159">
        <v>-0.65400000000000003</v>
      </c>
      <c r="H45" s="123">
        <f t="shared" si="39"/>
        <v>-0.65399999999999991</v>
      </c>
      <c r="I45" s="52">
        <f t="shared" si="40"/>
        <v>0</v>
      </c>
      <c r="J45" s="52">
        <f t="shared" si="41"/>
        <v>0</v>
      </c>
      <c r="K45" s="159">
        <v>-6.5400000000000002E-10</v>
      </c>
      <c r="L45" s="123">
        <f t="shared" si="42"/>
        <v>-6.5399999999999991E-10</v>
      </c>
      <c r="M45" s="52">
        <f t="shared" si="43"/>
        <v>0</v>
      </c>
      <c r="N45" s="118">
        <f t="shared" si="44"/>
        <v>0</v>
      </c>
      <c r="O45" s="159">
        <v>-6.5399999999999996E-4</v>
      </c>
      <c r="P45" s="123">
        <f t="shared" si="45"/>
        <v>-6.5399999999999996E-4</v>
      </c>
      <c r="Q45" s="52">
        <f t="shared" si="46"/>
        <v>0</v>
      </c>
      <c r="R45" s="153">
        <f t="shared" si="47"/>
        <v>0</v>
      </c>
    </row>
    <row r="46" spans="2:18" ht="15.75" thickBot="1" x14ac:dyDescent="0.3">
      <c r="B46" s="74">
        <v>0.65469999999999995</v>
      </c>
      <c r="C46" s="156">
        <v>6.5470000000000002E-10</v>
      </c>
      <c r="D46" s="59">
        <f t="shared" si="36"/>
        <v>6.5469999999999992E-10</v>
      </c>
      <c r="E46" s="57">
        <f t="shared" si="37"/>
        <v>0</v>
      </c>
      <c r="F46" s="57">
        <f t="shared" si="38"/>
        <v>0</v>
      </c>
      <c r="G46" s="156">
        <v>6.5470000000000003E-4</v>
      </c>
      <c r="H46" s="59">
        <f t="shared" si="39"/>
        <v>6.5469999999999992E-4</v>
      </c>
      <c r="I46" s="57">
        <f t="shared" si="40"/>
        <v>0</v>
      </c>
      <c r="J46" s="57">
        <f t="shared" si="41"/>
        <v>0</v>
      </c>
      <c r="K46" s="156">
        <v>6.5470000000000003E-13</v>
      </c>
      <c r="L46" s="59">
        <f t="shared" si="42"/>
        <v>6.5469999999999993E-13</v>
      </c>
      <c r="M46" s="57">
        <f t="shared" si="43"/>
        <v>0</v>
      </c>
      <c r="N46" s="119">
        <f t="shared" si="44"/>
        <v>0</v>
      </c>
      <c r="O46" s="156">
        <v>6.5469999999999995E-7</v>
      </c>
      <c r="P46" s="59">
        <f t="shared" si="45"/>
        <v>6.5469999999999995E-7</v>
      </c>
      <c r="Q46" s="57">
        <f t="shared" si="46"/>
        <v>0</v>
      </c>
      <c r="R46" s="163">
        <f t="shared" si="47"/>
        <v>0</v>
      </c>
    </row>
    <row r="47" spans="2:18" ht="15.75" thickBot="1" x14ac:dyDescent="0.3">
      <c r="C47" s="165"/>
      <c r="D47" s="165"/>
      <c r="E47" s="180"/>
      <c r="F47" s="180"/>
      <c r="G47" s="181"/>
      <c r="H47" s="165"/>
      <c r="I47" s="164"/>
      <c r="J47" s="164"/>
      <c r="K47" s="165"/>
      <c r="L47" s="165"/>
      <c r="M47" s="164"/>
      <c r="N47" s="164"/>
      <c r="O47" s="165"/>
      <c r="P47" s="165"/>
      <c r="Q47" s="164"/>
      <c r="R47" s="164"/>
    </row>
    <row r="48" spans="2:18" x14ac:dyDescent="0.25">
      <c r="B48" s="341" t="s">
        <v>10</v>
      </c>
      <c r="C48" s="166" t="s">
        <v>14</v>
      </c>
      <c r="D48" s="168" t="s">
        <v>14</v>
      </c>
      <c r="E48" s="343" t="s">
        <v>354</v>
      </c>
      <c r="F48" s="352" t="s">
        <v>355</v>
      </c>
      <c r="G48" s="166" t="s">
        <v>14</v>
      </c>
      <c r="H48" s="168" t="s">
        <v>14</v>
      </c>
      <c r="I48" s="343" t="s">
        <v>354</v>
      </c>
      <c r="J48" s="352" t="s">
        <v>355</v>
      </c>
      <c r="K48" s="166" t="s">
        <v>14</v>
      </c>
      <c r="L48" s="168" t="s">
        <v>14</v>
      </c>
      <c r="M48" s="343" t="s">
        <v>354</v>
      </c>
      <c r="N48" s="357" t="s">
        <v>355</v>
      </c>
      <c r="O48" s="166" t="s">
        <v>14</v>
      </c>
      <c r="P48" s="168" t="s">
        <v>14</v>
      </c>
      <c r="Q48" s="343" t="s">
        <v>354</v>
      </c>
      <c r="R48" s="357" t="s">
        <v>355</v>
      </c>
    </row>
    <row r="49" spans="2:18" ht="15.75" thickBot="1" x14ac:dyDescent="0.3">
      <c r="B49" s="342"/>
      <c r="C49" s="167" t="s">
        <v>290</v>
      </c>
      <c r="D49" s="169" t="s">
        <v>291</v>
      </c>
      <c r="E49" s="344"/>
      <c r="F49" s="353"/>
      <c r="G49" s="167" t="s">
        <v>290</v>
      </c>
      <c r="H49" s="169" t="s">
        <v>291</v>
      </c>
      <c r="I49" s="344"/>
      <c r="J49" s="353"/>
      <c r="K49" s="167" t="s">
        <v>290</v>
      </c>
      <c r="L49" s="169" t="s">
        <v>291</v>
      </c>
      <c r="M49" s="344"/>
      <c r="N49" s="358"/>
      <c r="O49" s="167" t="s">
        <v>290</v>
      </c>
      <c r="P49" s="169" t="s">
        <v>291</v>
      </c>
      <c r="Q49" s="344"/>
      <c r="R49" s="358"/>
    </row>
    <row r="50" spans="2:18" ht="15.75" thickBot="1" x14ac:dyDescent="0.3">
      <c r="B50" s="346" t="s">
        <v>455</v>
      </c>
      <c r="C50" s="363" t="s">
        <v>451</v>
      </c>
      <c r="D50" s="177" t="s">
        <v>451</v>
      </c>
      <c r="E50" s="344"/>
      <c r="F50" s="354"/>
      <c r="G50" s="363" t="s">
        <v>452</v>
      </c>
      <c r="H50" s="177" t="s">
        <v>452</v>
      </c>
      <c r="I50" s="344"/>
      <c r="J50" s="354"/>
      <c r="K50" s="363" t="s">
        <v>453</v>
      </c>
      <c r="L50" s="177" t="s">
        <v>453</v>
      </c>
      <c r="M50" s="344"/>
      <c r="N50" s="358"/>
      <c r="O50" s="363" t="s">
        <v>454</v>
      </c>
      <c r="P50" s="177" t="s">
        <v>454</v>
      </c>
      <c r="Q50" s="344"/>
      <c r="R50" s="358"/>
    </row>
    <row r="51" spans="2:18" ht="15.75" thickBot="1" x14ac:dyDescent="0.3">
      <c r="B51" s="347"/>
      <c r="C51" s="364"/>
      <c r="D51" s="179" t="s">
        <v>475</v>
      </c>
      <c r="E51" s="345"/>
      <c r="F51" s="345"/>
      <c r="G51" s="364"/>
      <c r="H51" s="179" t="s">
        <v>472</v>
      </c>
      <c r="I51" s="345"/>
      <c r="J51" s="345"/>
      <c r="K51" s="364"/>
      <c r="L51" s="179" t="s">
        <v>474</v>
      </c>
      <c r="M51" s="345"/>
      <c r="N51" s="359"/>
      <c r="O51" s="364"/>
      <c r="P51" s="179" t="s">
        <v>473</v>
      </c>
      <c r="Q51" s="345"/>
      <c r="R51" s="359"/>
    </row>
    <row r="52" spans="2:18" x14ac:dyDescent="0.25">
      <c r="B52" s="44">
        <v>1</v>
      </c>
      <c r="C52" s="154">
        <v>1E-3</v>
      </c>
      <c r="D52" s="123">
        <f>B52/1000</f>
        <v>1E-3</v>
      </c>
      <c r="E52" s="54">
        <f>C52-D52</f>
        <v>0</v>
      </c>
      <c r="F52" s="54">
        <f>(100*E52)/D52</f>
        <v>0</v>
      </c>
      <c r="G52" s="154">
        <v>1000</v>
      </c>
      <c r="H52" s="123">
        <f>B52*1000</f>
        <v>1000</v>
      </c>
      <c r="I52" s="54">
        <f>G52-H52</f>
        <v>0</v>
      </c>
      <c r="J52" s="54">
        <f>(100*I52)/H52</f>
        <v>0</v>
      </c>
      <c r="K52" s="154">
        <v>9.9999999999999995E-7</v>
      </c>
      <c r="L52" s="123">
        <f>B52/1000000</f>
        <v>9.9999999999999995E-7</v>
      </c>
      <c r="M52" s="54">
        <f>K52-L52</f>
        <v>0</v>
      </c>
      <c r="N52" s="117">
        <f>(100*M52)/L52</f>
        <v>0</v>
      </c>
      <c r="O52" s="154">
        <v>1000000</v>
      </c>
      <c r="P52" s="123">
        <f>B52*1000000</f>
        <v>1000000</v>
      </c>
      <c r="Q52" s="54">
        <f>O52-P52</f>
        <v>0</v>
      </c>
      <c r="R52" s="162">
        <f>(100*Q52)/P52</f>
        <v>0</v>
      </c>
    </row>
    <row r="53" spans="2:18" x14ac:dyDescent="0.25">
      <c r="B53" s="47">
        <v>987</v>
      </c>
      <c r="C53" s="159">
        <v>0.98699999999999999</v>
      </c>
      <c r="D53" s="123">
        <f t="shared" ref="D53:D57" si="48">B53/1000</f>
        <v>0.98699999999999999</v>
      </c>
      <c r="E53" s="52">
        <f t="shared" ref="E53:E57" si="49">C53-D53</f>
        <v>0</v>
      </c>
      <c r="F53" s="52">
        <f t="shared" ref="F53:F57" si="50">(100*E53)/D53</f>
        <v>0</v>
      </c>
      <c r="G53" s="159">
        <v>987000</v>
      </c>
      <c r="H53" s="123">
        <f t="shared" ref="H53:H57" si="51">B53*1000</f>
        <v>987000</v>
      </c>
      <c r="I53" s="52">
        <f t="shared" ref="I53:I57" si="52">G53-H53</f>
        <v>0</v>
      </c>
      <c r="J53" s="52">
        <f t="shared" ref="J53:J57" si="53">(100*I53)/H53</f>
        <v>0</v>
      </c>
      <c r="K53" s="159">
        <v>9.8700000000000003E-4</v>
      </c>
      <c r="L53" s="123">
        <f t="shared" ref="L53:L57" si="54">B53/1000000</f>
        <v>9.8700000000000003E-4</v>
      </c>
      <c r="M53" s="52">
        <f t="shared" ref="M53:M57" si="55">K53-L53</f>
        <v>0</v>
      </c>
      <c r="N53" s="118">
        <f t="shared" ref="N53:N57" si="56">(100*M53)/L53</f>
        <v>0</v>
      </c>
      <c r="O53" s="159">
        <v>987000000</v>
      </c>
      <c r="P53" s="123">
        <f t="shared" ref="P53:P57" si="57">B53*1000000</f>
        <v>987000000</v>
      </c>
      <c r="Q53" s="52">
        <f t="shared" ref="Q53:Q57" si="58">O53-P53</f>
        <v>0</v>
      </c>
      <c r="R53" s="153">
        <f t="shared" ref="R53:R57" si="59">(100*Q53)/P53</f>
        <v>0</v>
      </c>
    </row>
    <row r="54" spans="2:18" x14ac:dyDescent="0.25">
      <c r="B54" s="47">
        <v>5987</v>
      </c>
      <c r="C54" s="159">
        <v>5.9870000000000001</v>
      </c>
      <c r="D54" s="123">
        <f t="shared" si="48"/>
        <v>5.9870000000000001</v>
      </c>
      <c r="E54" s="52">
        <f t="shared" si="49"/>
        <v>0</v>
      </c>
      <c r="F54" s="52">
        <f t="shared" si="50"/>
        <v>0</v>
      </c>
      <c r="G54" s="159">
        <v>5987000</v>
      </c>
      <c r="H54" s="123">
        <f t="shared" si="51"/>
        <v>5987000</v>
      </c>
      <c r="I54" s="52">
        <f t="shared" si="52"/>
        <v>0</v>
      </c>
      <c r="J54" s="52">
        <f t="shared" si="53"/>
        <v>0</v>
      </c>
      <c r="K54" s="159">
        <v>5.9870000000000001E-3</v>
      </c>
      <c r="L54" s="123">
        <f t="shared" si="54"/>
        <v>5.9870000000000001E-3</v>
      </c>
      <c r="M54" s="52">
        <f t="shared" si="55"/>
        <v>0</v>
      </c>
      <c r="N54" s="118">
        <f t="shared" si="56"/>
        <v>0</v>
      </c>
      <c r="O54" s="159">
        <v>5987000000</v>
      </c>
      <c r="P54" s="123">
        <f t="shared" si="57"/>
        <v>5987000000</v>
      </c>
      <c r="Q54" s="52">
        <f t="shared" si="58"/>
        <v>0</v>
      </c>
      <c r="R54" s="153">
        <f t="shared" si="59"/>
        <v>0</v>
      </c>
    </row>
    <row r="55" spans="2:18" x14ac:dyDescent="0.25">
      <c r="B55" s="47">
        <v>4455667788</v>
      </c>
      <c r="C55" s="159">
        <v>4455668</v>
      </c>
      <c r="D55" s="123">
        <f t="shared" si="48"/>
        <v>4455667.7879999997</v>
      </c>
      <c r="E55" s="52">
        <f t="shared" si="49"/>
        <v>0.21200000029057264</v>
      </c>
      <c r="F55" s="52">
        <f t="shared" si="50"/>
        <v>4.7579848942403393E-6</v>
      </c>
      <c r="G55" s="159">
        <v>4455667788000</v>
      </c>
      <c r="H55" s="123">
        <f t="shared" si="51"/>
        <v>4455667788000</v>
      </c>
      <c r="I55" s="52">
        <f t="shared" si="52"/>
        <v>0</v>
      </c>
      <c r="J55" s="52">
        <f t="shared" si="53"/>
        <v>0</v>
      </c>
      <c r="K55" s="159">
        <v>4455.67</v>
      </c>
      <c r="L55" s="123">
        <f t="shared" si="54"/>
        <v>4455.6677879999997</v>
      </c>
      <c r="M55" s="52">
        <f t="shared" si="55"/>
        <v>2.2120000003269524E-3</v>
      </c>
      <c r="N55" s="118">
        <f t="shared" si="56"/>
        <v>4.9644634779197604E-5</v>
      </c>
      <c r="O55" s="159">
        <v>4455667788000000</v>
      </c>
      <c r="P55" s="123">
        <f t="shared" si="57"/>
        <v>4455667788000000</v>
      </c>
      <c r="Q55" s="52">
        <f t="shared" si="58"/>
        <v>0</v>
      </c>
      <c r="R55" s="153">
        <f t="shared" si="59"/>
        <v>0</v>
      </c>
    </row>
    <row r="56" spans="2:18" x14ac:dyDescent="0.25">
      <c r="B56" s="47">
        <v>-654</v>
      </c>
      <c r="C56" s="159">
        <v>-0.65400000000000003</v>
      </c>
      <c r="D56" s="123">
        <f t="shared" si="48"/>
        <v>-0.65400000000000003</v>
      </c>
      <c r="E56" s="52">
        <f t="shared" si="49"/>
        <v>0</v>
      </c>
      <c r="F56" s="52">
        <f t="shared" si="50"/>
        <v>0</v>
      </c>
      <c r="G56" s="159">
        <v>-654000</v>
      </c>
      <c r="H56" s="123">
        <f t="shared" si="51"/>
        <v>-654000</v>
      </c>
      <c r="I56" s="52">
        <f t="shared" si="52"/>
        <v>0</v>
      </c>
      <c r="J56" s="52">
        <f t="shared" si="53"/>
        <v>0</v>
      </c>
      <c r="K56" s="159">
        <v>-6.5399999999999996E-4</v>
      </c>
      <c r="L56" s="123">
        <f t="shared" si="54"/>
        <v>-6.5399999999999996E-4</v>
      </c>
      <c r="M56" s="52">
        <f t="shared" si="55"/>
        <v>0</v>
      </c>
      <c r="N56" s="118">
        <f t="shared" si="56"/>
        <v>0</v>
      </c>
      <c r="O56" s="159">
        <v>-654000000</v>
      </c>
      <c r="P56" s="123">
        <f t="shared" si="57"/>
        <v>-654000000</v>
      </c>
      <c r="Q56" s="52">
        <f t="shared" si="58"/>
        <v>0</v>
      </c>
      <c r="R56" s="153">
        <f t="shared" si="59"/>
        <v>0</v>
      </c>
    </row>
    <row r="57" spans="2:18" ht="15.75" thickBot="1" x14ac:dyDescent="0.3">
      <c r="B57" s="74">
        <v>0.65469999999999995</v>
      </c>
      <c r="C57" s="156">
        <v>6.5470000000000003E-4</v>
      </c>
      <c r="D57" s="59">
        <f t="shared" si="48"/>
        <v>6.5469999999999992E-4</v>
      </c>
      <c r="E57" s="57">
        <f t="shared" si="49"/>
        <v>0</v>
      </c>
      <c r="F57" s="57">
        <f t="shared" si="50"/>
        <v>0</v>
      </c>
      <c r="G57" s="156">
        <v>654.70000000000005</v>
      </c>
      <c r="H57" s="59">
        <f t="shared" si="51"/>
        <v>654.69999999999993</v>
      </c>
      <c r="I57" s="57">
        <f t="shared" si="52"/>
        <v>0</v>
      </c>
      <c r="J57" s="57">
        <f t="shared" si="53"/>
        <v>0</v>
      </c>
      <c r="K57" s="156">
        <v>6.5469999999999995E-7</v>
      </c>
      <c r="L57" s="59">
        <f t="shared" si="54"/>
        <v>6.5469999999999995E-7</v>
      </c>
      <c r="M57" s="57">
        <f t="shared" si="55"/>
        <v>0</v>
      </c>
      <c r="N57" s="119">
        <f t="shared" si="56"/>
        <v>0</v>
      </c>
      <c r="O57" s="156">
        <v>654700</v>
      </c>
      <c r="P57" s="59">
        <f t="shared" si="57"/>
        <v>654700</v>
      </c>
      <c r="Q57" s="57">
        <f t="shared" si="58"/>
        <v>0</v>
      </c>
      <c r="R57" s="163">
        <f t="shared" si="59"/>
        <v>0</v>
      </c>
    </row>
  </sheetData>
  <mergeCells count="71">
    <mergeCell ref="N48:N51"/>
    <mergeCell ref="Q48:Q51"/>
    <mergeCell ref="R48:R51"/>
    <mergeCell ref="B50:B51"/>
    <mergeCell ref="C50:C51"/>
    <mergeCell ref="G50:G51"/>
    <mergeCell ref="K50:K51"/>
    <mergeCell ref="O50:O51"/>
    <mergeCell ref="B48:B49"/>
    <mergeCell ref="E48:E51"/>
    <mergeCell ref="F48:F51"/>
    <mergeCell ref="I48:I51"/>
    <mergeCell ref="J48:J51"/>
    <mergeCell ref="M48:M51"/>
    <mergeCell ref="N37:N40"/>
    <mergeCell ref="Q37:Q40"/>
    <mergeCell ref="R37:R40"/>
    <mergeCell ref="B39:B40"/>
    <mergeCell ref="C39:C40"/>
    <mergeCell ref="G39:G40"/>
    <mergeCell ref="K39:K40"/>
    <mergeCell ref="O39:O40"/>
    <mergeCell ref="B37:B38"/>
    <mergeCell ref="E37:E40"/>
    <mergeCell ref="F37:F40"/>
    <mergeCell ref="I37:I40"/>
    <mergeCell ref="J37:J40"/>
    <mergeCell ref="M37:M40"/>
    <mergeCell ref="N26:N29"/>
    <mergeCell ref="Q26:Q29"/>
    <mergeCell ref="R26:R29"/>
    <mergeCell ref="B28:B29"/>
    <mergeCell ref="C28:C29"/>
    <mergeCell ref="G28:G29"/>
    <mergeCell ref="K28:K29"/>
    <mergeCell ref="O28:O29"/>
    <mergeCell ref="B26:B27"/>
    <mergeCell ref="E26:E29"/>
    <mergeCell ref="F26:F29"/>
    <mergeCell ref="I26:I29"/>
    <mergeCell ref="J26:J29"/>
    <mergeCell ref="M26:M29"/>
    <mergeCell ref="N15:N18"/>
    <mergeCell ref="Q15:Q18"/>
    <mergeCell ref="R15:R18"/>
    <mergeCell ref="B17:B18"/>
    <mergeCell ref="C17:C18"/>
    <mergeCell ref="G17:G18"/>
    <mergeCell ref="K17:K18"/>
    <mergeCell ref="O17:O18"/>
    <mergeCell ref="B15:B16"/>
    <mergeCell ref="E15:E18"/>
    <mergeCell ref="F15:F18"/>
    <mergeCell ref="I15:I18"/>
    <mergeCell ref="J15:J18"/>
    <mergeCell ref="M15:M18"/>
    <mergeCell ref="M4:M7"/>
    <mergeCell ref="N4:N7"/>
    <mergeCell ref="Q4:Q7"/>
    <mergeCell ref="R4:R7"/>
    <mergeCell ref="B6:B7"/>
    <mergeCell ref="C6:C7"/>
    <mergeCell ref="G6:G7"/>
    <mergeCell ref="K6:K7"/>
    <mergeCell ref="O6:O7"/>
    <mergeCell ref="B1:K1"/>
    <mergeCell ref="B4:B5"/>
    <mergeCell ref="E4:E7"/>
    <mergeCell ref="F4:F7"/>
    <mergeCell ref="I4:I7"/>
    <mergeCell ref="J4:J7"/>
  </mergeCells>
  <pageMargins left="0.7" right="0.7" top="0.78740157499999996" bottom="0.78740157499999996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N47"/>
  <sheetViews>
    <sheetView workbookViewId="0">
      <pane xSplit="2" ySplit="1" topLeftCell="G32" activePane="bottomRight" state="frozen"/>
      <selection pane="topRight" activeCell="C1" sqref="C1"/>
      <selection pane="bottomLeft" activeCell="A2" sqref="A2"/>
      <selection pane="bottomRight" activeCell="H47" sqref="H47"/>
    </sheetView>
  </sheetViews>
  <sheetFormatPr defaultRowHeight="15" x14ac:dyDescent="0.25"/>
  <cols>
    <col min="1" max="1" width="5" customWidth="1"/>
    <col min="2" max="2" width="17.85546875" bestFit="1" customWidth="1"/>
    <col min="3" max="3" width="30.28515625" bestFit="1" customWidth="1"/>
    <col min="4" max="4" width="37.85546875" customWidth="1"/>
    <col min="5" max="5" width="30.140625" customWidth="1"/>
    <col min="6" max="6" width="23" bestFit="1" customWidth="1"/>
    <col min="7" max="7" width="33.28515625" bestFit="1" customWidth="1"/>
    <col min="8" max="8" width="37.140625" customWidth="1"/>
    <col min="9" max="9" width="23.140625" bestFit="1" customWidth="1"/>
    <col min="10" max="10" width="23" bestFit="1" customWidth="1"/>
    <col min="11" max="11" width="36.42578125" bestFit="1" customWidth="1"/>
    <col min="12" max="12" width="38.85546875" customWidth="1"/>
    <col min="13" max="13" width="23.140625" bestFit="1" customWidth="1"/>
    <col min="14" max="14" width="23" bestFit="1" customWidth="1"/>
  </cols>
  <sheetData>
    <row r="1" spans="2:14" ht="31.5" x14ac:dyDescent="0.5">
      <c r="B1" s="340" t="s">
        <v>289</v>
      </c>
      <c r="C1" s="340"/>
      <c r="D1" s="340"/>
      <c r="E1" s="340"/>
      <c r="F1" s="340"/>
      <c r="G1" s="340"/>
      <c r="H1" s="340"/>
      <c r="I1" s="340"/>
      <c r="J1" s="340"/>
      <c r="K1" s="340"/>
    </row>
    <row r="2" spans="2:14" x14ac:dyDescent="0.25">
      <c r="B2" s="70" t="s">
        <v>340</v>
      </c>
      <c r="C2" t="s">
        <v>341</v>
      </c>
      <c r="D2" t="s">
        <v>493</v>
      </c>
    </row>
    <row r="3" spans="2:14" ht="15.75" thickBot="1" x14ac:dyDescent="0.3"/>
    <row r="4" spans="2:14" x14ac:dyDescent="0.25">
      <c r="B4" s="341" t="s">
        <v>10</v>
      </c>
      <c r="C4" s="62" t="s">
        <v>14</v>
      </c>
      <c r="D4" s="65" t="s">
        <v>14</v>
      </c>
      <c r="E4" s="330" t="s">
        <v>354</v>
      </c>
      <c r="F4" s="324" t="s">
        <v>355</v>
      </c>
      <c r="G4" s="62" t="s">
        <v>14</v>
      </c>
      <c r="H4" s="65" t="s">
        <v>14</v>
      </c>
      <c r="I4" s="330" t="s">
        <v>354</v>
      </c>
      <c r="J4" s="324" t="s">
        <v>355</v>
      </c>
      <c r="K4" s="62" t="s">
        <v>14</v>
      </c>
      <c r="L4" s="65" t="s">
        <v>14</v>
      </c>
      <c r="M4" s="330" t="s">
        <v>354</v>
      </c>
      <c r="N4" s="321" t="s">
        <v>355</v>
      </c>
    </row>
    <row r="5" spans="2:14" ht="15.75" thickBot="1" x14ac:dyDescent="0.3">
      <c r="B5" s="342"/>
      <c r="C5" s="63" t="s">
        <v>290</v>
      </c>
      <c r="D5" s="27" t="s">
        <v>291</v>
      </c>
      <c r="E5" s="331"/>
      <c r="F5" s="325"/>
      <c r="G5" s="63" t="s">
        <v>290</v>
      </c>
      <c r="H5" s="27" t="s">
        <v>291</v>
      </c>
      <c r="I5" s="331"/>
      <c r="J5" s="325"/>
      <c r="K5" s="63" t="s">
        <v>290</v>
      </c>
      <c r="L5" s="27" t="s">
        <v>291</v>
      </c>
      <c r="M5" s="331"/>
      <c r="N5" s="322"/>
    </row>
    <row r="6" spans="2:14" ht="15.75" thickBot="1" x14ac:dyDescent="0.3">
      <c r="B6" s="346" t="s">
        <v>477</v>
      </c>
      <c r="C6" s="346" t="s">
        <v>478</v>
      </c>
      <c r="D6" s="16" t="s">
        <v>478</v>
      </c>
      <c r="E6" s="331"/>
      <c r="F6" s="326"/>
      <c r="G6" s="346" t="s">
        <v>479</v>
      </c>
      <c r="H6" s="16" t="s">
        <v>479</v>
      </c>
      <c r="I6" s="331"/>
      <c r="J6" s="326"/>
      <c r="K6" s="346" t="s">
        <v>480</v>
      </c>
      <c r="L6" s="16" t="s">
        <v>480</v>
      </c>
      <c r="M6" s="331"/>
      <c r="N6" s="322"/>
    </row>
    <row r="7" spans="2:14" ht="15.75" thickBot="1" x14ac:dyDescent="0.3">
      <c r="B7" s="347"/>
      <c r="C7" s="347"/>
      <c r="D7" s="120" t="s">
        <v>482</v>
      </c>
      <c r="E7" s="327"/>
      <c r="F7" s="327"/>
      <c r="G7" s="347"/>
      <c r="H7" s="121" t="s">
        <v>481</v>
      </c>
      <c r="I7" s="327"/>
      <c r="J7" s="327"/>
      <c r="K7" s="347"/>
      <c r="L7" s="120" t="s">
        <v>483</v>
      </c>
      <c r="M7" s="327"/>
      <c r="N7" s="323"/>
    </row>
    <row r="8" spans="2:14" x14ac:dyDescent="0.25">
      <c r="B8" s="44">
        <v>1</v>
      </c>
      <c r="C8" s="154">
        <v>1E-3</v>
      </c>
      <c r="D8" s="123">
        <f>B8/1000</f>
        <v>1E-3</v>
      </c>
      <c r="E8" s="54">
        <f>C8-D8</f>
        <v>0</v>
      </c>
      <c r="F8" s="54">
        <f>(100*E8)/D8</f>
        <v>0</v>
      </c>
      <c r="G8" s="154">
        <v>1000</v>
      </c>
      <c r="H8" s="123">
        <f>B8*1000</f>
        <v>1000</v>
      </c>
      <c r="I8" s="54">
        <f>G8-H8</f>
        <v>0</v>
      </c>
      <c r="J8" s="54">
        <f>(100*I8)/H8</f>
        <v>0</v>
      </c>
      <c r="K8" s="154">
        <v>1000000</v>
      </c>
      <c r="L8" s="123">
        <f>B8*1000000</f>
        <v>1000000</v>
      </c>
      <c r="M8" s="117">
        <f>K8-L8</f>
        <v>0</v>
      </c>
      <c r="N8" s="162">
        <f>(100*M8)/L8</f>
        <v>0</v>
      </c>
    </row>
    <row r="9" spans="2:14" x14ac:dyDescent="0.25">
      <c r="B9" s="47">
        <v>987</v>
      </c>
      <c r="C9" s="159">
        <v>0.98699999999999999</v>
      </c>
      <c r="D9" s="123">
        <f t="shared" ref="D9:D13" si="0">B9/1000</f>
        <v>0.98699999999999999</v>
      </c>
      <c r="E9" s="52">
        <f t="shared" ref="E9:E13" si="1">C9-D9</f>
        <v>0</v>
      </c>
      <c r="F9" s="52">
        <f t="shared" ref="F9:F13" si="2">(100*E9)/D9</f>
        <v>0</v>
      </c>
      <c r="G9" s="159">
        <v>987000</v>
      </c>
      <c r="H9" s="123">
        <f t="shared" ref="H9:H13" si="3">B9*1000</f>
        <v>987000</v>
      </c>
      <c r="I9" s="52">
        <f t="shared" ref="I9:I13" si="4">G9-H9</f>
        <v>0</v>
      </c>
      <c r="J9" s="52">
        <f t="shared" ref="J9:J13" si="5">(100*I9)/H9</f>
        <v>0</v>
      </c>
      <c r="K9" s="159">
        <v>987000000</v>
      </c>
      <c r="L9" s="123">
        <f t="shared" ref="L9:L13" si="6">B9*1000000</f>
        <v>987000000</v>
      </c>
      <c r="M9" s="118">
        <f t="shared" ref="M9:M13" si="7">K9-L9</f>
        <v>0</v>
      </c>
      <c r="N9" s="153">
        <f t="shared" ref="N9:N13" si="8">(100*M9)/L9</f>
        <v>0</v>
      </c>
    </row>
    <row r="10" spans="2:14" x14ac:dyDescent="0.25">
      <c r="B10" s="47">
        <v>5987</v>
      </c>
      <c r="C10" s="159">
        <v>5.9870000000000001</v>
      </c>
      <c r="D10" s="123">
        <f t="shared" si="0"/>
        <v>5.9870000000000001</v>
      </c>
      <c r="E10" s="52">
        <f t="shared" si="1"/>
        <v>0</v>
      </c>
      <c r="F10" s="52">
        <f t="shared" si="2"/>
        <v>0</v>
      </c>
      <c r="G10" s="159">
        <v>5987000</v>
      </c>
      <c r="H10" s="123">
        <f t="shared" si="3"/>
        <v>5987000</v>
      </c>
      <c r="I10" s="52">
        <f t="shared" si="4"/>
        <v>0</v>
      </c>
      <c r="J10" s="52">
        <f t="shared" si="5"/>
        <v>0</v>
      </c>
      <c r="K10" s="159">
        <v>5987000000</v>
      </c>
      <c r="L10" s="123">
        <f t="shared" si="6"/>
        <v>5987000000</v>
      </c>
      <c r="M10" s="118">
        <f t="shared" si="7"/>
        <v>0</v>
      </c>
      <c r="N10" s="153">
        <f t="shared" si="8"/>
        <v>0</v>
      </c>
    </row>
    <row r="11" spans="2:14" x14ac:dyDescent="0.25">
      <c r="B11" s="47">
        <v>4455667788</v>
      </c>
      <c r="C11" s="159">
        <v>4455668</v>
      </c>
      <c r="D11" s="123">
        <f t="shared" si="0"/>
        <v>4455667.7879999997</v>
      </c>
      <c r="E11" s="52">
        <f t="shared" si="1"/>
        <v>0.21200000029057264</v>
      </c>
      <c r="F11" s="52">
        <f t="shared" si="2"/>
        <v>4.7579848942403393E-6</v>
      </c>
      <c r="G11" s="159">
        <v>4455667788000</v>
      </c>
      <c r="H11" s="123">
        <f t="shared" si="3"/>
        <v>4455667788000</v>
      </c>
      <c r="I11" s="52">
        <f t="shared" si="4"/>
        <v>0</v>
      </c>
      <c r="J11" s="52">
        <f t="shared" si="5"/>
        <v>0</v>
      </c>
      <c r="K11" s="159">
        <v>4455667788000000</v>
      </c>
      <c r="L11" s="123">
        <f t="shared" si="6"/>
        <v>4455667788000000</v>
      </c>
      <c r="M11" s="118">
        <f t="shared" si="7"/>
        <v>0</v>
      </c>
      <c r="N11" s="153">
        <f t="shared" si="8"/>
        <v>0</v>
      </c>
    </row>
    <row r="12" spans="2:14" x14ac:dyDescent="0.25">
      <c r="B12" s="47">
        <v>-654</v>
      </c>
      <c r="C12" s="159">
        <v>-0.65400000000000003</v>
      </c>
      <c r="D12" s="123">
        <f t="shared" si="0"/>
        <v>-0.65400000000000003</v>
      </c>
      <c r="E12" s="52">
        <f t="shared" si="1"/>
        <v>0</v>
      </c>
      <c r="F12" s="52">
        <f t="shared" si="2"/>
        <v>0</v>
      </c>
      <c r="G12" s="159">
        <v>-654000</v>
      </c>
      <c r="H12" s="123">
        <f t="shared" si="3"/>
        <v>-654000</v>
      </c>
      <c r="I12" s="52">
        <f t="shared" si="4"/>
        <v>0</v>
      </c>
      <c r="J12" s="52">
        <f t="shared" si="5"/>
        <v>0</v>
      </c>
      <c r="K12" s="159">
        <v>-654000000</v>
      </c>
      <c r="L12" s="123">
        <f t="shared" si="6"/>
        <v>-654000000</v>
      </c>
      <c r="M12" s="118">
        <f t="shared" si="7"/>
        <v>0</v>
      </c>
      <c r="N12" s="153">
        <f t="shared" si="8"/>
        <v>0</v>
      </c>
    </row>
    <row r="13" spans="2:14" ht="15.75" thickBot="1" x14ac:dyDescent="0.3">
      <c r="B13" s="74">
        <v>0.65469999999999995</v>
      </c>
      <c r="C13" s="156">
        <v>6.5470000000000003E-4</v>
      </c>
      <c r="D13" s="59">
        <f t="shared" si="0"/>
        <v>6.5469999999999992E-4</v>
      </c>
      <c r="E13" s="57">
        <f t="shared" si="1"/>
        <v>0</v>
      </c>
      <c r="F13" s="57">
        <f t="shared" si="2"/>
        <v>0</v>
      </c>
      <c r="G13" s="156">
        <v>654.70000000000005</v>
      </c>
      <c r="H13" s="59">
        <f t="shared" si="3"/>
        <v>654.69999999999993</v>
      </c>
      <c r="I13" s="57">
        <f t="shared" si="4"/>
        <v>0</v>
      </c>
      <c r="J13" s="57">
        <f t="shared" si="5"/>
        <v>0</v>
      </c>
      <c r="K13" s="156">
        <v>654700</v>
      </c>
      <c r="L13" s="59">
        <f t="shared" si="6"/>
        <v>654700</v>
      </c>
      <c r="M13" s="119">
        <f t="shared" si="7"/>
        <v>0</v>
      </c>
      <c r="N13" s="163">
        <f t="shared" si="8"/>
        <v>0</v>
      </c>
    </row>
    <row r="14" spans="2:14" ht="15.75" thickBot="1" x14ac:dyDescent="0.3">
      <c r="C14" s="165"/>
      <c r="D14" s="165"/>
      <c r="E14" s="164"/>
      <c r="F14" s="164"/>
      <c r="G14" s="165"/>
      <c r="H14" s="165"/>
      <c r="I14" s="164"/>
      <c r="J14" s="164"/>
      <c r="K14" s="165"/>
      <c r="L14" s="165"/>
      <c r="M14" s="164"/>
      <c r="N14" s="164"/>
    </row>
    <row r="15" spans="2:14" x14ac:dyDescent="0.25">
      <c r="B15" s="341" t="s">
        <v>10</v>
      </c>
      <c r="C15" s="166" t="s">
        <v>14</v>
      </c>
      <c r="D15" s="168" t="s">
        <v>14</v>
      </c>
      <c r="E15" s="343" t="s">
        <v>354</v>
      </c>
      <c r="F15" s="352" t="s">
        <v>355</v>
      </c>
      <c r="G15" s="166" t="s">
        <v>14</v>
      </c>
      <c r="H15" s="168" t="s">
        <v>14</v>
      </c>
      <c r="I15" s="343" t="s">
        <v>354</v>
      </c>
      <c r="J15" s="352" t="s">
        <v>355</v>
      </c>
      <c r="K15" s="166" t="s">
        <v>14</v>
      </c>
      <c r="L15" s="168" t="s">
        <v>14</v>
      </c>
      <c r="M15" s="343" t="s">
        <v>354</v>
      </c>
      <c r="N15" s="357" t="s">
        <v>355</v>
      </c>
    </row>
    <row r="16" spans="2:14" ht="15.75" thickBot="1" x14ac:dyDescent="0.3">
      <c r="B16" s="342"/>
      <c r="C16" s="167" t="s">
        <v>290</v>
      </c>
      <c r="D16" s="169" t="s">
        <v>291</v>
      </c>
      <c r="E16" s="344"/>
      <c r="F16" s="353"/>
      <c r="G16" s="167" t="s">
        <v>290</v>
      </c>
      <c r="H16" s="169" t="s">
        <v>291</v>
      </c>
      <c r="I16" s="344"/>
      <c r="J16" s="353"/>
      <c r="K16" s="167" t="s">
        <v>290</v>
      </c>
      <c r="L16" s="169" t="s">
        <v>291</v>
      </c>
      <c r="M16" s="344"/>
      <c r="N16" s="358"/>
    </row>
    <row r="17" spans="2:14" ht="15.75" thickBot="1" x14ac:dyDescent="0.3">
      <c r="B17" s="346" t="s">
        <v>478</v>
      </c>
      <c r="C17" s="363" t="s">
        <v>477</v>
      </c>
      <c r="D17" s="177" t="s">
        <v>477</v>
      </c>
      <c r="E17" s="344"/>
      <c r="F17" s="354"/>
      <c r="G17" s="363" t="s">
        <v>479</v>
      </c>
      <c r="H17" s="177" t="s">
        <v>479</v>
      </c>
      <c r="I17" s="344"/>
      <c r="J17" s="354"/>
      <c r="K17" s="363" t="s">
        <v>480</v>
      </c>
      <c r="L17" s="177" t="s">
        <v>480</v>
      </c>
      <c r="M17" s="344"/>
      <c r="N17" s="358"/>
    </row>
    <row r="18" spans="2:14" ht="30.75" thickBot="1" x14ac:dyDescent="0.3">
      <c r="B18" s="362"/>
      <c r="C18" s="364"/>
      <c r="D18" s="178" t="s">
        <v>484</v>
      </c>
      <c r="E18" s="345"/>
      <c r="F18" s="345"/>
      <c r="G18" s="364"/>
      <c r="H18" s="179" t="s">
        <v>485</v>
      </c>
      <c r="I18" s="345"/>
      <c r="J18" s="345"/>
      <c r="K18" s="364"/>
      <c r="L18" s="178" t="s">
        <v>486</v>
      </c>
      <c r="M18" s="345"/>
      <c r="N18" s="359"/>
    </row>
    <row r="19" spans="2:14" x14ac:dyDescent="0.25">
      <c r="B19" s="44">
        <v>1</v>
      </c>
      <c r="C19" s="154">
        <v>1000</v>
      </c>
      <c r="D19" s="123">
        <f>B19*1000</f>
        <v>1000</v>
      </c>
      <c r="E19" s="54">
        <f>C19-D19</f>
        <v>0</v>
      </c>
      <c r="F19" s="54">
        <f>(100*E19)/D19</f>
        <v>0</v>
      </c>
      <c r="G19" s="154">
        <v>1000000</v>
      </c>
      <c r="H19" s="123">
        <f>D19*1000</f>
        <v>1000000</v>
      </c>
      <c r="I19" s="54">
        <f>G19-H19</f>
        <v>0</v>
      </c>
      <c r="J19" s="54">
        <f>(100*I19)/H19</f>
        <v>0</v>
      </c>
      <c r="K19" s="154">
        <v>1000000000</v>
      </c>
      <c r="L19" s="123">
        <f>D19*1000000</f>
        <v>1000000000</v>
      </c>
      <c r="M19" s="117">
        <f>K19-L19</f>
        <v>0</v>
      </c>
      <c r="N19" s="162">
        <f>(100*M19)/L19</f>
        <v>0</v>
      </c>
    </row>
    <row r="20" spans="2:14" x14ac:dyDescent="0.25">
      <c r="B20" s="47">
        <v>987</v>
      </c>
      <c r="C20" s="159">
        <v>987000</v>
      </c>
      <c r="D20" s="123">
        <f t="shared" ref="D20:D24" si="9">B20*1000</f>
        <v>987000</v>
      </c>
      <c r="E20" s="52">
        <f t="shared" ref="E20:E24" si="10">C20-D20</f>
        <v>0</v>
      </c>
      <c r="F20" s="52">
        <f t="shared" ref="F20:F24" si="11">(100*E20)/D20</f>
        <v>0</v>
      </c>
      <c r="G20" s="159">
        <v>987000000</v>
      </c>
      <c r="H20" s="123">
        <f t="shared" ref="H20:H24" si="12">D20*1000</f>
        <v>987000000</v>
      </c>
      <c r="I20" s="52">
        <f t="shared" ref="I20:I24" si="13">G20-H20</f>
        <v>0</v>
      </c>
      <c r="J20" s="52">
        <f t="shared" ref="J20:J24" si="14">(100*I20)/H20</f>
        <v>0</v>
      </c>
      <c r="K20" s="159">
        <v>987000000000</v>
      </c>
      <c r="L20" s="123">
        <f t="shared" ref="L20:L24" si="15">D20*1000000</f>
        <v>987000000000</v>
      </c>
      <c r="M20" s="118">
        <f t="shared" ref="M20:M24" si="16">K20-L20</f>
        <v>0</v>
      </c>
      <c r="N20" s="153">
        <f t="shared" ref="N20:N24" si="17">(100*M20)/L20</f>
        <v>0</v>
      </c>
    </row>
    <row r="21" spans="2:14" x14ac:dyDescent="0.25">
      <c r="B21" s="47">
        <v>5987</v>
      </c>
      <c r="C21" s="159">
        <v>5987000</v>
      </c>
      <c r="D21" s="123">
        <f t="shared" si="9"/>
        <v>5987000</v>
      </c>
      <c r="E21" s="52">
        <f t="shared" si="10"/>
        <v>0</v>
      </c>
      <c r="F21" s="52">
        <f t="shared" si="11"/>
        <v>0</v>
      </c>
      <c r="G21" s="159">
        <v>5987000000</v>
      </c>
      <c r="H21" s="123">
        <f t="shared" si="12"/>
        <v>5987000000</v>
      </c>
      <c r="I21" s="52">
        <f t="shared" si="13"/>
        <v>0</v>
      </c>
      <c r="J21" s="52">
        <f t="shared" si="14"/>
        <v>0</v>
      </c>
      <c r="K21" s="159">
        <v>5987000000000</v>
      </c>
      <c r="L21" s="123">
        <f t="shared" si="15"/>
        <v>5987000000000</v>
      </c>
      <c r="M21" s="118">
        <f t="shared" si="16"/>
        <v>0</v>
      </c>
      <c r="N21" s="153">
        <f t="shared" si="17"/>
        <v>0</v>
      </c>
    </row>
    <row r="22" spans="2:14" x14ac:dyDescent="0.25">
      <c r="B22" s="47">
        <v>4455667788</v>
      </c>
      <c r="C22" s="159">
        <v>4455667788000</v>
      </c>
      <c r="D22" s="123">
        <f t="shared" si="9"/>
        <v>4455667788000</v>
      </c>
      <c r="E22" s="52">
        <f t="shared" si="10"/>
        <v>0</v>
      </c>
      <c r="F22" s="52">
        <f t="shared" si="11"/>
        <v>0</v>
      </c>
      <c r="G22" s="159">
        <v>4455667788000000</v>
      </c>
      <c r="H22" s="123">
        <f t="shared" si="12"/>
        <v>4455667788000000</v>
      </c>
      <c r="I22" s="52">
        <f t="shared" si="13"/>
        <v>0</v>
      </c>
      <c r="J22" s="52">
        <f t="shared" si="14"/>
        <v>0</v>
      </c>
      <c r="K22" s="159">
        <v>4.455667788E+18</v>
      </c>
      <c r="L22" s="123">
        <f t="shared" si="15"/>
        <v>4.455667788E+18</v>
      </c>
      <c r="M22" s="118">
        <f t="shared" si="16"/>
        <v>0</v>
      </c>
      <c r="N22" s="153">
        <f t="shared" si="17"/>
        <v>0</v>
      </c>
    </row>
    <row r="23" spans="2:14" x14ac:dyDescent="0.25">
      <c r="B23" s="47">
        <v>-654</v>
      </c>
      <c r="C23" s="159">
        <v>-654000</v>
      </c>
      <c r="D23" s="123">
        <f t="shared" si="9"/>
        <v>-654000</v>
      </c>
      <c r="E23" s="52">
        <f t="shared" si="10"/>
        <v>0</v>
      </c>
      <c r="F23" s="52">
        <f t="shared" si="11"/>
        <v>0</v>
      </c>
      <c r="G23" s="159">
        <v>-654000000</v>
      </c>
      <c r="H23" s="123">
        <f t="shared" si="12"/>
        <v>-654000000</v>
      </c>
      <c r="I23" s="52">
        <f t="shared" si="13"/>
        <v>0</v>
      </c>
      <c r="J23" s="52">
        <f t="shared" si="14"/>
        <v>0</v>
      </c>
      <c r="K23" s="159">
        <v>-654000000000</v>
      </c>
      <c r="L23" s="123">
        <f t="shared" si="15"/>
        <v>-654000000000</v>
      </c>
      <c r="M23" s="118">
        <f t="shared" si="16"/>
        <v>0</v>
      </c>
      <c r="N23" s="153">
        <f t="shared" si="17"/>
        <v>0</v>
      </c>
    </row>
    <row r="24" spans="2:14" ht="15.75" thickBot="1" x14ac:dyDescent="0.3">
      <c r="B24" s="74">
        <v>0.65469999999999995</v>
      </c>
      <c r="C24" s="156">
        <v>654.70000000000005</v>
      </c>
      <c r="D24" s="59">
        <f t="shared" si="9"/>
        <v>654.69999999999993</v>
      </c>
      <c r="E24" s="57">
        <f t="shared" si="10"/>
        <v>0</v>
      </c>
      <c r="F24" s="57">
        <f t="shared" si="11"/>
        <v>0</v>
      </c>
      <c r="G24" s="156">
        <v>654700</v>
      </c>
      <c r="H24" s="59">
        <f t="shared" si="12"/>
        <v>654699.99999999988</v>
      </c>
      <c r="I24" s="57">
        <f t="shared" si="13"/>
        <v>0</v>
      </c>
      <c r="J24" s="57">
        <f t="shared" si="14"/>
        <v>0</v>
      </c>
      <c r="K24" s="156">
        <v>654700000</v>
      </c>
      <c r="L24" s="59">
        <f t="shared" si="15"/>
        <v>654699999.99999988</v>
      </c>
      <c r="M24" s="119">
        <f t="shared" si="16"/>
        <v>0</v>
      </c>
      <c r="N24" s="163">
        <f t="shared" si="17"/>
        <v>0</v>
      </c>
    </row>
    <row r="25" spans="2:14" ht="15.75" thickBot="1" x14ac:dyDescent="0.3">
      <c r="C25" s="165"/>
      <c r="D25" s="165"/>
      <c r="E25" s="164"/>
      <c r="F25" s="164"/>
      <c r="G25" s="165"/>
      <c r="H25" s="165"/>
      <c r="I25" s="164"/>
      <c r="J25" s="164"/>
      <c r="K25" s="165"/>
      <c r="L25" s="165"/>
      <c r="M25" s="164"/>
      <c r="N25" s="164"/>
    </row>
    <row r="26" spans="2:14" x14ac:dyDescent="0.25">
      <c r="B26" s="341" t="s">
        <v>10</v>
      </c>
      <c r="C26" s="166" t="s">
        <v>14</v>
      </c>
      <c r="D26" s="168" t="s">
        <v>14</v>
      </c>
      <c r="E26" s="343" t="s">
        <v>354</v>
      </c>
      <c r="F26" s="352" t="s">
        <v>355</v>
      </c>
      <c r="G26" s="166" t="s">
        <v>14</v>
      </c>
      <c r="H26" s="168" t="s">
        <v>14</v>
      </c>
      <c r="I26" s="343" t="s">
        <v>354</v>
      </c>
      <c r="J26" s="352" t="s">
        <v>355</v>
      </c>
      <c r="K26" s="166" t="s">
        <v>14</v>
      </c>
      <c r="L26" s="168" t="s">
        <v>14</v>
      </c>
      <c r="M26" s="343" t="s">
        <v>354</v>
      </c>
      <c r="N26" s="357" t="s">
        <v>355</v>
      </c>
    </row>
    <row r="27" spans="2:14" ht="15.75" thickBot="1" x14ac:dyDescent="0.3">
      <c r="B27" s="342"/>
      <c r="C27" s="167" t="s">
        <v>290</v>
      </c>
      <c r="D27" s="169" t="s">
        <v>291</v>
      </c>
      <c r="E27" s="344"/>
      <c r="F27" s="353"/>
      <c r="G27" s="167" t="s">
        <v>290</v>
      </c>
      <c r="H27" s="169" t="s">
        <v>291</v>
      </c>
      <c r="I27" s="344"/>
      <c r="J27" s="353"/>
      <c r="K27" s="167" t="s">
        <v>290</v>
      </c>
      <c r="L27" s="169" t="s">
        <v>291</v>
      </c>
      <c r="M27" s="344"/>
      <c r="N27" s="358"/>
    </row>
    <row r="28" spans="2:14" ht="15.75" thickBot="1" x14ac:dyDescent="0.3">
      <c r="B28" s="346" t="s">
        <v>479</v>
      </c>
      <c r="C28" s="363" t="s">
        <v>477</v>
      </c>
      <c r="D28" s="177" t="s">
        <v>477</v>
      </c>
      <c r="E28" s="344"/>
      <c r="F28" s="354"/>
      <c r="G28" s="363" t="s">
        <v>478</v>
      </c>
      <c r="H28" s="177" t="s">
        <v>478</v>
      </c>
      <c r="I28" s="344"/>
      <c r="J28" s="354"/>
      <c r="K28" s="363" t="s">
        <v>480</v>
      </c>
      <c r="L28" s="177" t="s">
        <v>480</v>
      </c>
      <c r="M28" s="344"/>
      <c r="N28" s="358"/>
    </row>
    <row r="29" spans="2:14" ht="30.75" thickBot="1" x14ac:dyDescent="0.3">
      <c r="B29" s="347"/>
      <c r="C29" s="364"/>
      <c r="D29" s="179" t="s">
        <v>487</v>
      </c>
      <c r="E29" s="345"/>
      <c r="F29" s="345"/>
      <c r="G29" s="364"/>
      <c r="H29" s="178" t="s">
        <v>488</v>
      </c>
      <c r="I29" s="345"/>
      <c r="J29" s="345"/>
      <c r="K29" s="364"/>
      <c r="L29" s="178" t="s">
        <v>489</v>
      </c>
      <c r="M29" s="345"/>
      <c r="N29" s="359"/>
    </row>
    <row r="30" spans="2:14" x14ac:dyDescent="0.25">
      <c r="B30" s="44">
        <v>1</v>
      </c>
      <c r="C30" s="154">
        <v>1E-3</v>
      </c>
      <c r="D30" s="123">
        <f>B30/1000</f>
        <v>1E-3</v>
      </c>
      <c r="E30" s="54">
        <f>C30-D30</f>
        <v>0</v>
      </c>
      <c r="F30" s="54">
        <f>(100*E30)/D30</f>
        <v>0</v>
      </c>
      <c r="G30" s="154">
        <v>9.9999999999999995E-7</v>
      </c>
      <c r="H30" s="123">
        <f>D30/1000</f>
        <v>9.9999999999999995E-7</v>
      </c>
      <c r="I30" s="54">
        <f>G30-H30</f>
        <v>0</v>
      </c>
      <c r="J30" s="54">
        <f>(100*I30)/H30</f>
        <v>0</v>
      </c>
      <c r="K30" s="154">
        <v>1000</v>
      </c>
      <c r="L30" s="123">
        <f>D30*1000000</f>
        <v>1000</v>
      </c>
      <c r="M30" s="117">
        <f>K30-L30</f>
        <v>0</v>
      </c>
      <c r="N30" s="162">
        <f>(100*M30)/L30</f>
        <v>0</v>
      </c>
    </row>
    <row r="31" spans="2:14" x14ac:dyDescent="0.25">
      <c r="B31" s="47">
        <v>987</v>
      </c>
      <c r="C31" s="159">
        <v>0.98699999999999999</v>
      </c>
      <c r="D31" s="123">
        <f t="shared" ref="D31:D35" si="18">B31/1000</f>
        <v>0.98699999999999999</v>
      </c>
      <c r="E31" s="52">
        <f t="shared" ref="E31:E35" si="19">C31-D31</f>
        <v>0</v>
      </c>
      <c r="F31" s="52">
        <f t="shared" ref="F31:F35" si="20">(100*E31)/D31</f>
        <v>0</v>
      </c>
      <c r="G31" s="159">
        <v>9.8700000000000003E-4</v>
      </c>
      <c r="H31" s="123">
        <f t="shared" ref="H31:H35" si="21">D31/1000</f>
        <v>9.8700000000000003E-4</v>
      </c>
      <c r="I31" s="52">
        <f t="shared" ref="I31:I35" si="22">G31-H31</f>
        <v>0</v>
      </c>
      <c r="J31" s="52">
        <f t="shared" ref="J31:J35" si="23">(100*I31)/H31</f>
        <v>0</v>
      </c>
      <c r="K31" s="159">
        <v>987000</v>
      </c>
      <c r="L31" s="123">
        <f t="shared" ref="L31:L35" si="24">D31*1000000</f>
        <v>987000</v>
      </c>
      <c r="M31" s="118">
        <f t="shared" ref="M31:M35" si="25">K31-L31</f>
        <v>0</v>
      </c>
      <c r="N31" s="153">
        <f t="shared" ref="N31:N35" si="26">(100*M31)/L31</f>
        <v>0</v>
      </c>
    </row>
    <row r="32" spans="2:14" x14ac:dyDescent="0.25">
      <c r="B32" s="47">
        <v>5987</v>
      </c>
      <c r="C32" s="159">
        <v>5.9870000000000001</v>
      </c>
      <c r="D32" s="123">
        <f t="shared" si="18"/>
        <v>5.9870000000000001</v>
      </c>
      <c r="E32" s="52">
        <f t="shared" si="19"/>
        <v>0</v>
      </c>
      <c r="F32" s="52">
        <f t="shared" si="20"/>
        <v>0</v>
      </c>
      <c r="G32" s="159">
        <v>5.9870000000000001E-3</v>
      </c>
      <c r="H32" s="123">
        <f t="shared" si="21"/>
        <v>5.9870000000000001E-3</v>
      </c>
      <c r="I32" s="52">
        <f t="shared" si="22"/>
        <v>0</v>
      </c>
      <c r="J32" s="52">
        <f t="shared" si="23"/>
        <v>0</v>
      </c>
      <c r="K32" s="159">
        <v>5987000</v>
      </c>
      <c r="L32" s="123">
        <f t="shared" si="24"/>
        <v>5987000</v>
      </c>
      <c r="M32" s="118">
        <f t="shared" si="25"/>
        <v>0</v>
      </c>
      <c r="N32" s="153">
        <f t="shared" si="26"/>
        <v>0</v>
      </c>
    </row>
    <row r="33" spans="2:14" x14ac:dyDescent="0.25">
      <c r="B33" s="47">
        <v>4455667788</v>
      </c>
      <c r="C33" s="159">
        <v>4455668</v>
      </c>
      <c r="D33" s="123">
        <f t="shared" si="18"/>
        <v>4455667.7879999997</v>
      </c>
      <c r="E33" s="52">
        <f t="shared" si="19"/>
        <v>0.21200000029057264</v>
      </c>
      <c r="F33" s="52">
        <f t="shared" si="20"/>
        <v>4.7579848942403393E-6</v>
      </c>
      <c r="G33" s="159">
        <v>4455.67</v>
      </c>
      <c r="H33" s="123">
        <f t="shared" si="21"/>
        <v>4455.6677879999997</v>
      </c>
      <c r="I33" s="52">
        <f t="shared" si="22"/>
        <v>2.2120000003269524E-3</v>
      </c>
      <c r="J33" s="52">
        <f t="shared" si="23"/>
        <v>4.9644634779197604E-5</v>
      </c>
      <c r="K33" s="159">
        <v>4455667788000</v>
      </c>
      <c r="L33" s="123">
        <f t="shared" si="24"/>
        <v>4455667788000</v>
      </c>
      <c r="M33" s="118">
        <f t="shared" si="25"/>
        <v>0</v>
      </c>
      <c r="N33" s="153">
        <f t="shared" si="26"/>
        <v>0</v>
      </c>
    </row>
    <row r="34" spans="2:14" x14ac:dyDescent="0.25">
      <c r="B34" s="47">
        <v>-654</v>
      </c>
      <c r="C34" s="159">
        <v>-0.65400000000000003</v>
      </c>
      <c r="D34" s="123">
        <f t="shared" si="18"/>
        <v>-0.65400000000000003</v>
      </c>
      <c r="E34" s="52">
        <f t="shared" si="19"/>
        <v>0</v>
      </c>
      <c r="F34" s="52">
        <f t="shared" si="20"/>
        <v>0</v>
      </c>
      <c r="G34" s="159">
        <v>-6.5399999999999996E-4</v>
      </c>
      <c r="H34" s="123">
        <f t="shared" si="21"/>
        <v>-6.5400000000000007E-4</v>
      </c>
      <c r="I34" s="52">
        <f t="shared" si="22"/>
        <v>0</v>
      </c>
      <c r="J34" s="52">
        <f t="shared" si="23"/>
        <v>0</v>
      </c>
      <c r="K34" s="159">
        <v>-654000</v>
      </c>
      <c r="L34" s="123">
        <f t="shared" si="24"/>
        <v>-654000</v>
      </c>
      <c r="M34" s="118">
        <f t="shared" si="25"/>
        <v>0</v>
      </c>
      <c r="N34" s="153">
        <f t="shared" si="26"/>
        <v>0</v>
      </c>
    </row>
    <row r="35" spans="2:14" ht="15.75" thickBot="1" x14ac:dyDescent="0.3">
      <c r="B35" s="74">
        <v>0.65469999999999995</v>
      </c>
      <c r="C35" s="156">
        <v>6.5470000000000003E-4</v>
      </c>
      <c r="D35" s="184">
        <f t="shared" si="18"/>
        <v>6.5469999999999992E-4</v>
      </c>
      <c r="E35" s="57">
        <f t="shared" si="19"/>
        <v>0</v>
      </c>
      <c r="F35" s="57">
        <f t="shared" si="20"/>
        <v>0</v>
      </c>
      <c r="G35" s="156">
        <v>6.5469999999999995E-7</v>
      </c>
      <c r="H35" s="59">
        <f t="shared" si="21"/>
        <v>6.5469999999999995E-7</v>
      </c>
      <c r="I35" s="57">
        <f t="shared" si="22"/>
        <v>0</v>
      </c>
      <c r="J35" s="57">
        <f t="shared" si="23"/>
        <v>0</v>
      </c>
      <c r="K35" s="156">
        <v>654.70000000000005</v>
      </c>
      <c r="L35" s="59">
        <f t="shared" si="24"/>
        <v>654.69999999999993</v>
      </c>
      <c r="M35" s="119">
        <f t="shared" si="25"/>
        <v>0</v>
      </c>
      <c r="N35" s="163">
        <f t="shared" si="26"/>
        <v>0</v>
      </c>
    </row>
    <row r="36" spans="2:14" ht="15.75" thickBot="1" x14ac:dyDescent="0.3">
      <c r="C36" s="165"/>
      <c r="D36" s="165"/>
      <c r="E36" s="164"/>
      <c r="F36" s="164"/>
      <c r="G36" s="165"/>
      <c r="H36" s="165"/>
      <c r="I36" s="164"/>
      <c r="J36" s="164"/>
      <c r="K36" s="165"/>
      <c r="L36" s="165"/>
      <c r="M36" s="164"/>
      <c r="N36" s="164"/>
    </row>
    <row r="37" spans="2:14" x14ac:dyDescent="0.25">
      <c r="B37" s="341" t="s">
        <v>10</v>
      </c>
      <c r="C37" s="166" t="s">
        <v>14</v>
      </c>
      <c r="D37" s="168" t="s">
        <v>14</v>
      </c>
      <c r="E37" s="343" t="s">
        <v>354</v>
      </c>
      <c r="F37" s="352" t="s">
        <v>355</v>
      </c>
      <c r="G37" s="166" t="s">
        <v>14</v>
      </c>
      <c r="H37" s="168" t="s">
        <v>14</v>
      </c>
      <c r="I37" s="343" t="s">
        <v>354</v>
      </c>
      <c r="J37" s="352" t="s">
        <v>355</v>
      </c>
      <c r="K37" s="166" t="s">
        <v>14</v>
      </c>
      <c r="L37" s="168" t="s">
        <v>14</v>
      </c>
      <c r="M37" s="343" t="s">
        <v>354</v>
      </c>
      <c r="N37" s="357" t="s">
        <v>355</v>
      </c>
    </row>
    <row r="38" spans="2:14" ht="15.75" thickBot="1" x14ac:dyDescent="0.3">
      <c r="B38" s="342"/>
      <c r="C38" s="167" t="s">
        <v>290</v>
      </c>
      <c r="D38" s="169" t="s">
        <v>291</v>
      </c>
      <c r="E38" s="344"/>
      <c r="F38" s="353"/>
      <c r="G38" s="167" t="s">
        <v>290</v>
      </c>
      <c r="H38" s="169" t="s">
        <v>291</v>
      </c>
      <c r="I38" s="344"/>
      <c r="J38" s="353"/>
      <c r="K38" s="167" t="s">
        <v>290</v>
      </c>
      <c r="L38" s="169" t="s">
        <v>291</v>
      </c>
      <c r="M38" s="344"/>
      <c r="N38" s="358"/>
    </row>
    <row r="39" spans="2:14" ht="15.75" thickBot="1" x14ac:dyDescent="0.3">
      <c r="B39" s="346" t="s">
        <v>480</v>
      </c>
      <c r="C39" s="363" t="s">
        <v>477</v>
      </c>
      <c r="D39" s="177" t="s">
        <v>477</v>
      </c>
      <c r="E39" s="344"/>
      <c r="F39" s="354"/>
      <c r="G39" s="363" t="s">
        <v>478</v>
      </c>
      <c r="H39" s="177" t="s">
        <v>478</v>
      </c>
      <c r="I39" s="344"/>
      <c r="J39" s="354"/>
      <c r="K39" s="363" t="s">
        <v>479</v>
      </c>
      <c r="L39" s="177" t="s">
        <v>479</v>
      </c>
      <c r="M39" s="344"/>
      <c r="N39" s="358"/>
    </row>
    <row r="40" spans="2:14" ht="30.75" thickBot="1" x14ac:dyDescent="0.3">
      <c r="B40" s="347"/>
      <c r="C40" s="364"/>
      <c r="D40" s="179" t="s">
        <v>490</v>
      </c>
      <c r="E40" s="345"/>
      <c r="F40" s="345"/>
      <c r="G40" s="364"/>
      <c r="H40" s="178" t="s">
        <v>492</v>
      </c>
      <c r="I40" s="345"/>
      <c r="J40" s="345"/>
      <c r="K40" s="364"/>
      <c r="L40" s="179" t="s">
        <v>491</v>
      </c>
      <c r="M40" s="345"/>
      <c r="N40" s="359"/>
    </row>
    <row r="41" spans="2:14" x14ac:dyDescent="0.25">
      <c r="B41" s="44">
        <v>1</v>
      </c>
      <c r="C41" s="154">
        <v>9.9999999999999995E-7</v>
      </c>
      <c r="D41" s="123">
        <f>B41/1000000</f>
        <v>9.9999999999999995E-7</v>
      </c>
      <c r="E41" s="54">
        <f>C41-D41</f>
        <v>0</v>
      </c>
      <c r="F41" s="54">
        <f>(100*E41)/D41</f>
        <v>0</v>
      </c>
      <c r="G41" s="154">
        <v>1.0000000000000001E-9</v>
      </c>
      <c r="H41" s="123">
        <f>D41/1000</f>
        <v>9.9999999999999986E-10</v>
      </c>
      <c r="I41" s="54">
        <f>G41-H41</f>
        <v>0</v>
      </c>
      <c r="J41" s="54">
        <f>(100*I41)/H41</f>
        <v>0</v>
      </c>
      <c r="K41" s="154">
        <v>1E-3</v>
      </c>
      <c r="L41" s="123">
        <f>D41*1000</f>
        <v>1E-3</v>
      </c>
      <c r="M41" s="117">
        <f>K41-L41</f>
        <v>0</v>
      </c>
      <c r="N41" s="162">
        <f>(100*M41)/L41</f>
        <v>0</v>
      </c>
    </row>
    <row r="42" spans="2:14" x14ac:dyDescent="0.25">
      <c r="B42" s="47">
        <v>987</v>
      </c>
      <c r="C42" s="159">
        <v>9.8700000000000003E-4</v>
      </c>
      <c r="D42" s="123">
        <f t="shared" ref="D42:D46" si="27">B42/1000000</f>
        <v>9.8700000000000003E-4</v>
      </c>
      <c r="E42" s="52">
        <f t="shared" ref="E42:E46" si="28">C42-D42</f>
        <v>0</v>
      </c>
      <c r="F42" s="52">
        <f t="shared" ref="F42:F46" si="29">(100*E42)/D42</f>
        <v>0</v>
      </c>
      <c r="G42" s="159">
        <v>9.8700000000000004E-7</v>
      </c>
      <c r="H42" s="123">
        <f t="shared" ref="H42:H46" si="30">D42/1000</f>
        <v>9.8700000000000004E-7</v>
      </c>
      <c r="I42" s="52">
        <f t="shared" ref="I42:I46" si="31">G42-H42</f>
        <v>0</v>
      </c>
      <c r="J42" s="52">
        <f t="shared" ref="J42:J46" si="32">(100*I42)/H42</f>
        <v>0</v>
      </c>
      <c r="K42" s="159">
        <v>0.98699999999999999</v>
      </c>
      <c r="L42" s="123">
        <f t="shared" ref="L42:L46" si="33">D42*1000</f>
        <v>0.98699999999999999</v>
      </c>
      <c r="M42" s="118">
        <f t="shared" ref="M42:M46" si="34">K42-L42</f>
        <v>0</v>
      </c>
      <c r="N42" s="153">
        <f t="shared" ref="N42:N46" si="35">(100*M42)/L42</f>
        <v>0</v>
      </c>
    </row>
    <row r="43" spans="2:14" x14ac:dyDescent="0.25">
      <c r="B43" s="47">
        <v>5987</v>
      </c>
      <c r="C43" s="159">
        <v>5.9870000000000001E-3</v>
      </c>
      <c r="D43" s="123">
        <f t="shared" si="27"/>
        <v>5.9870000000000001E-3</v>
      </c>
      <c r="E43" s="52">
        <f t="shared" si="28"/>
        <v>0</v>
      </c>
      <c r="F43" s="52">
        <f t="shared" si="29"/>
        <v>0</v>
      </c>
      <c r="G43" s="159">
        <v>5.9869999999999996E-6</v>
      </c>
      <c r="H43" s="123">
        <f t="shared" si="30"/>
        <v>5.9870000000000004E-6</v>
      </c>
      <c r="I43" s="52">
        <f t="shared" si="31"/>
        <v>0</v>
      </c>
      <c r="J43" s="52">
        <f t="shared" si="32"/>
        <v>0</v>
      </c>
      <c r="K43" s="159">
        <v>5.9870000000000001</v>
      </c>
      <c r="L43" s="123">
        <f t="shared" si="33"/>
        <v>5.9870000000000001</v>
      </c>
      <c r="M43" s="118">
        <f t="shared" si="34"/>
        <v>0</v>
      </c>
      <c r="N43" s="153">
        <f t="shared" si="35"/>
        <v>0</v>
      </c>
    </row>
    <row r="44" spans="2:14" x14ac:dyDescent="0.25">
      <c r="B44" s="47">
        <v>4455667788</v>
      </c>
      <c r="C44" s="159">
        <v>4455.67</v>
      </c>
      <c r="D44" s="123">
        <f t="shared" si="27"/>
        <v>4455.6677879999997</v>
      </c>
      <c r="E44" s="52">
        <f t="shared" si="28"/>
        <v>2.2120000003269524E-3</v>
      </c>
      <c r="F44" s="52">
        <f t="shared" si="29"/>
        <v>4.9644634779197604E-5</v>
      </c>
      <c r="G44" s="159">
        <v>4.4556699999999996</v>
      </c>
      <c r="H44" s="123">
        <f t="shared" si="30"/>
        <v>4.4556677879999995</v>
      </c>
      <c r="I44" s="52">
        <f t="shared" si="31"/>
        <v>2.2120000000569462E-6</v>
      </c>
      <c r="J44" s="52">
        <f t="shared" si="32"/>
        <v>4.9644634773137768E-5</v>
      </c>
      <c r="K44" s="159">
        <v>4455668</v>
      </c>
      <c r="L44" s="123">
        <f t="shared" si="33"/>
        <v>4455667.7879999997</v>
      </c>
      <c r="M44" s="118">
        <f t="shared" si="34"/>
        <v>0.21200000029057264</v>
      </c>
      <c r="N44" s="153">
        <f t="shared" si="35"/>
        <v>4.7579848942403393E-6</v>
      </c>
    </row>
    <row r="45" spans="2:14" x14ac:dyDescent="0.25">
      <c r="B45" s="47">
        <v>-654</v>
      </c>
      <c r="C45" s="159">
        <v>-6.5399999999999996E-4</v>
      </c>
      <c r="D45" s="123">
        <f t="shared" si="27"/>
        <v>-6.5399999999999996E-4</v>
      </c>
      <c r="E45" s="52">
        <f t="shared" si="28"/>
        <v>0</v>
      </c>
      <c r="F45" s="52">
        <f t="shared" si="29"/>
        <v>0</v>
      </c>
      <c r="G45" s="159">
        <v>-6.5400000000000001E-7</v>
      </c>
      <c r="H45" s="123">
        <f t="shared" si="30"/>
        <v>-6.5400000000000001E-7</v>
      </c>
      <c r="I45" s="52">
        <f t="shared" si="31"/>
        <v>0</v>
      </c>
      <c r="J45" s="52">
        <f t="shared" si="32"/>
        <v>0</v>
      </c>
      <c r="K45" s="159">
        <v>-0.65400000000000003</v>
      </c>
      <c r="L45" s="123">
        <f t="shared" si="33"/>
        <v>-0.65399999999999991</v>
      </c>
      <c r="M45" s="118">
        <f t="shared" si="34"/>
        <v>0</v>
      </c>
      <c r="N45" s="153">
        <f t="shared" si="35"/>
        <v>0</v>
      </c>
    </row>
    <row r="46" spans="2:14" ht="15.75" thickBot="1" x14ac:dyDescent="0.3">
      <c r="B46" s="74">
        <v>0.65469999999999995</v>
      </c>
      <c r="C46" s="156">
        <v>6.5469999999999995E-7</v>
      </c>
      <c r="D46" s="185">
        <f t="shared" si="27"/>
        <v>6.5469999999999995E-7</v>
      </c>
      <c r="E46" s="57">
        <f t="shared" si="28"/>
        <v>0</v>
      </c>
      <c r="F46" s="57">
        <f t="shared" si="29"/>
        <v>0</v>
      </c>
      <c r="G46" s="156">
        <v>6.5470000000000002E-10</v>
      </c>
      <c r="H46" s="59">
        <f t="shared" si="30"/>
        <v>6.5469999999999992E-10</v>
      </c>
      <c r="I46" s="57">
        <f t="shared" si="31"/>
        <v>0</v>
      </c>
      <c r="J46" s="57">
        <f t="shared" si="32"/>
        <v>0</v>
      </c>
      <c r="K46" s="156">
        <v>6.5470000000000003E-4</v>
      </c>
      <c r="L46" s="59">
        <f t="shared" si="33"/>
        <v>6.5469999999999992E-4</v>
      </c>
      <c r="M46" s="119">
        <f t="shared" si="34"/>
        <v>0</v>
      </c>
      <c r="N46" s="163">
        <f t="shared" si="35"/>
        <v>0</v>
      </c>
    </row>
    <row r="47" spans="2:14" x14ac:dyDescent="0.25">
      <c r="E47" s="68"/>
      <c r="F47" s="68"/>
      <c r="G47" s="68"/>
    </row>
  </sheetData>
  <mergeCells count="45">
    <mergeCell ref="N37:N40"/>
    <mergeCell ref="B39:B40"/>
    <mergeCell ref="C39:C40"/>
    <mergeCell ref="G39:G40"/>
    <mergeCell ref="K39:K40"/>
    <mergeCell ref="B37:B38"/>
    <mergeCell ref="E37:E40"/>
    <mergeCell ref="F37:F40"/>
    <mergeCell ref="I37:I40"/>
    <mergeCell ref="J37:J40"/>
    <mergeCell ref="M37:M40"/>
    <mergeCell ref="M26:M29"/>
    <mergeCell ref="N26:N29"/>
    <mergeCell ref="B28:B29"/>
    <mergeCell ref="C28:C29"/>
    <mergeCell ref="G28:G29"/>
    <mergeCell ref="K28:K29"/>
    <mergeCell ref="B26:B27"/>
    <mergeCell ref="E26:E29"/>
    <mergeCell ref="F26:F29"/>
    <mergeCell ref="I26:I29"/>
    <mergeCell ref="J26:J29"/>
    <mergeCell ref="N15:N18"/>
    <mergeCell ref="B17:B18"/>
    <mergeCell ref="C17:C18"/>
    <mergeCell ref="G17:G18"/>
    <mergeCell ref="K17:K18"/>
    <mergeCell ref="B15:B16"/>
    <mergeCell ref="E15:E18"/>
    <mergeCell ref="F15:F18"/>
    <mergeCell ref="I15:I18"/>
    <mergeCell ref="J15:J18"/>
    <mergeCell ref="M15:M18"/>
    <mergeCell ref="M4:M7"/>
    <mergeCell ref="N4:N7"/>
    <mergeCell ref="B6:B7"/>
    <mergeCell ref="C6:C7"/>
    <mergeCell ref="G6:G7"/>
    <mergeCell ref="K6:K7"/>
    <mergeCell ref="B1:K1"/>
    <mergeCell ref="B4:B5"/>
    <mergeCell ref="E4:E7"/>
    <mergeCell ref="F4:F7"/>
    <mergeCell ref="I4:I7"/>
    <mergeCell ref="J4:J7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N46"/>
  <sheetViews>
    <sheetView workbookViewId="0">
      <pane xSplit="2" ySplit="1" topLeftCell="H20" activePane="bottomRight" state="frozen"/>
      <selection pane="topRight" activeCell="C1" sqref="C1"/>
      <selection pane="bottomLeft" activeCell="A2" sqref="A2"/>
      <selection pane="bottomRight" activeCell="P34" sqref="P34"/>
    </sheetView>
  </sheetViews>
  <sheetFormatPr defaultRowHeight="15" x14ac:dyDescent="0.25"/>
  <cols>
    <col min="1" max="1" width="4.140625" customWidth="1"/>
    <col min="2" max="2" width="20.7109375" bestFit="1" customWidth="1"/>
    <col min="3" max="4" width="34.42578125" bestFit="1" customWidth="1"/>
    <col min="5" max="5" width="23.7109375" bestFit="1" customWidth="1"/>
    <col min="6" max="6" width="23.7109375" customWidth="1"/>
    <col min="7" max="7" width="30.28515625" bestFit="1" customWidth="1"/>
    <col min="8" max="8" width="31.42578125" bestFit="1" customWidth="1"/>
    <col min="9" max="9" width="23.7109375" bestFit="1" customWidth="1"/>
    <col min="10" max="10" width="23.7109375" customWidth="1"/>
    <col min="11" max="11" width="30.42578125" customWidth="1"/>
    <col min="12" max="12" width="31.7109375" customWidth="1"/>
    <col min="13" max="13" width="26.140625" customWidth="1"/>
    <col min="14" max="14" width="31.28515625" customWidth="1"/>
  </cols>
  <sheetData>
    <row r="1" spans="2:14" ht="31.5" x14ac:dyDescent="0.5">
      <c r="B1" s="340" t="s">
        <v>289</v>
      </c>
      <c r="C1" s="340"/>
      <c r="D1" s="340"/>
      <c r="E1" s="340"/>
      <c r="F1" s="340"/>
      <c r="G1" s="340"/>
      <c r="H1" s="340"/>
      <c r="I1" s="340"/>
      <c r="J1" s="340"/>
      <c r="K1" s="340"/>
    </row>
    <row r="2" spans="2:14" x14ac:dyDescent="0.25">
      <c r="B2" s="70" t="s">
        <v>340</v>
      </c>
      <c r="C2" t="s">
        <v>341</v>
      </c>
      <c r="D2" t="s">
        <v>344</v>
      </c>
    </row>
    <row r="3" spans="2:14" ht="15.75" thickBot="1" x14ac:dyDescent="0.3"/>
    <row r="4" spans="2:14" x14ac:dyDescent="0.25">
      <c r="B4" s="341" t="s">
        <v>10</v>
      </c>
      <c r="C4" s="62" t="s">
        <v>14</v>
      </c>
      <c r="D4" s="65" t="s">
        <v>14</v>
      </c>
      <c r="E4" s="330" t="s">
        <v>354</v>
      </c>
      <c r="F4" s="324" t="s">
        <v>355</v>
      </c>
      <c r="G4" s="62" t="s">
        <v>14</v>
      </c>
      <c r="H4" s="65" t="s">
        <v>14</v>
      </c>
      <c r="I4" s="330" t="s">
        <v>354</v>
      </c>
      <c r="J4" s="324" t="s">
        <v>355</v>
      </c>
      <c r="K4" s="62" t="s">
        <v>14</v>
      </c>
      <c r="L4" s="65" t="s">
        <v>14</v>
      </c>
      <c r="M4" s="330" t="s">
        <v>354</v>
      </c>
      <c r="N4" s="321" t="s">
        <v>355</v>
      </c>
    </row>
    <row r="5" spans="2:14" ht="15.75" thickBot="1" x14ac:dyDescent="0.3">
      <c r="B5" s="342"/>
      <c r="C5" s="63" t="s">
        <v>290</v>
      </c>
      <c r="D5" s="27" t="s">
        <v>291</v>
      </c>
      <c r="E5" s="331"/>
      <c r="F5" s="325"/>
      <c r="G5" s="63" t="s">
        <v>290</v>
      </c>
      <c r="H5" s="64" t="s">
        <v>291</v>
      </c>
      <c r="I5" s="331"/>
      <c r="J5" s="325"/>
      <c r="K5" s="63" t="s">
        <v>290</v>
      </c>
      <c r="L5" s="64" t="s">
        <v>291</v>
      </c>
      <c r="M5" s="331"/>
      <c r="N5" s="322"/>
    </row>
    <row r="6" spans="2:14" x14ac:dyDescent="0.25">
      <c r="B6" s="346" t="s">
        <v>43</v>
      </c>
      <c r="C6" s="348" t="s">
        <v>44</v>
      </c>
      <c r="D6" s="37" t="s">
        <v>44</v>
      </c>
      <c r="E6" s="331"/>
      <c r="F6" s="326"/>
      <c r="G6" s="355" t="s">
        <v>45</v>
      </c>
      <c r="H6" s="87" t="s">
        <v>45</v>
      </c>
      <c r="I6" s="331"/>
      <c r="J6" s="326"/>
      <c r="K6" s="355" t="s">
        <v>46</v>
      </c>
      <c r="L6" s="87" t="s">
        <v>46</v>
      </c>
      <c r="M6" s="331"/>
      <c r="N6" s="322"/>
    </row>
    <row r="7" spans="2:14" ht="30.75" thickBot="1" x14ac:dyDescent="0.3">
      <c r="B7" s="347"/>
      <c r="C7" s="349"/>
      <c r="D7" s="51" t="s">
        <v>119</v>
      </c>
      <c r="E7" s="327"/>
      <c r="F7" s="327"/>
      <c r="G7" s="356"/>
      <c r="H7" s="66" t="s">
        <v>118</v>
      </c>
      <c r="I7" s="327"/>
      <c r="J7" s="327"/>
      <c r="K7" s="356"/>
      <c r="L7" s="51" t="s">
        <v>120</v>
      </c>
      <c r="M7" s="327"/>
      <c r="N7" s="323"/>
    </row>
    <row r="8" spans="2:14" x14ac:dyDescent="0.25">
      <c r="B8" s="44">
        <v>1</v>
      </c>
      <c r="C8" s="157">
        <v>2.38834E-4</v>
      </c>
      <c r="D8" s="58">
        <f t="shared" ref="D8:D13" si="0">H8/4.187</f>
        <v>2.3883448770002386E-4</v>
      </c>
      <c r="E8" s="54">
        <f>C8-D8</f>
        <v>-4.877000238661007E-10</v>
      </c>
      <c r="F8" s="54">
        <f>(100*E8)/D8</f>
        <v>-2.0419999999273639E-4</v>
      </c>
      <c r="G8" s="157">
        <v>1E-3</v>
      </c>
      <c r="H8" s="58">
        <f t="shared" ref="H8:H13" si="1">B8/1000</f>
        <v>1E-3</v>
      </c>
      <c r="I8" s="54">
        <f>G8-H8</f>
        <v>0</v>
      </c>
      <c r="J8" s="54">
        <f>(100*I8)/H8</f>
        <v>0</v>
      </c>
      <c r="K8" s="154">
        <v>2.7777777777777802E-7</v>
      </c>
      <c r="L8" s="58">
        <f>H8/3600</f>
        <v>2.7777777777777776E-7</v>
      </c>
      <c r="M8" s="54">
        <f>K8-L8</f>
        <v>0</v>
      </c>
      <c r="N8" s="162">
        <f>(100*M8)/L8</f>
        <v>0</v>
      </c>
    </row>
    <row r="9" spans="2:14" x14ac:dyDescent="0.25">
      <c r="B9" s="47">
        <v>236</v>
      </c>
      <c r="C9" s="155">
        <v>5.6364900000000003E-2</v>
      </c>
      <c r="D9" s="26">
        <f t="shared" si="0"/>
        <v>5.6364939097205628E-2</v>
      </c>
      <c r="E9" s="52">
        <f t="shared" ref="E9:E13" si="2">C9-D9</f>
        <v>-3.9097205625782117E-8</v>
      </c>
      <c r="F9" s="52">
        <f t="shared" ref="F9:F13" si="3">(100*E9)/D9</f>
        <v>-6.9364406760656674E-5</v>
      </c>
      <c r="G9" s="155">
        <v>0.23599999999999999</v>
      </c>
      <c r="H9" s="26">
        <f t="shared" si="1"/>
        <v>0.23599999999999999</v>
      </c>
      <c r="I9" s="52">
        <f t="shared" ref="I9:I13" si="4">G9-H9</f>
        <v>0</v>
      </c>
      <c r="J9" s="52">
        <f t="shared" ref="J9:J13" si="5">(100*I9)/H9</f>
        <v>0</v>
      </c>
      <c r="K9" s="159">
        <v>6.5555555555555598E-5</v>
      </c>
      <c r="L9" s="26">
        <f>H9/3600</f>
        <v>6.5555555555555557E-5</v>
      </c>
      <c r="M9" s="52">
        <f t="shared" ref="M9:M13" si="6">K9-L9</f>
        <v>0</v>
      </c>
      <c r="N9" s="153">
        <f t="shared" ref="N9:N13" si="7">(100*M9)/L9</f>
        <v>0</v>
      </c>
    </row>
    <row r="10" spans="2:14" x14ac:dyDescent="0.25">
      <c r="B10" s="47">
        <v>3687</v>
      </c>
      <c r="C10" s="155">
        <v>0.880583</v>
      </c>
      <c r="D10" s="26">
        <f t="shared" si="0"/>
        <v>0.88058275614998793</v>
      </c>
      <c r="E10" s="52">
        <f t="shared" si="2"/>
        <v>2.4385001207161139E-7</v>
      </c>
      <c r="F10" s="52">
        <f t="shared" si="3"/>
        <v>2.7691890440570572E-5</v>
      </c>
      <c r="G10" s="155">
        <v>3.6869999999999998</v>
      </c>
      <c r="H10" s="26">
        <f t="shared" si="1"/>
        <v>3.6869999999999998</v>
      </c>
      <c r="I10" s="52">
        <f t="shared" si="4"/>
        <v>0</v>
      </c>
      <c r="J10" s="52">
        <f t="shared" si="5"/>
        <v>0</v>
      </c>
      <c r="K10" s="159">
        <v>1.02417E-3</v>
      </c>
      <c r="L10" s="26">
        <f>H10/3600</f>
        <v>1.0241666666666667E-3</v>
      </c>
      <c r="M10" s="52">
        <f t="shared" si="6"/>
        <v>3.3333333333135373E-9</v>
      </c>
      <c r="N10" s="153">
        <f t="shared" si="7"/>
        <v>3.254678600468873E-4</v>
      </c>
    </row>
    <row r="11" spans="2:14" x14ac:dyDescent="0.25">
      <c r="B11" s="47">
        <v>3344556677</v>
      </c>
      <c r="C11" s="155">
        <v>798795</v>
      </c>
      <c r="D11" s="26">
        <f t="shared" si="0"/>
        <v>798795.48053498927</v>
      </c>
      <c r="E11" s="52">
        <f t="shared" si="2"/>
        <v>-0.48053498927038163</v>
      </c>
      <c r="F11" s="52">
        <f t="shared" si="3"/>
        <v>-6.015744968268295E-5</v>
      </c>
      <c r="G11" s="155">
        <v>3344557</v>
      </c>
      <c r="H11" s="26">
        <f t="shared" si="1"/>
        <v>3344556.6770000001</v>
      </c>
      <c r="I11" s="52">
        <f t="shared" si="4"/>
        <v>0.32299999985843897</v>
      </c>
      <c r="J11" s="52">
        <f t="shared" si="5"/>
        <v>9.6574832198138577E-6</v>
      </c>
      <c r="K11" s="159">
        <v>929.04399999999998</v>
      </c>
      <c r="L11" s="26">
        <f t="shared" ref="L11:L13" si="8">H11/3600</f>
        <v>929.04352138888896</v>
      </c>
      <c r="M11" s="52">
        <f t="shared" si="6"/>
        <v>4.7861111102065479E-4</v>
      </c>
      <c r="N11" s="153">
        <f t="shared" si="7"/>
        <v>5.1516543628133502E-5</v>
      </c>
    </row>
    <row r="12" spans="2:14" x14ac:dyDescent="0.25">
      <c r="B12" s="85">
        <v>0.65469999999999995</v>
      </c>
      <c r="C12" s="155">
        <v>1.56365E-4</v>
      </c>
      <c r="D12" s="26">
        <f t="shared" si="0"/>
        <v>1.5636493909720561E-4</v>
      </c>
      <c r="E12" s="52">
        <f t="shared" si="2"/>
        <v>6.0902794390754397E-11</v>
      </c>
      <c r="F12" s="52">
        <f t="shared" si="3"/>
        <v>3.8949137026743348E-5</v>
      </c>
      <c r="G12" s="155">
        <v>6.5470000000000003E-4</v>
      </c>
      <c r="H12" s="26">
        <f t="shared" si="1"/>
        <v>6.5469999999999992E-4</v>
      </c>
      <c r="I12" s="52">
        <f t="shared" si="4"/>
        <v>0</v>
      </c>
      <c r="J12" s="52">
        <f t="shared" si="5"/>
        <v>0</v>
      </c>
      <c r="K12" s="159">
        <v>1.81861111111111E-7</v>
      </c>
      <c r="L12" s="26">
        <f t="shared" si="8"/>
        <v>1.8186111111111108E-7</v>
      </c>
      <c r="M12" s="52">
        <f t="shared" si="6"/>
        <v>0</v>
      </c>
      <c r="N12" s="153">
        <f t="shared" si="7"/>
        <v>0</v>
      </c>
    </row>
    <row r="13" spans="2:14" ht="15.75" thickBot="1" x14ac:dyDescent="0.3">
      <c r="B13" s="86">
        <v>-741</v>
      </c>
      <c r="C13" s="158">
        <v>-0.17697599999999999</v>
      </c>
      <c r="D13" s="59">
        <f t="shared" si="0"/>
        <v>-0.17697635538571768</v>
      </c>
      <c r="E13" s="57">
        <f t="shared" si="2"/>
        <v>3.5538571768745086E-7</v>
      </c>
      <c r="F13" s="57">
        <f t="shared" si="3"/>
        <v>-2.0080971659343548E-4</v>
      </c>
      <c r="G13" s="158">
        <v>-0.74099999999999999</v>
      </c>
      <c r="H13" s="59">
        <f t="shared" si="1"/>
        <v>-0.74099999999999999</v>
      </c>
      <c r="I13" s="57">
        <f t="shared" si="4"/>
        <v>0</v>
      </c>
      <c r="J13" s="57">
        <f t="shared" si="5"/>
        <v>0</v>
      </c>
      <c r="K13" s="156">
        <v>-2.0583299999999999E-4</v>
      </c>
      <c r="L13" s="59">
        <f t="shared" si="8"/>
        <v>-2.0583333333333334E-4</v>
      </c>
      <c r="M13" s="57">
        <f t="shared" si="6"/>
        <v>3.3333333334761676E-10</v>
      </c>
      <c r="N13" s="163">
        <f t="shared" si="7"/>
        <v>-1.6194331984499601E-4</v>
      </c>
    </row>
    <row r="14" spans="2:14" ht="15.75" thickBot="1" x14ac:dyDescent="0.3">
      <c r="C14" s="165"/>
      <c r="D14" s="165"/>
      <c r="E14" s="164"/>
      <c r="F14" s="164"/>
      <c r="G14" s="165"/>
      <c r="H14" s="165"/>
      <c r="I14" s="164"/>
      <c r="J14" s="164"/>
      <c r="K14" s="165"/>
      <c r="L14" s="165"/>
      <c r="M14" s="164"/>
      <c r="N14" s="164"/>
    </row>
    <row r="15" spans="2:14" x14ac:dyDescent="0.25">
      <c r="B15" s="341" t="s">
        <v>10</v>
      </c>
      <c r="C15" s="166" t="s">
        <v>14</v>
      </c>
      <c r="D15" s="168" t="s">
        <v>14</v>
      </c>
      <c r="E15" s="343" t="s">
        <v>354</v>
      </c>
      <c r="F15" s="352" t="s">
        <v>355</v>
      </c>
      <c r="G15" s="166" t="s">
        <v>14</v>
      </c>
      <c r="H15" s="168" t="s">
        <v>14</v>
      </c>
      <c r="I15" s="343" t="s">
        <v>354</v>
      </c>
      <c r="J15" s="352" t="s">
        <v>355</v>
      </c>
      <c r="K15" s="166" t="s">
        <v>14</v>
      </c>
      <c r="L15" s="168" t="s">
        <v>14</v>
      </c>
      <c r="M15" s="343" t="s">
        <v>354</v>
      </c>
      <c r="N15" s="357" t="s">
        <v>355</v>
      </c>
    </row>
    <row r="16" spans="2:14" ht="15.75" thickBot="1" x14ac:dyDescent="0.3">
      <c r="B16" s="342"/>
      <c r="C16" s="167" t="s">
        <v>290</v>
      </c>
      <c r="D16" s="169" t="s">
        <v>291</v>
      </c>
      <c r="E16" s="344"/>
      <c r="F16" s="353"/>
      <c r="G16" s="167" t="s">
        <v>290</v>
      </c>
      <c r="H16" s="186" t="s">
        <v>291</v>
      </c>
      <c r="I16" s="344"/>
      <c r="J16" s="353"/>
      <c r="K16" s="167" t="s">
        <v>290</v>
      </c>
      <c r="L16" s="186" t="s">
        <v>291</v>
      </c>
      <c r="M16" s="344"/>
      <c r="N16" s="358"/>
    </row>
    <row r="17" spans="2:14" x14ac:dyDescent="0.25">
      <c r="B17" s="348" t="s">
        <v>44</v>
      </c>
      <c r="C17" s="363" t="s">
        <v>43</v>
      </c>
      <c r="D17" s="170" t="s">
        <v>43</v>
      </c>
      <c r="E17" s="344"/>
      <c r="F17" s="354"/>
      <c r="G17" s="350" t="s">
        <v>45</v>
      </c>
      <c r="H17" s="187" t="s">
        <v>45</v>
      </c>
      <c r="I17" s="344"/>
      <c r="J17" s="354"/>
      <c r="K17" s="350" t="s">
        <v>46</v>
      </c>
      <c r="L17" s="187" t="s">
        <v>46</v>
      </c>
      <c r="M17" s="344"/>
      <c r="N17" s="358"/>
    </row>
    <row r="18" spans="2:14" ht="30.75" thickBot="1" x14ac:dyDescent="0.3">
      <c r="B18" s="349"/>
      <c r="C18" s="364"/>
      <c r="D18" s="171" t="s">
        <v>123</v>
      </c>
      <c r="E18" s="345"/>
      <c r="F18" s="345"/>
      <c r="G18" s="351"/>
      <c r="H18" s="173" t="s">
        <v>122</v>
      </c>
      <c r="I18" s="345"/>
      <c r="J18" s="345"/>
      <c r="K18" s="351"/>
      <c r="L18" s="171" t="s">
        <v>124</v>
      </c>
      <c r="M18" s="345"/>
      <c r="N18" s="359"/>
    </row>
    <row r="19" spans="2:14" x14ac:dyDescent="0.25">
      <c r="B19" s="44">
        <v>1</v>
      </c>
      <c r="C19" s="157">
        <v>4187</v>
      </c>
      <c r="D19" s="58">
        <f>H19*1000</f>
        <v>4187</v>
      </c>
      <c r="E19" s="54">
        <f>C19-D19</f>
        <v>0</v>
      </c>
      <c r="F19" s="54">
        <f>(100*E19)/D19</f>
        <v>0</v>
      </c>
      <c r="G19" s="157">
        <v>4.1870000000000003</v>
      </c>
      <c r="H19" s="58">
        <f>B19*4.187</f>
        <v>4.1870000000000003</v>
      </c>
      <c r="I19" s="54">
        <f>G19-H19</f>
        <v>0</v>
      </c>
      <c r="J19" s="54">
        <f>(100*I19)/H19</f>
        <v>0</v>
      </c>
      <c r="K19" s="157">
        <v>1.16306E-3</v>
      </c>
      <c r="L19" s="58">
        <f>H19/3600</f>
        <v>1.1630555555555556E-3</v>
      </c>
      <c r="M19" s="54">
        <f>K19-L19</f>
        <v>4.4444444444180498E-9</v>
      </c>
      <c r="N19" s="162">
        <f>(100*M19)/L19</f>
        <v>3.8213518031776877E-4</v>
      </c>
    </row>
    <row r="20" spans="2:14" x14ac:dyDescent="0.25">
      <c r="B20" s="47">
        <v>236</v>
      </c>
      <c r="C20" s="155">
        <v>988132</v>
      </c>
      <c r="D20" s="26">
        <f t="shared" ref="D20:D24" si="9">H20*1000</f>
        <v>988132.00000000012</v>
      </c>
      <c r="E20" s="52">
        <f t="shared" ref="E20:E24" si="10">C20-D20</f>
        <v>0</v>
      </c>
      <c r="F20" s="52">
        <f t="shared" ref="F20:F24" si="11">(100*E20)/D20</f>
        <v>0</v>
      </c>
      <c r="G20" s="155">
        <v>988.13199999999995</v>
      </c>
      <c r="H20" s="26">
        <f t="shared" ref="H20:H24" si="12">B20*4.187</f>
        <v>988.13200000000006</v>
      </c>
      <c r="I20" s="52">
        <f t="shared" ref="I20:I24" si="13">G20-H20</f>
        <v>0</v>
      </c>
      <c r="J20" s="52">
        <f t="shared" ref="J20:J24" si="14">(100*I20)/H20</f>
        <v>0</v>
      </c>
      <c r="K20" s="155">
        <v>0.27448099999999998</v>
      </c>
      <c r="L20" s="26">
        <f t="shared" ref="L20:L24" si="15">H20/3600</f>
        <v>0.27448111111111112</v>
      </c>
      <c r="M20" s="52">
        <f t="shared" ref="M20:M24" si="16">K20-L20</f>
        <v>-1.1111111114514571E-7</v>
      </c>
      <c r="N20" s="153">
        <f t="shared" ref="N20:N24" si="17">(100*M20)/L20</f>
        <v>-4.0480421656471456E-5</v>
      </c>
    </row>
    <row r="21" spans="2:14" x14ac:dyDescent="0.25">
      <c r="B21" s="47">
        <v>3687</v>
      </c>
      <c r="C21" s="155">
        <v>15437469</v>
      </c>
      <c r="D21" s="26">
        <f t="shared" si="9"/>
        <v>15437469.000000002</v>
      </c>
      <c r="E21" s="52">
        <f t="shared" si="10"/>
        <v>0</v>
      </c>
      <c r="F21" s="52">
        <f t="shared" si="11"/>
        <v>0</v>
      </c>
      <c r="G21" s="155">
        <v>15437.5</v>
      </c>
      <c r="H21" s="26">
        <f t="shared" si="12"/>
        <v>15437.469000000001</v>
      </c>
      <c r="I21" s="52">
        <f t="shared" si="13"/>
        <v>3.0999999999039574E-2</v>
      </c>
      <c r="J21" s="52">
        <f t="shared" si="14"/>
        <v>2.0081011983920144E-4</v>
      </c>
      <c r="K21" s="159">
        <v>4.2881900000000002</v>
      </c>
      <c r="L21" s="26">
        <f t="shared" si="15"/>
        <v>4.2881858333333334</v>
      </c>
      <c r="M21" s="52">
        <f t="shared" si="16"/>
        <v>4.1666666668049857E-6</v>
      </c>
      <c r="N21" s="153">
        <f t="shared" si="17"/>
        <v>9.7166187025204376E-5</v>
      </c>
    </row>
    <row r="22" spans="2:14" x14ac:dyDescent="0.25">
      <c r="B22" s="47">
        <v>3344556677</v>
      </c>
      <c r="C22" s="155">
        <v>14003658806599</v>
      </c>
      <c r="D22" s="26">
        <f t="shared" si="9"/>
        <v>14003658806599</v>
      </c>
      <c r="E22" s="52">
        <f t="shared" si="10"/>
        <v>0</v>
      </c>
      <c r="F22" s="52">
        <f t="shared" si="11"/>
        <v>0</v>
      </c>
      <c r="G22" s="155">
        <v>14003658807</v>
      </c>
      <c r="H22" s="26">
        <f t="shared" si="12"/>
        <v>14003658806.599001</v>
      </c>
      <c r="I22" s="52">
        <f t="shared" si="13"/>
        <v>0.40099906921386719</v>
      </c>
      <c r="J22" s="52">
        <f t="shared" si="14"/>
        <v>2.8635307011686314E-9</v>
      </c>
      <c r="K22" s="155">
        <v>3889905</v>
      </c>
      <c r="L22" s="26">
        <f t="shared" si="15"/>
        <v>3889905.2240552781</v>
      </c>
      <c r="M22" s="52">
        <f t="shared" si="16"/>
        <v>-0.2240552781149745</v>
      </c>
      <c r="N22" s="153">
        <f t="shared" si="17"/>
        <v>-5.7599161215911037E-6</v>
      </c>
    </row>
    <row r="23" spans="2:14" x14ac:dyDescent="0.25">
      <c r="B23" s="85">
        <v>0.65469999999999995</v>
      </c>
      <c r="C23" s="155">
        <v>2741.23</v>
      </c>
      <c r="D23" s="26">
        <f t="shared" si="9"/>
        <v>2741.2289000000001</v>
      </c>
      <c r="E23" s="52">
        <f t="shared" si="10"/>
        <v>1.0999999999512511E-3</v>
      </c>
      <c r="F23" s="52">
        <f t="shared" si="11"/>
        <v>4.0127987850677158E-5</v>
      </c>
      <c r="G23" s="155">
        <v>2.7412299999999998</v>
      </c>
      <c r="H23" s="26">
        <f t="shared" si="12"/>
        <v>2.7412288999999999</v>
      </c>
      <c r="I23" s="52">
        <f t="shared" si="13"/>
        <v>1.0999999999761201E-6</v>
      </c>
      <c r="J23" s="52">
        <f t="shared" si="14"/>
        <v>4.0127987851584378E-5</v>
      </c>
      <c r="K23" s="155">
        <v>7.6145200000000003E-4</v>
      </c>
      <c r="L23" s="26">
        <f t="shared" si="15"/>
        <v>7.6145247222222218E-4</v>
      </c>
      <c r="M23" s="52">
        <f t="shared" si="16"/>
        <v>-4.7222222215436566E-10</v>
      </c>
      <c r="N23" s="153">
        <f t="shared" si="17"/>
        <v>-6.2015981217610698E-5</v>
      </c>
    </row>
    <row r="24" spans="2:14" ht="15.75" thickBot="1" x14ac:dyDescent="0.3">
      <c r="B24" s="86">
        <v>-741</v>
      </c>
      <c r="C24" s="158">
        <v>-3102567</v>
      </c>
      <c r="D24" s="59">
        <f t="shared" si="9"/>
        <v>-3102567</v>
      </c>
      <c r="E24" s="57">
        <f t="shared" si="10"/>
        <v>0</v>
      </c>
      <c r="F24" s="57">
        <f t="shared" si="11"/>
        <v>0</v>
      </c>
      <c r="G24" s="158">
        <v>-3102.57</v>
      </c>
      <c r="H24" s="59">
        <f t="shared" si="12"/>
        <v>-3102.567</v>
      </c>
      <c r="I24" s="57">
        <f t="shared" si="13"/>
        <v>-3.0000000001564331E-3</v>
      </c>
      <c r="J24" s="57">
        <f t="shared" si="14"/>
        <v>9.6694124579950501E-5</v>
      </c>
      <c r="K24" s="158">
        <v>-0.86182400000000003</v>
      </c>
      <c r="L24" s="59">
        <f t="shared" si="15"/>
        <v>-0.86182416666666661</v>
      </c>
      <c r="M24" s="57">
        <f t="shared" si="16"/>
        <v>1.6666666657894069E-7</v>
      </c>
      <c r="N24" s="163">
        <f t="shared" si="17"/>
        <v>-1.9338824904802587E-5</v>
      </c>
    </row>
    <row r="25" spans="2:14" ht="15.75" thickBot="1" x14ac:dyDescent="0.3">
      <c r="C25" s="165"/>
      <c r="D25" s="165"/>
      <c r="E25" s="164"/>
      <c r="F25" s="164"/>
      <c r="G25" s="165"/>
      <c r="H25" s="165"/>
      <c r="I25" s="164"/>
      <c r="J25" s="164"/>
      <c r="K25" s="165"/>
      <c r="L25" s="165"/>
      <c r="M25" s="164"/>
      <c r="N25" s="164"/>
    </row>
    <row r="26" spans="2:14" x14ac:dyDescent="0.25">
      <c r="B26" s="341" t="s">
        <v>10</v>
      </c>
      <c r="C26" s="166" t="s">
        <v>14</v>
      </c>
      <c r="D26" s="168" t="s">
        <v>14</v>
      </c>
      <c r="E26" s="343" t="s">
        <v>354</v>
      </c>
      <c r="F26" s="352" t="s">
        <v>355</v>
      </c>
      <c r="G26" s="166" t="s">
        <v>14</v>
      </c>
      <c r="H26" s="168" t="s">
        <v>14</v>
      </c>
      <c r="I26" s="343" t="s">
        <v>354</v>
      </c>
      <c r="J26" s="352" t="s">
        <v>355</v>
      </c>
      <c r="K26" s="166" t="s">
        <v>14</v>
      </c>
      <c r="L26" s="168" t="s">
        <v>14</v>
      </c>
      <c r="M26" s="343" t="s">
        <v>354</v>
      </c>
      <c r="N26" s="357" t="s">
        <v>355</v>
      </c>
    </row>
    <row r="27" spans="2:14" ht="15.75" thickBot="1" x14ac:dyDescent="0.3">
      <c r="B27" s="342"/>
      <c r="C27" s="167" t="s">
        <v>290</v>
      </c>
      <c r="D27" s="169" t="s">
        <v>291</v>
      </c>
      <c r="E27" s="344"/>
      <c r="F27" s="353"/>
      <c r="G27" s="167" t="s">
        <v>290</v>
      </c>
      <c r="H27" s="186" t="s">
        <v>291</v>
      </c>
      <c r="I27" s="344"/>
      <c r="J27" s="353"/>
      <c r="K27" s="167" t="s">
        <v>290</v>
      </c>
      <c r="L27" s="186" t="s">
        <v>291</v>
      </c>
      <c r="M27" s="344"/>
      <c r="N27" s="358"/>
    </row>
    <row r="28" spans="2:14" x14ac:dyDescent="0.25">
      <c r="B28" s="348" t="s">
        <v>45</v>
      </c>
      <c r="C28" s="363" t="s">
        <v>43</v>
      </c>
      <c r="D28" s="170" t="s">
        <v>43</v>
      </c>
      <c r="E28" s="344"/>
      <c r="F28" s="354"/>
      <c r="G28" s="360" t="s">
        <v>44</v>
      </c>
      <c r="H28" s="187" t="s">
        <v>44</v>
      </c>
      <c r="I28" s="344"/>
      <c r="J28" s="354"/>
      <c r="K28" s="350" t="s">
        <v>46</v>
      </c>
      <c r="L28" s="187" t="s">
        <v>46</v>
      </c>
      <c r="M28" s="344"/>
      <c r="N28" s="358"/>
    </row>
    <row r="29" spans="2:14" ht="15.75" thickBot="1" x14ac:dyDescent="0.3">
      <c r="B29" s="349"/>
      <c r="C29" s="364"/>
      <c r="D29" s="172" t="s">
        <v>121</v>
      </c>
      <c r="E29" s="345"/>
      <c r="F29" s="345"/>
      <c r="G29" s="361"/>
      <c r="H29" s="172" t="s">
        <v>125</v>
      </c>
      <c r="I29" s="345"/>
      <c r="J29" s="345"/>
      <c r="K29" s="351"/>
      <c r="L29" s="172" t="s">
        <v>126</v>
      </c>
      <c r="M29" s="345"/>
      <c r="N29" s="359"/>
    </row>
    <row r="30" spans="2:14" x14ac:dyDescent="0.25">
      <c r="B30" s="44">
        <v>1</v>
      </c>
      <c r="C30" s="157">
        <v>1000</v>
      </c>
      <c r="D30" s="58">
        <f>B30*1000</f>
        <v>1000</v>
      </c>
      <c r="E30" s="54">
        <f>C30-D30</f>
        <v>0</v>
      </c>
      <c r="F30" s="54">
        <f>(100*E30)/D30</f>
        <v>0</v>
      </c>
      <c r="G30" s="157">
        <v>0.23883399999999999</v>
      </c>
      <c r="H30" s="58">
        <f>B30/4.187</f>
        <v>0.23883448770002386</v>
      </c>
      <c r="I30" s="54">
        <f>G30-H30</f>
        <v>-4.8770002386566702E-7</v>
      </c>
      <c r="J30" s="54">
        <f>(100*I30)/H30</f>
        <v>-2.0419999999255481E-4</v>
      </c>
      <c r="K30" s="157">
        <v>2.7777800000000001E-4</v>
      </c>
      <c r="L30" s="58">
        <f>B30/3600</f>
        <v>2.7777777777777778E-4</v>
      </c>
      <c r="M30" s="54">
        <f>K30-L30</f>
        <v>2.2222222223174451E-10</v>
      </c>
      <c r="N30" s="162">
        <f>(100*M30)/L30</f>
        <v>8.0000000003428023E-5</v>
      </c>
    </row>
    <row r="31" spans="2:14" x14ac:dyDescent="0.25">
      <c r="B31" s="47">
        <v>236</v>
      </c>
      <c r="C31" s="155">
        <v>236000</v>
      </c>
      <c r="D31" s="26">
        <f t="shared" ref="D31:D35" si="18">B31*1000</f>
        <v>236000</v>
      </c>
      <c r="E31" s="52">
        <f t="shared" ref="E31:E35" si="19">C31-D31</f>
        <v>0</v>
      </c>
      <c r="F31" s="52">
        <f t="shared" ref="F31:F35" si="20">(100*E31)/D31</f>
        <v>0</v>
      </c>
      <c r="G31" s="155">
        <v>56.364899999999999</v>
      </c>
      <c r="H31" s="26">
        <f t="shared" ref="H31:H35" si="21">B31/4.187</f>
        <v>56.364939097205635</v>
      </c>
      <c r="I31" s="52">
        <f t="shared" ref="I31:I35" si="22">G31-H31</f>
        <v>-3.909720563655128E-5</v>
      </c>
      <c r="J31" s="52">
        <f t="shared" ref="J31:J35" si="23">(100*I31)/H31</f>
        <v>-6.9364406779762796E-5</v>
      </c>
      <c r="K31" s="155">
        <v>6.5555600000000006E-2</v>
      </c>
      <c r="L31" s="26">
        <f t="shared" ref="L31:L35" si="24">B31/3600</f>
        <v>6.5555555555555561E-2</v>
      </c>
      <c r="M31" s="52">
        <f t="shared" ref="M31:M35" si="25">K31-L31</f>
        <v>4.4444444444180498E-8</v>
      </c>
      <c r="N31" s="153">
        <f t="shared" ref="N31:N35" si="26">(100*M31)/L31</f>
        <v>6.7796610169088893E-5</v>
      </c>
    </row>
    <row r="32" spans="2:14" x14ac:dyDescent="0.25">
      <c r="B32" s="47">
        <v>3687</v>
      </c>
      <c r="C32" s="155">
        <v>3687000</v>
      </c>
      <c r="D32" s="26">
        <f t="shared" si="18"/>
        <v>3687000</v>
      </c>
      <c r="E32" s="52">
        <f t="shared" si="19"/>
        <v>0</v>
      </c>
      <c r="F32" s="52">
        <f t="shared" si="20"/>
        <v>0</v>
      </c>
      <c r="G32" s="155">
        <v>880.58299999999997</v>
      </c>
      <c r="H32" s="26">
        <f t="shared" si="21"/>
        <v>880.58275614998797</v>
      </c>
      <c r="I32" s="52">
        <f t="shared" si="22"/>
        <v>2.4385001199789258E-4</v>
      </c>
      <c r="J32" s="52">
        <f t="shared" si="23"/>
        <v>2.7691890432198979E-5</v>
      </c>
      <c r="K32" s="159">
        <v>1.02417</v>
      </c>
      <c r="L32" s="26">
        <f t="shared" si="24"/>
        <v>1.0241666666666667</v>
      </c>
      <c r="M32" s="52">
        <f t="shared" si="25"/>
        <v>3.3333333333551707E-6</v>
      </c>
      <c r="N32" s="153">
        <f t="shared" si="26"/>
        <v>3.254678600509524E-4</v>
      </c>
    </row>
    <row r="33" spans="2:14" x14ac:dyDescent="0.25">
      <c r="B33" s="47">
        <v>3344556677</v>
      </c>
      <c r="C33" s="155">
        <v>3344556677000</v>
      </c>
      <c r="D33" s="26">
        <f t="shared" si="18"/>
        <v>3344556677000</v>
      </c>
      <c r="E33" s="52">
        <f t="shared" si="19"/>
        <v>0</v>
      </c>
      <c r="F33" s="52">
        <f t="shared" si="20"/>
        <v>0</v>
      </c>
      <c r="G33" s="155">
        <v>798795481</v>
      </c>
      <c r="H33" s="26">
        <f t="shared" si="21"/>
        <v>798795480.53498924</v>
      </c>
      <c r="I33" s="52">
        <f t="shared" si="22"/>
        <v>0.46501076221466064</v>
      </c>
      <c r="J33" s="52">
        <f t="shared" si="23"/>
        <v>5.8213995139684821E-8</v>
      </c>
      <c r="K33" s="155">
        <v>929044</v>
      </c>
      <c r="L33" s="26">
        <f t="shared" si="24"/>
        <v>929043.52138888894</v>
      </c>
      <c r="M33" s="52">
        <f t="shared" si="25"/>
        <v>0.47861111105885357</v>
      </c>
      <c r="N33" s="153">
        <f t="shared" si="26"/>
        <v>5.1516543632245129E-5</v>
      </c>
    </row>
    <row r="34" spans="2:14" x14ac:dyDescent="0.25">
      <c r="B34" s="85">
        <v>0.65469999999999995</v>
      </c>
      <c r="C34" s="155">
        <v>654.70000000000005</v>
      </c>
      <c r="D34" s="26">
        <f t="shared" si="18"/>
        <v>654.69999999999993</v>
      </c>
      <c r="E34" s="52">
        <f t="shared" si="19"/>
        <v>0</v>
      </c>
      <c r="F34" s="52">
        <f t="shared" si="20"/>
        <v>0</v>
      </c>
      <c r="G34" s="155">
        <v>0.156365</v>
      </c>
      <c r="H34" s="26">
        <f t="shared" si="21"/>
        <v>0.15636493909720561</v>
      </c>
      <c r="I34" s="52">
        <f t="shared" si="22"/>
        <v>6.0902794390971238E-8</v>
      </c>
      <c r="J34" s="52">
        <f t="shared" si="23"/>
        <v>3.8949137026882024E-5</v>
      </c>
      <c r="K34" s="155">
        <v>1.8186100000000001E-4</v>
      </c>
      <c r="L34" s="26">
        <f t="shared" si="24"/>
        <v>1.818611111111111E-4</v>
      </c>
      <c r="M34" s="52">
        <f t="shared" si="25"/>
        <v>-1.111111110887672E-10</v>
      </c>
      <c r="N34" s="153">
        <f t="shared" si="26"/>
        <v>-6.1096685492525115E-5</v>
      </c>
    </row>
    <row r="35" spans="2:14" ht="15.75" thickBot="1" x14ac:dyDescent="0.3">
      <c r="B35" s="86">
        <v>-741</v>
      </c>
      <c r="C35" s="158">
        <v>-741000</v>
      </c>
      <c r="D35" s="59">
        <f t="shared" si="18"/>
        <v>-741000</v>
      </c>
      <c r="E35" s="57">
        <f t="shared" si="19"/>
        <v>0</v>
      </c>
      <c r="F35" s="57">
        <f t="shared" si="20"/>
        <v>0</v>
      </c>
      <c r="G35" s="158">
        <v>-176.976</v>
      </c>
      <c r="H35" s="59">
        <f t="shared" si="21"/>
        <v>-176.97635538571768</v>
      </c>
      <c r="I35" s="57">
        <f t="shared" si="22"/>
        <v>3.5538571768256588E-4</v>
      </c>
      <c r="J35" s="57">
        <f t="shared" si="23"/>
        <v>-2.0080971659067523E-4</v>
      </c>
      <c r="K35" s="158">
        <v>-0.20583299999999999</v>
      </c>
      <c r="L35" s="59">
        <f t="shared" si="24"/>
        <v>-0.20583333333333334</v>
      </c>
      <c r="M35" s="57">
        <f t="shared" si="25"/>
        <v>3.3333333335217041E-7</v>
      </c>
      <c r="N35" s="163">
        <f t="shared" si="26"/>
        <v>-1.6194331984720829E-4</v>
      </c>
    </row>
    <row r="36" spans="2:14" ht="15.75" thickBot="1" x14ac:dyDescent="0.3">
      <c r="E36" s="164"/>
      <c r="F36" s="164"/>
      <c r="G36" s="165"/>
      <c r="H36" s="165"/>
      <c r="I36" s="164"/>
      <c r="J36" s="164"/>
      <c r="K36" s="165"/>
      <c r="L36" s="165"/>
      <c r="M36" s="164"/>
      <c r="N36" s="164"/>
    </row>
    <row r="37" spans="2:14" x14ac:dyDescent="0.25">
      <c r="B37" s="341" t="s">
        <v>10</v>
      </c>
      <c r="C37" s="62" t="s">
        <v>14</v>
      </c>
      <c r="D37" s="65" t="s">
        <v>14</v>
      </c>
      <c r="E37" s="343" t="s">
        <v>354</v>
      </c>
      <c r="F37" s="352" t="s">
        <v>355</v>
      </c>
      <c r="G37" s="166" t="s">
        <v>14</v>
      </c>
      <c r="H37" s="168" t="s">
        <v>14</v>
      </c>
      <c r="I37" s="343" t="s">
        <v>354</v>
      </c>
      <c r="J37" s="352" t="s">
        <v>355</v>
      </c>
      <c r="K37" s="166" t="s">
        <v>14</v>
      </c>
      <c r="L37" s="168" t="s">
        <v>14</v>
      </c>
      <c r="M37" s="343" t="s">
        <v>354</v>
      </c>
      <c r="N37" s="357" t="s">
        <v>355</v>
      </c>
    </row>
    <row r="38" spans="2:14" ht="15.75" thickBot="1" x14ac:dyDescent="0.3">
      <c r="B38" s="342"/>
      <c r="C38" s="63" t="s">
        <v>290</v>
      </c>
      <c r="D38" s="27" t="s">
        <v>291</v>
      </c>
      <c r="E38" s="344"/>
      <c r="F38" s="353"/>
      <c r="G38" s="167" t="s">
        <v>290</v>
      </c>
      <c r="H38" s="186" t="s">
        <v>291</v>
      </c>
      <c r="I38" s="344"/>
      <c r="J38" s="353"/>
      <c r="K38" s="167" t="s">
        <v>290</v>
      </c>
      <c r="L38" s="186" t="s">
        <v>291</v>
      </c>
      <c r="M38" s="344"/>
      <c r="N38" s="358"/>
    </row>
    <row r="39" spans="2:14" x14ac:dyDescent="0.25">
      <c r="B39" s="348" t="s">
        <v>46</v>
      </c>
      <c r="C39" s="346" t="s">
        <v>43</v>
      </c>
      <c r="D39" s="37" t="s">
        <v>43</v>
      </c>
      <c r="E39" s="344"/>
      <c r="F39" s="354"/>
      <c r="G39" s="360" t="s">
        <v>44</v>
      </c>
      <c r="H39" s="187" t="s">
        <v>44</v>
      </c>
      <c r="I39" s="344"/>
      <c r="J39" s="354"/>
      <c r="K39" s="350" t="s">
        <v>45</v>
      </c>
      <c r="L39" s="187" t="s">
        <v>45</v>
      </c>
      <c r="M39" s="344"/>
      <c r="N39" s="358"/>
    </row>
    <row r="40" spans="2:14" ht="38.25" customHeight="1" thickBot="1" x14ac:dyDescent="0.3">
      <c r="B40" s="349"/>
      <c r="C40" s="347"/>
      <c r="D40" s="67" t="s">
        <v>129</v>
      </c>
      <c r="E40" s="345"/>
      <c r="F40" s="345"/>
      <c r="G40" s="361"/>
      <c r="H40" s="188" t="s">
        <v>128</v>
      </c>
      <c r="I40" s="345"/>
      <c r="J40" s="345"/>
      <c r="K40" s="351"/>
      <c r="L40" s="173" t="s">
        <v>127</v>
      </c>
      <c r="M40" s="345"/>
      <c r="N40" s="359"/>
    </row>
    <row r="41" spans="2:14" x14ac:dyDescent="0.25">
      <c r="B41" s="44">
        <v>1</v>
      </c>
      <c r="C41" s="157">
        <v>3600000</v>
      </c>
      <c r="D41" s="58">
        <f>L41*1000</f>
        <v>3600000</v>
      </c>
      <c r="E41" s="54">
        <f>C41-D41</f>
        <v>0</v>
      </c>
      <c r="F41" s="54">
        <f>(100*E41)/D41</f>
        <v>0</v>
      </c>
      <c r="G41" s="157">
        <v>859.80399999999997</v>
      </c>
      <c r="H41" s="58">
        <f>L41/4.187</f>
        <v>859.80415572008587</v>
      </c>
      <c r="I41" s="54">
        <f>G41-H41</f>
        <v>-1.557200858997021E-4</v>
      </c>
      <c r="J41" s="54">
        <f>(100*I41)/H41</f>
        <v>-1.8111111101723687E-5</v>
      </c>
      <c r="K41" s="157">
        <v>3600</v>
      </c>
      <c r="L41" s="58">
        <f>B41*3600</f>
        <v>3600</v>
      </c>
      <c r="M41" s="54">
        <f>K41-L41</f>
        <v>0</v>
      </c>
      <c r="N41" s="162">
        <f>(100*M41)/L41</f>
        <v>0</v>
      </c>
    </row>
    <row r="42" spans="2:14" x14ac:dyDescent="0.25">
      <c r="B42" s="47">
        <v>236</v>
      </c>
      <c r="C42" s="155">
        <v>849600000</v>
      </c>
      <c r="D42" s="26">
        <f t="shared" ref="D42:D46" si="27">L42*1000</f>
        <v>849600000</v>
      </c>
      <c r="E42" s="52">
        <f t="shared" ref="E42:E46" si="28">C42-D42</f>
        <v>0</v>
      </c>
      <c r="F42" s="52">
        <f t="shared" ref="F42:F46" si="29">(100*E42)/D42</f>
        <v>0</v>
      </c>
      <c r="G42" s="155">
        <v>202914</v>
      </c>
      <c r="H42" s="26">
        <f t="shared" ref="H42:H46" si="30">L42/4.187</f>
        <v>202913.78074994028</v>
      </c>
      <c r="I42" s="52">
        <f t="shared" ref="I42:I46" si="31">G42-H42</f>
        <v>0.21925005971570499</v>
      </c>
      <c r="J42" s="52">
        <f t="shared" ref="J42:J46" si="32">(100*I42)/H42</f>
        <v>1.080508474611178E-4</v>
      </c>
      <c r="K42" s="155">
        <v>849600</v>
      </c>
      <c r="L42" s="26">
        <f t="shared" ref="L42:L46" si="33">B42*3600</f>
        <v>849600</v>
      </c>
      <c r="M42" s="52">
        <f t="shared" ref="M42:M46" si="34">K42-L42</f>
        <v>0</v>
      </c>
      <c r="N42" s="153">
        <f t="shared" ref="N42:N46" si="35">(100*M42)/L42</f>
        <v>0</v>
      </c>
    </row>
    <row r="43" spans="2:14" x14ac:dyDescent="0.25">
      <c r="B43" s="47">
        <v>3687</v>
      </c>
      <c r="C43" s="155">
        <v>13273200000</v>
      </c>
      <c r="D43" s="26">
        <f t="shared" si="27"/>
        <v>13273200000</v>
      </c>
      <c r="E43" s="52">
        <f t="shared" si="28"/>
        <v>0</v>
      </c>
      <c r="F43" s="52">
        <f t="shared" si="29"/>
        <v>0</v>
      </c>
      <c r="G43" s="155">
        <v>3170098</v>
      </c>
      <c r="H43" s="26">
        <f t="shared" si="30"/>
        <v>3170097.9221399566</v>
      </c>
      <c r="I43" s="52">
        <f t="shared" si="31"/>
        <v>7.7860043384134769E-2</v>
      </c>
      <c r="J43" s="52">
        <f t="shared" si="32"/>
        <v>2.4560769192762284E-6</v>
      </c>
      <c r="K43" s="159">
        <v>13273200</v>
      </c>
      <c r="L43" s="26">
        <f t="shared" si="33"/>
        <v>13273200</v>
      </c>
      <c r="M43" s="52">
        <f t="shared" si="34"/>
        <v>0</v>
      </c>
      <c r="N43" s="153">
        <f t="shared" si="35"/>
        <v>0</v>
      </c>
    </row>
    <row r="44" spans="2:14" x14ac:dyDescent="0.25">
      <c r="B44" s="47">
        <v>3344556677</v>
      </c>
      <c r="C44" s="159">
        <v>1.20404040372E+16</v>
      </c>
      <c r="D44" s="26">
        <f>L44*1000</f>
        <v>1.20404040372E+16</v>
      </c>
      <c r="E44" s="52">
        <f t="shared" si="28"/>
        <v>0</v>
      </c>
      <c r="F44" s="52">
        <f t="shared" si="29"/>
        <v>0</v>
      </c>
      <c r="G44" s="155">
        <v>2875663729926</v>
      </c>
      <c r="H44" s="26">
        <f>L44/4.187</f>
        <v>2875663729925.9609</v>
      </c>
      <c r="I44" s="52">
        <f t="shared" si="31"/>
        <v>3.90625E-2</v>
      </c>
      <c r="J44" s="52">
        <f t="shared" si="32"/>
        <v>1.3583820525846301E-12</v>
      </c>
      <c r="K44" s="155">
        <v>12040404037200</v>
      </c>
      <c r="L44" s="26">
        <f>B44*3600</f>
        <v>12040404037200</v>
      </c>
      <c r="M44" s="52">
        <f t="shared" si="34"/>
        <v>0</v>
      </c>
      <c r="N44" s="153">
        <f t="shared" si="35"/>
        <v>0</v>
      </c>
    </row>
    <row r="45" spans="2:14" x14ac:dyDescent="0.25">
      <c r="B45" s="85">
        <v>0.65469999999999995</v>
      </c>
      <c r="C45" s="155">
        <v>2356920</v>
      </c>
      <c r="D45" s="26">
        <f t="shared" si="27"/>
        <v>2356919.9999999995</v>
      </c>
      <c r="E45" s="52">
        <f t="shared" si="28"/>
        <v>0</v>
      </c>
      <c r="F45" s="52">
        <f t="shared" si="29"/>
        <v>0</v>
      </c>
      <c r="G45" s="155">
        <v>562.91399999999999</v>
      </c>
      <c r="H45" s="26">
        <f t="shared" si="30"/>
        <v>562.9137807499402</v>
      </c>
      <c r="I45" s="52">
        <f t="shared" si="31"/>
        <v>2.1925005978573608E-4</v>
      </c>
      <c r="J45" s="52">
        <f t="shared" si="32"/>
        <v>3.8949137023016356E-5</v>
      </c>
      <c r="K45" s="155">
        <v>2356.92</v>
      </c>
      <c r="L45" s="26">
        <f t="shared" si="33"/>
        <v>2356.9199999999996</v>
      </c>
      <c r="M45" s="52">
        <f t="shared" si="34"/>
        <v>0</v>
      </c>
      <c r="N45" s="153">
        <f t="shared" si="35"/>
        <v>0</v>
      </c>
    </row>
    <row r="46" spans="2:14" ht="15.75" thickBot="1" x14ac:dyDescent="0.3">
      <c r="B46" s="86">
        <v>-741</v>
      </c>
      <c r="C46" s="156">
        <v>-2667600000</v>
      </c>
      <c r="D46" s="59">
        <f t="shared" si="27"/>
        <v>-2667600000</v>
      </c>
      <c r="E46" s="57">
        <f t="shared" si="28"/>
        <v>0</v>
      </c>
      <c r="F46" s="57">
        <f t="shared" si="29"/>
        <v>0</v>
      </c>
      <c r="G46" s="158">
        <v>-637115</v>
      </c>
      <c r="H46" s="59">
        <f t="shared" si="30"/>
        <v>-637114.87938858371</v>
      </c>
      <c r="I46" s="57">
        <f t="shared" si="31"/>
        <v>-0.12061141629237682</v>
      </c>
      <c r="J46" s="57">
        <f t="shared" si="32"/>
        <v>1.8930874194638692E-5</v>
      </c>
      <c r="K46" s="158">
        <v>-2667600</v>
      </c>
      <c r="L46" s="59">
        <f t="shared" si="33"/>
        <v>-2667600</v>
      </c>
      <c r="M46" s="57">
        <f t="shared" si="34"/>
        <v>0</v>
      </c>
      <c r="N46" s="163">
        <f t="shared" si="35"/>
        <v>0</v>
      </c>
    </row>
  </sheetData>
  <mergeCells count="45">
    <mergeCell ref="N4:N7"/>
    <mergeCell ref="N15:N18"/>
    <mergeCell ref="N26:N29"/>
    <mergeCell ref="N37:N40"/>
    <mergeCell ref="F4:F7"/>
    <mergeCell ref="J4:J7"/>
    <mergeCell ref="F15:F18"/>
    <mergeCell ref="J15:J18"/>
    <mergeCell ref="F26:F29"/>
    <mergeCell ref="J26:J29"/>
    <mergeCell ref="F37:F40"/>
    <mergeCell ref="J37:J40"/>
    <mergeCell ref="M37:M40"/>
    <mergeCell ref="M4:M7"/>
    <mergeCell ref="M15:M18"/>
    <mergeCell ref="M26:M29"/>
    <mergeCell ref="B37:B38"/>
    <mergeCell ref="B6:B7"/>
    <mergeCell ref="C6:C7"/>
    <mergeCell ref="G6:G7"/>
    <mergeCell ref="K6:K7"/>
    <mergeCell ref="C17:C18"/>
    <mergeCell ref="C28:C29"/>
    <mergeCell ref="E26:E29"/>
    <mergeCell ref="I26:I29"/>
    <mergeCell ref="G17:G18"/>
    <mergeCell ref="B28:B29"/>
    <mergeCell ref="E15:E18"/>
    <mergeCell ref="I15:I18"/>
    <mergeCell ref="B1:K1"/>
    <mergeCell ref="B4:B5"/>
    <mergeCell ref="B15:B16"/>
    <mergeCell ref="B26:B27"/>
    <mergeCell ref="K39:K40"/>
    <mergeCell ref="K17:K18"/>
    <mergeCell ref="K28:K29"/>
    <mergeCell ref="B39:B40"/>
    <mergeCell ref="E4:E7"/>
    <mergeCell ref="I4:I7"/>
    <mergeCell ref="E37:E40"/>
    <mergeCell ref="I37:I40"/>
    <mergeCell ref="C39:C40"/>
    <mergeCell ref="B17:B18"/>
    <mergeCell ref="G28:G29"/>
    <mergeCell ref="G39:G40"/>
  </mergeCells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25</vt:i4>
      </vt:variant>
    </vt:vector>
  </HeadingPairs>
  <TitlesOfParts>
    <vt:vector size="25" baseType="lpstr">
      <vt:lpstr>Čas</vt:lpstr>
      <vt:lpstr>Délka</vt:lpstr>
      <vt:lpstr>Elektrická kapacita</vt:lpstr>
      <vt:lpstr>Elektrická vodivost</vt:lpstr>
      <vt:lpstr>Elektrické napětí</vt:lpstr>
      <vt:lpstr>Elektrický náboj</vt:lpstr>
      <vt:lpstr>Elektrický odpor</vt:lpstr>
      <vt:lpstr>Elektrický proud</vt:lpstr>
      <vt:lpstr>Energie</vt:lpstr>
      <vt:lpstr>Hmotnost</vt:lpstr>
      <vt:lpstr>Intenzita magn. pole</vt:lpstr>
      <vt:lpstr>Intenzita osvětlení</vt:lpstr>
      <vt:lpstr>Magnetická indukce</vt:lpstr>
      <vt:lpstr>Magnetický tok</vt:lpstr>
      <vt:lpstr>Objem</vt:lpstr>
      <vt:lpstr>Obsah plochy</vt:lpstr>
      <vt:lpstr>Práce</vt:lpstr>
      <vt:lpstr>Průtok</vt:lpstr>
      <vt:lpstr>Rovinný úhel</vt:lpstr>
      <vt:lpstr>Rychlost</vt:lpstr>
      <vt:lpstr>Síla</vt:lpstr>
      <vt:lpstr>Teplota</vt:lpstr>
      <vt:lpstr>Tlak</vt:lpstr>
      <vt:lpstr>Výkon</vt:lpstr>
      <vt:lpstr>Průtok vzduchu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Kubinek</dc:creator>
  <cp:lastModifiedBy>Josef Spilka</cp:lastModifiedBy>
  <dcterms:created xsi:type="dcterms:W3CDTF">2011-02-12T21:23:14Z</dcterms:created>
  <dcterms:modified xsi:type="dcterms:W3CDTF">2019-12-19T10:56:08Z</dcterms:modified>
</cp:coreProperties>
</file>